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embeddings/oleObject1.bin" ContentType="application/vnd.openxmlformats-officedocument.oleObject"/>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4.xml" ContentType="application/vnd.openxmlformats-officedocument.drawing+xml"/>
  <Override PartName="/xl/charts/chart9.xml" ContentType="application/vnd.openxmlformats-officedocument.drawingml.chart+xml"/>
  <Override PartName="/xl/drawings/drawing5.xml" ContentType="application/vnd.openxmlformats-officedocument.drawing+xml"/>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drawings/drawing6.xml" ContentType="application/vnd.openxmlformats-officedocument.drawing+xml"/>
  <Override PartName="/xl/embeddings/oleObject38.bin" ContentType="application/vnd.openxmlformats-officedocument.oleObject"/>
  <Override PartName="/xl/ctrlProps/ctrlProp19.xml" ContentType="application/vnd.ms-excel.controlproperties+xml"/>
  <Override PartName="/xl/ctrlProps/ctrlProp20.xml" ContentType="application/vnd.ms-excel.controlproperties+xml"/>
  <Override PartName="/xl/comments3.xml" ContentType="application/vnd.openxmlformats-officedocument.spreadsheetml.comments+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7.xml" ContentType="application/vnd.openxmlformats-officedocument.drawing+xml"/>
  <Override PartName="/xl/comments4.xml" ContentType="application/vnd.openxmlformats-officedocument.spreadsheetml.comments+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127"/>
  <workbookPr backupFile="1" codeName="ThisWorkbook"/>
  <mc:AlternateContent xmlns:mc="http://schemas.openxmlformats.org/markup-compatibility/2006">
    <mc:Choice Requires="x15">
      <x15ac:absPath xmlns:x15ac="http://schemas.microsoft.com/office/spreadsheetml/2010/11/ac" url="C:\Users\alexi\Documents\scolaire\IPSA\AeroIpsa\SP02\STABTRAJ\pro24_4_4_new\Beta\"/>
    </mc:Choice>
  </mc:AlternateContent>
  <xr:revisionPtr revIDLastSave="0" documentId="13_ncr:1_{EC2ADFE9-4F0B-49FD-89DD-7CB706111AE1}" xr6:coauthVersionLast="47" xr6:coauthVersionMax="47" xr10:uidLastSave="{00000000-0000-0000-0000-000000000000}"/>
  <bookViews>
    <workbookView xWindow="-120" yWindow="-120" windowWidth="29040" windowHeight="15990" xr2:uid="{00000000-000D-0000-FFFF-FFFF00000000}"/>
  </bookViews>
  <sheets>
    <sheet name="Stabilito" sheetId="6" r:id="rId1"/>
    <sheet name="Trajecto" sheetId="1" r:id="rId2"/>
    <sheet name="Courbes" sheetId="2" r:id="rId3"/>
    <sheet name="Propu" sheetId="4" r:id="rId4"/>
    <sheet name="Calculs" sheetId="3" r:id="rId5"/>
    <sheet name="Abaco" sheetId="8" r:id="rId6"/>
    <sheet name="Info" sheetId="5" r:id="rId7"/>
    <sheet name="Controle" sheetId="7" r:id="rId8"/>
  </sheets>
  <definedNames>
    <definedName name="_xlnm._FilterDatabase" localSheetId="3" hidden="1">Propu!$O$317:$P$345</definedName>
    <definedName name="a_prop">Abaco!$G$43:$G$69</definedName>
    <definedName name="Acc_max">Trajecto!$L$25</definedName>
    <definedName name="acc_x">Calculs!$D$4:$D$1004</definedName>
    <definedName name="acc_xz">Calculs!$F$4:$F$1004</definedName>
    <definedName name="acc_z">Calculs!$E$4:$E$1004</definedName>
    <definedName name="Alt_para">Trajecto!$I$28</definedName>
    <definedName name="alt_prop">Abaco!$J$43:$J$69</definedName>
    <definedName name="Alt_rampe">Trajecto!$C$21</definedName>
    <definedName name="Alt_sat">Trajecto!$I$26</definedName>
    <definedName name="Altitude_culmi">Trajecto!$I$27</definedName>
    <definedName name="b_bal">Abaco!$I$43:$I$69</definedName>
    <definedName name="b_prop">Abaco!$H$43:$H$69</definedName>
    <definedName name="Beta">Calculs!$M$4:$M$1004</definedName>
    <definedName name="Beta_rampe">Trajecto!$C$20</definedName>
    <definedName name="BetaD">Calculs!$N$4:$N$1004</definedName>
    <definedName name="CdP">Propu!$B$3:$Y$4</definedName>
    <definedName name="CdP_P">Propu!$B$4:$Y$4</definedName>
    <definedName name="CdP_t">Propu!$B$3:$Y$3</definedName>
    <definedName name="Club">Stabilito!$C$9</definedName>
    <definedName name="Cn">Stabilito!$H$28</definedName>
    <definedName name="Cn0">Stabilito!$I$28</definedName>
    <definedName name="Cnai" localSheetId="0">Stabilito!$O$19</definedName>
    <definedName name="Cnai0">Stabilito!$P$19</definedName>
    <definedName name="Cnail" localSheetId="0">Stabilito!$O$20</definedName>
    <definedName name="Cnc" localSheetId="0">Stabilito!$O$21</definedName>
    <definedName name="Cni" localSheetId="0">Stabilito!$O$22</definedName>
    <definedName name="Cni0">Stabilito!$P$22</definedName>
    <definedName name="Cnj" localSheetId="0">Stabilito!$O$23</definedName>
    <definedName name="Cno" localSheetId="0">Stabilito!$O$18</definedName>
    <definedName name="Cnr" localSheetId="0">Stabilito!$O$24</definedName>
    <definedName name="Combustion">Propu!$X$2</definedName>
    <definedName name="CritCnmax" localSheetId="0">Stabilito!$J$28</definedName>
    <definedName name="CritCnmin" localSheetId="0">Stabilito!$G$28</definedName>
    <definedName name="CritFinessemax" localSheetId="0">Stabilito!$J$27</definedName>
    <definedName name="CritFinessemin" localSheetId="0">Stabilito!$G$27</definedName>
    <definedName name="CritMsCnmax" localSheetId="0">Stabilito!$J$30</definedName>
    <definedName name="CritMsCnmin" localSheetId="0">Stabilito!$G$30</definedName>
    <definedName name="CritMsmax" localSheetId="0">Stabilito!$J$29</definedName>
    <definedName name="CritMsmin" localSheetId="0">Stabilito!$G$29</definedName>
    <definedName name="Cx">Trajecto!$C$16</definedName>
    <definedName name="Cx_para">Trajecto!$C$30</definedName>
    <definedName name="Cx_satellite">Trajecto!$D$30</definedName>
    <definedName name="D_ail">Stabilito!$C$35</definedName>
    <definedName name="D_can" localSheetId="0">Stabilito!$D$35</definedName>
    <definedName name="D_int" localSheetId="0">Stabilito!$E$34</definedName>
    <definedName name="D_og">Stabilito!$C$24</definedName>
    <definedName name="D_ref">Stabilito!$C$15</definedName>
    <definedName name="D_var">Abaco!$B$43:$B$69</definedName>
    <definedName name="D1j">Stabilito!$M$7</definedName>
    <definedName name="D1r">Stabilito!$O$7</definedName>
    <definedName name="D2j">Stabilito!$M$8</definedName>
    <definedName name="D2r">Stabilito!$O$8</definedName>
    <definedName name="Débit">Calculs!$R$4:$R$1004</definedName>
    <definedName name="Depotage">Propu!$Z$2</definedName>
    <definedName name="Diam_propu">Propu!$T$2</definedName>
    <definedName name="Dt_para">Trajecto!$C$33</definedName>
    <definedName name="Dt_satellite">Trajecto!$D$33</definedName>
    <definedName name="Dx_para">Trajecto!$C$35</definedName>
    <definedName name="Dx_sat">Trajecto!$D$35</definedName>
    <definedName name="E_ail">Stabilito!$C$31</definedName>
    <definedName name="E_can">Stabilito!$D$31</definedName>
    <definedName name="E_int" localSheetId="0">Stabilito!$E$30</definedName>
    <definedName name="ep_ail">Stabilito!$C$32</definedName>
    <definedName name="ep_can">Stabilito!$D$32</definedName>
    <definedName name="ep_int" localSheetId="0">Stabilito!$E$31</definedName>
    <definedName name="Event">Calculs!$Y$4:$Y$1004</definedName>
    <definedName name="Event_para">Calculs!$Z$4:$Z$1004</definedName>
    <definedName name="Event_sat">Calculs!$AA$4:$AA$1004</definedName>
    <definedName name="f_ail" localSheetId="0">Stabilito!$C$36</definedName>
    <definedName name="f_can" localSheetId="0">Stabilito!$D$36</definedName>
    <definedName name="f_int" localSheetId="0">Stabilito!$E$35</definedName>
    <definedName name="Finesse">Stabilito!$H$27</definedName>
    <definedName name="Forme_ogive">Stabilito!$C$22</definedName>
    <definedName name="g">Info!$E$54</definedName>
    <definedName name="i_P">Calculs!$P$4:$P$1004</definedName>
    <definedName name="I_total">Propu!$D$2</definedName>
    <definedName name="ISP">Propu!$F$2</definedName>
    <definedName name="l_j">Stabilito!$M$6</definedName>
    <definedName name="l_r">Stabilito!$O$6</definedName>
    <definedName name="L_rampe">Trajecto!$C$19</definedName>
    <definedName name="Lang">Stabilito!$M$2</definedName>
    <definedName name="Liste_µfu">Propu!$F$317:$F$346</definedName>
    <definedName name="Liste_fusex">Propu!$R$317:$R$346</definedName>
    <definedName name="Liste_H2O">Propu!$C$317:$D$346</definedName>
    <definedName name="Liste_minif">Propu!$L$317:$M$346</definedName>
    <definedName name="Liste_minifT">Propu!$O$317:$O$346</definedName>
    <definedName name="Liste_propu">Propu!$A$317:$A$346</definedName>
    <definedName name="Liste_RC">Propu!$I$317:$J$346</definedName>
    <definedName name="Liste_Type_para">Trajecto!$I$104:$I$106</definedName>
    <definedName name="Long_ogive">Stabilito!$C$23</definedName>
    <definedName name="Long_propu">Propu!$R$2</definedName>
    <definedName name="Long_tot">Stabilito!$C$14</definedName>
    <definedName name="m">Calculs!$S$4:$S$1004</definedName>
    <definedName name="m_ail">Stabilito!$C$28</definedName>
    <definedName name="m_bal">Abaco!$F$43:$F$69</definedName>
    <definedName name="m_can">Stabilito!$D$28</definedName>
    <definedName name="m_int" localSheetId="0">Stabilito!$E$27</definedName>
    <definedName name="m_poudre">Propu!$J$2</definedName>
    <definedName name="m_prop">Abaco!$E$43:$E$69</definedName>
    <definedName name="m_satellite">Trajecto!$D$25</definedName>
    <definedName name="m_tot">Trajecto!$C$11</definedName>
    <definedName name="m_var">Abaco!$D$43:$D$69</definedName>
    <definedName name="m_vide">Trajecto!$C$25</definedName>
    <definedName name="Masse_ail">Controle!$H$63</definedName>
    <definedName name="MassePlein">Stabilito!$M$14</definedName>
    <definedName name="MasseSans">Stabilito!$P$14</definedName>
    <definedName name="MasseVide">Stabilito!$N$14</definedName>
    <definedName name="Matricule">Stabilito!$E$10</definedName>
    <definedName name="Menu_Empennage">Stabilito!$B$111:$B$112</definedName>
    <definedName name="Menu_Lang">Stabilito!$B$94:$B$95</definedName>
    <definedName name="Menu_Ogive">Stabilito!$B$107:$B$109</definedName>
    <definedName name="Menu_sat">Trajecto!$B$105:$B$106</definedName>
    <definedName name="Menu_Transitions">Stabilito!$B$114:$B$115</definedName>
    <definedName name="Menu_Type">Stabilito!$B$97:$B$100</definedName>
    <definedName name="Menu_with_motor">Stabilito!$B$103:$B$105</definedName>
    <definedName name="MpropuPlein">Propu!$H$2</definedName>
    <definedName name="MpropuVide">Propu!$L$2</definedName>
    <definedName name="MS_Cn_max">Stabilito!$I$30</definedName>
    <definedName name="MS_Cn_max0">Stabilito!#REF!</definedName>
    <definedName name="MS_Cn_min">Stabilito!$H$30</definedName>
    <definedName name="MS_Cn_min0">Stabilito!#REF!</definedName>
    <definedName name="MS_max">Stabilito!$I$29</definedName>
    <definedName name="MS_max0">Stabilito!#REF!</definedName>
    <definedName name="MS_min">Stabilito!$H$29</definedName>
    <definedName name="MS_min0">Stabilito!#REF!</definedName>
    <definedName name="n_ail">Stabilito!$C$29</definedName>
    <definedName name="n_can">Stabilito!$D$29</definedName>
    <definedName name="n_int" localSheetId="0">Stabilito!$E$28</definedName>
    <definedName name="Nb_diam">Stabilito!$M$4</definedName>
    <definedName name="Nb_sat">Trajecto!$D$24</definedName>
    <definedName name="Nom">Stabilito!$C$8</definedName>
    <definedName name="p_ail">Stabilito!$C$30</definedName>
    <definedName name="p_can">Stabilito!$D$30</definedName>
    <definedName name="p_int" localSheetId="0">Stabilito!$E$29</definedName>
    <definedName name="pas">Calculs!$A$4:$A$1004</definedName>
    <definedName name="Poids">Calculs!$T$4:$T$1004</definedName>
    <definedName name="Portee_balistique">Trajecto!$J$29</definedName>
    <definedName name="pos_x">Calculs!$J$4:$J$1004</definedName>
    <definedName name="pos_xz">Calculs!$L$4:$L$1004</definedName>
    <definedName name="pos_z">Calculs!$K$4:$K$1004</definedName>
    <definedName name="pos_z_montant">Calculs!$AE$4:$AE$1004</definedName>
    <definedName name="Poussee">Calculs!$Q$4:$Q$1004</definedName>
    <definedName name="Propu">Stabilito!$C$18</definedName>
    <definedName name="Q_ail">Stabilito!$C$33</definedName>
    <definedName name="Q_can">Stabilito!$D$33</definedName>
    <definedName name="Q_int" localSheetId="0">Stabilito!$E$32</definedName>
    <definedName name="Q_var">Abaco!$C$43:$C$69</definedName>
    <definedName name="R_rampe">Calculs!$U$4:$U$1004</definedName>
    <definedName name="Rho">Calculs!$V$4:$V$1004</definedName>
    <definedName name="Rho_moyen">Info!$E$55</definedName>
    <definedName name="S_ail">Controle!$H$64</definedName>
    <definedName name="S_para">Trajecto!$C$29</definedName>
    <definedName name="S_para_croix">Trajecto!$B$48</definedName>
    <definedName name="S_para_rond">Trajecto!$B$56</definedName>
    <definedName name="S_satellite">Trajecto!$D$29</definedName>
    <definedName name="Sref">Trajecto!$C$15</definedName>
    <definedName name="sS">Trajecto!$F$136</definedName>
    <definedName name="t">Calculs!$B$4:$B$1004</definedName>
    <definedName name="T_balistique">Trajecto!$H$29</definedName>
    <definedName name="T_ini">Trajecto!$H$42</definedName>
    <definedName name="T_para">Trajecto!$C$114</definedName>
    <definedName name="T_satellite">Trajecto!$D$27</definedName>
    <definedName name="Temps_culmi">Trajecto!$H$27</definedName>
    <definedName name="Temps_fin_propu">Propu!$X$3</definedName>
    <definedName name="Trainee">Calculs!$W$4:$W$1004</definedName>
    <definedName name="tT_fus">Trajecto!$F$137</definedName>
    <definedName name="tT_sat">Trajecto!$F$154</definedName>
    <definedName name="Type_fusee">Stabilito!$C$11</definedName>
    <definedName name="Type_masquage" localSheetId="5">Stabilito!$C$27</definedName>
    <definedName name="Type_masquage" localSheetId="0">Stabilito!$C$27</definedName>
    <definedName name="Type_propu">Propu!$V$2</definedName>
    <definedName name="V_ini">Trajecto!$K$42</definedName>
    <definedName name="V_ouv_sat">Trajecto!$K$26</definedName>
    <definedName name="V_ouverture">Trajecto!$K$28</definedName>
    <definedName name="V_para">Trajecto!$C$32</definedName>
    <definedName name="V_prop">Abaco!$K$43:$K$69</definedName>
    <definedName name="V_satellite">Trajecto!$D$32</definedName>
    <definedName name="V_vent">Trajecto!$C$31</definedName>
    <definedName name="V_vent_sat">Trajecto!$D$31</definedName>
    <definedName name="Version" localSheetId="0">Stabilito!$Q$37</definedName>
    <definedName name="Version" localSheetId="1">Trajecto!$N$37</definedName>
    <definedName name="Vit_culmi">Trajecto!$K$27</definedName>
    <definedName name="Vit_max">Trajecto!$K$25</definedName>
    <definedName name="vit_x">Calculs!$G$4:$G$1004</definedName>
    <definedName name="vit_xz">Calculs!$I$4:$I$1004</definedName>
    <definedName name="vit_z">Calculs!$H$4:$H$1004</definedName>
    <definedName name="Vsortie_de_rampe">Trajecto!$K$24</definedName>
    <definedName name="X_ail">Stabilito!$C$34</definedName>
    <definedName name="X_can">Stabilito!$D$34</definedName>
    <definedName name="X_culmi">Trajecto!$J$27</definedName>
    <definedName name="X_ini">Trajecto!$J$42</definedName>
    <definedName name="X_int" localSheetId="0">Stabilito!$E$33</definedName>
    <definedName name="X_j">Stabilito!$M$9</definedName>
    <definedName name="X_para">Trajecto!$J$28</definedName>
    <definedName name="X_r">Stabilito!$O$9</definedName>
    <definedName name="X_satellite">Trajecto!$J$26</definedName>
    <definedName name="XcgPlein">Stabilito!$M$15</definedName>
    <definedName name="XcgSans">Stabilito!$P$15</definedName>
    <definedName name="XcgVide">Stabilito!$N$15</definedName>
    <definedName name="XCp" localSheetId="0">Stabilito!$H$31</definedName>
    <definedName name="XCp0">Stabilito!$I$31</definedName>
    <definedName name="XCpa" localSheetId="0">Stabilito!$M$20</definedName>
    <definedName name="XCpai" localSheetId="0">Stabilito!$M$19</definedName>
    <definedName name="XCpai0">Stabilito!$N$19</definedName>
    <definedName name="XCpc" localSheetId="0">Stabilito!$M$21</definedName>
    <definedName name="XCpi" localSheetId="0">Stabilito!$M$22</definedName>
    <definedName name="XCpi0">Stabilito!$N$22</definedName>
    <definedName name="XCpj" localSheetId="0">Stabilito!$M$23</definedName>
    <definedName name="XCpo" localSheetId="0">Stabilito!$M$18</definedName>
    <definedName name="XCpr" localSheetId="0">Stabilito!$M$24</definedName>
    <definedName name="XpropuPlein">Propu!$N$2</definedName>
    <definedName name="XpropuRef">Stabilito!$C$19</definedName>
    <definedName name="XpropuVide">Propu!$P$2</definedName>
    <definedName name="Z_ini">Trajecto!$I$42</definedName>
    <definedName name="_xlnm.Print_Area" localSheetId="5">Abaco!$A$1:$M$37</definedName>
    <definedName name="_xlnm.Print_Area" localSheetId="2">Courbes!$A$1:$K$78</definedName>
    <definedName name="_xlnm.Print_Area" localSheetId="0">Stabilito!$A$1:$Q$37</definedName>
    <definedName name="_xlnm.Print_Area" localSheetId="1">Trajecto!$A$1:$N$36</definedName>
    <definedName name="zZ_fus">Trajecto!$F$138</definedName>
    <definedName name="zZ_sat">Trajecto!$F$155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17" i="4" l="1"/>
  <c r="L325" i="4"/>
  <c r="B45" i="1"/>
  <c r="B43" i="1"/>
  <c r="C10" i="6"/>
  <c r="E10" i="6" s="1"/>
  <c r="C10" i="8" s="1"/>
  <c r="L324" i="4"/>
  <c r="L323" i="4"/>
  <c r="L322" i="4"/>
  <c r="L321" i="4"/>
  <c r="L320" i="4"/>
  <c r="L319" i="4"/>
  <c r="L318" i="4"/>
  <c r="R319" i="4"/>
  <c r="R318" i="4"/>
  <c r="R317" i="4"/>
  <c r="R320" i="4"/>
  <c r="N294" i="4"/>
  <c r="X307" i="4"/>
  <c r="W307" i="4"/>
  <c r="V307" i="4"/>
  <c r="U307" i="4"/>
  <c r="T307" i="4"/>
  <c r="S307" i="4"/>
  <c r="R307" i="4"/>
  <c r="Q307" i="4"/>
  <c r="P307" i="4"/>
  <c r="O307" i="4"/>
  <c r="N307" i="4"/>
  <c r="M307" i="4"/>
  <c r="L307" i="4"/>
  <c r="K307" i="4"/>
  <c r="J307" i="4"/>
  <c r="I307" i="4"/>
  <c r="H307" i="4"/>
  <c r="G307" i="4"/>
  <c r="F307" i="4"/>
  <c r="E307" i="4"/>
  <c r="D307" i="4"/>
  <c r="C307" i="4"/>
  <c r="B307" i="4"/>
  <c r="J304" i="4"/>
  <c r="B304" i="4"/>
  <c r="K25" i="7"/>
  <c r="H6" i="7"/>
  <c r="C20" i="6"/>
  <c r="I321" i="4"/>
  <c r="I320" i="4"/>
  <c r="I319" i="4"/>
  <c r="I318" i="4"/>
  <c r="I317" i="4"/>
  <c r="X151" i="4"/>
  <c r="W151" i="4"/>
  <c r="V151" i="4"/>
  <c r="U151" i="4"/>
  <c r="T151" i="4"/>
  <c r="S151" i="4"/>
  <c r="R151" i="4"/>
  <c r="Q151" i="4"/>
  <c r="P151" i="4"/>
  <c r="O151" i="4"/>
  <c r="N151" i="4"/>
  <c r="M151" i="4"/>
  <c r="L151" i="4"/>
  <c r="K151" i="4"/>
  <c r="J151" i="4"/>
  <c r="I151" i="4"/>
  <c r="H151" i="4"/>
  <c r="G151" i="4"/>
  <c r="F151" i="4"/>
  <c r="E151" i="4"/>
  <c r="D151" i="4"/>
  <c r="C151" i="4"/>
  <c r="B151" i="4"/>
  <c r="J148" i="4"/>
  <c r="B148" i="4"/>
  <c r="D103" i="4"/>
  <c r="E103" i="4"/>
  <c r="F103" i="4"/>
  <c r="G103" i="4"/>
  <c r="H103" i="4"/>
  <c r="I103" i="4"/>
  <c r="J103" i="4"/>
  <c r="K103" i="4"/>
  <c r="L103" i="4"/>
  <c r="M103" i="4"/>
  <c r="N103" i="4"/>
  <c r="O103" i="4"/>
  <c r="P103" i="4"/>
  <c r="Q103" i="4"/>
  <c r="Q105" i="4" s="1"/>
  <c r="R103" i="4"/>
  <c r="S103" i="4"/>
  <c r="T103" i="4"/>
  <c r="U103" i="4"/>
  <c r="V103" i="4"/>
  <c r="W103" i="4"/>
  <c r="X103" i="4"/>
  <c r="S98" i="4"/>
  <c r="S100" i="4" s="1"/>
  <c r="T98" i="4"/>
  <c r="U98" i="4"/>
  <c r="V98" i="4"/>
  <c r="W98" i="4"/>
  <c r="X98" i="4"/>
  <c r="D98" i="4"/>
  <c r="E98" i="4"/>
  <c r="F98" i="4"/>
  <c r="G98" i="4"/>
  <c r="H98" i="4"/>
  <c r="I98" i="4"/>
  <c r="J98" i="4"/>
  <c r="K98" i="4"/>
  <c r="L98" i="4"/>
  <c r="M98" i="4"/>
  <c r="N98" i="4"/>
  <c r="O98" i="4"/>
  <c r="P98" i="4"/>
  <c r="Q98" i="4"/>
  <c r="R98" i="4"/>
  <c r="C103" i="4"/>
  <c r="C98" i="4"/>
  <c r="X104" i="4"/>
  <c r="W104" i="4"/>
  <c r="V104" i="4"/>
  <c r="U104" i="4"/>
  <c r="T105" i="4" s="1"/>
  <c r="T104" i="4"/>
  <c r="S104" i="4"/>
  <c r="R104" i="4"/>
  <c r="Q104" i="4"/>
  <c r="P104" i="4"/>
  <c r="O104" i="4"/>
  <c r="N105" i="4" s="1"/>
  <c r="N104" i="4"/>
  <c r="M104" i="4"/>
  <c r="L104" i="4"/>
  <c r="K104" i="4"/>
  <c r="J104" i="4"/>
  <c r="I104" i="4"/>
  <c r="H104" i="4"/>
  <c r="G104" i="4"/>
  <c r="G105" i="4" s="1"/>
  <c r="F104" i="4"/>
  <c r="E104" i="4"/>
  <c r="E105" i="4" s="1"/>
  <c r="D104" i="4"/>
  <c r="C104" i="4"/>
  <c r="B104" i="4"/>
  <c r="L102" i="4"/>
  <c r="H102" i="4"/>
  <c r="B102" i="4"/>
  <c r="X99" i="4"/>
  <c r="W99" i="4"/>
  <c r="V99" i="4"/>
  <c r="U99" i="4"/>
  <c r="T99" i="4"/>
  <c r="S99" i="4"/>
  <c r="R99" i="4"/>
  <c r="Q100" i="4" s="1"/>
  <c r="Q99" i="4"/>
  <c r="P99" i="4"/>
  <c r="O99" i="4"/>
  <c r="N99" i="4"/>
  <c r="M99" i="4"/>
  <c r="L99" i="4"/>
  <c r="K99" i="4"/>
  <c r="J99" i="4"/>
  <c r="J100" i="4" s="1"/>
  <c r="I99" i="4"/>
  <c r="H100" i="4" s="1"/>
  <c r="H99" i="4"/>
  <c r="G99" i="4"/>
  <c r="F99" i="4"/>
  <c r="E99" i="4"/>
  <c r="E100" i="4" s="1"/>
  <c r="D99" i="4"/>
  <c r="C99" i="4"/>
  <c r="B99" i="4"/>
  <c r="L97" i="4"/>
  <c r="H97" i="4"/>
  <c r="B97" i="4"/>
  <c r="X95" i="4"/>
  <c r="W95" i="4"/>
  <c r="V95" i="4"/>
  <c r="U95" i="4"/>
  <c r="T95" i="4"/>
  <c r="S95" i="4"/>
  <c r="R95" i="4"/>
  <c r="Q95" i="4"/>
  <c r="P95" i="4"/>
  <c r="O95" i="4"/>
  <c r="N95" i="4"/>
  <c r="M95" i="4"/>
  <c r="L95" i="4"/>
  <c r="K95" i="4"/>
  <c r="J95" i="4"/>
  <c r="I95" i="4"/>
  <c r="H95" i="4"/>
  <c r="G95" i="4"/>
  <c r="F95" i="4"/>
  <c r="E95" i="4"/>
  <c r="D95" i="4"/>
  <c r="C95" i="4"/>
  <c r="B95" i="4"/>
  <c r="J92" i="4"/>
  <c r="B92" i="4"/>
  <c r="O344" i="4"/>
  <c r="O343" i="4"/>
  <c r="O342" i="4"/>
  <c r="O341" i="4"/>
  <c r="Q206" i="4"/>
  <c r="P206" i="4"/>
  <c r="O206" i="4"/>
  <c r="N206" i="4"/>
  <c r="M206" i="4"/>
  <c r="L206" i="4"/>
  <c r="K206" i="4"/>
  <c r="J206" i="4"/>
  <c r="I206" i="4"/>
  <c r="H206" i="4"/>
  <c r="G206" i="4"/>
  <c r="F206" i="4"/>
  <c r="E206" i="4"/>
  <c r="D206" i="4"/>
  <c r="C206" i="4"/>
  <c r="B206" i="4"/>
  <c r="J203" i="4"/>
  <c r="B203" i="4"/>
  <c r="E5" i="7"/>
  <c r="H7" i="7"/>
  <c r="E7" i="7"/>
  <c r="E6" i="7"/>
  <c r="H9" i="7"/>
  <c r="K26" i="7"/>
  <c r="K23" i="7"/>
  <c r="J26" i="7"/>
  <c r="J25" i="7"/>
  <c r="J23" i="7"/>
  <c r="G27" i="7"/>
  <c r="G26" i="7"/>
  <c r="F26" i="7"/>
  <c r="G25" i="7"/>
  <c r="F25" i="7"/>
  <c r="G24" i="7"/>
  <c r="F24" i="7"/>
  <c r="G23" i="7"/>
  <c r="F23" i="7"/>
  <c r="D27" i="7"/>
  <c r="D24" i="7"/>
  <c r="B32" i="6"/>
  <c r="B31" i="6"/>
  <c r="B30" i="6"/>
  <c r="B29" i="6"/>
  <c r="B28" i="6"/>
  <c r="B36" i="6"/>
  <c r="B35" i="6"/>
  <c r="B34" i="6"/>
  <c r="B33" i="6"/>
  <c r="U35" i="7"/>
  <c r="U34" i="7"/>
  <c r="U33" i="7"/>
  <c r="U32" i="7"/>
  <c r="U31" i="7"/>
  <c r="U30" i="7"/>
  <c r="P32" i="7"/>
  <c r="P31" i="7"/>
  <c r="Q34" i="7"/>
  <c r="P29" i="7"/>
  <c r="U20" i="7"/>
  <c r="Q17" i="7"/>
  <c r="U16" i="7"/>
  <c r="U13" i="7"/>
  <c r="Q12" i="7"/>
  <c r="U11" i="7"/>
  <c r="Q3" i="7"/>
  <c r="E17" i="7"/>
  <c r="E16" i="7"/>
  <c r="E15" i="7"/>
  <c r="E13" i="7"/>
  <c r="B53" i="1"/>
  <c r="B51" i="1"/>
  <c r="B56" i="1"/>
  <c r="D29" i="1"/>
  <c r="I69" i="7" s="1"/>
  <c r="D25" i="1"/>
  <c r="E30" i="1" s="1"/>
  <c r="C19" i="1"/>
  <c r="H8" i="7" s="1"/>
  <c r="C161" i="6"/>
  <c r="C162" i="6"/>
  <c r="C160" i="6"/>
  <c r="C159" i="6"/>
  <c r="C158" i="6"/>
  <c r="C26" i="6"/>
  <c r="M21" i="6"/>
  <c r="C140" i="6"/>
  <c r="D25" i="7"/>
  <c r="F110" i="1"/>
  <c r="C114" i="1" s="1"/>
  <c r="C155" i="1"/>
  <c r="C153" i="1"/>
  <c r="C151" i="1"/>
  <c r="N35" i="1"/>
  <c r="C134" i="1"/>
  <c r="B26" i="1"/>
  <c r="J30" i="6"/>
  <c r="E191" i="6" s="1"/>
  <c r="G30" i="6"/>
  <c r="E182" i="6" s="1"/>
  <c r="J29" i="6"/>
  <c r="B188" i="6" s="1"/>
  <c r="G29" i="6"/>
  <c r="J28" i="6"/>
  <c r="C185" i="6" s="1"/>
  <c r="J27" i="6"/>
  <c r="G28" i="6"/>
  <c r="G27" i="6"/>
  <c r="W35" i="6"/>
  <c r="B100" i="6"/>
  <c r="B98" i="6"/>
  <c r="B99" i="6"/>
  <c r="Q241" i="4"/>
  <c r="P241" i="4"/>
  <c r="O241" i="4"/>
  <c r="N241" i="4"/>
  <c r="M241" i="4"/>
  <c r="L241" i="4"/>
  <c r="K241" i="4"/>
  <c r="J241" i="4"/>
  <c r="I241" i="4"/>
  <c r="H241" i="4"/>
  <c r="G241" i="4"/>
  <c r="F241" i="4"/>
  <c r="E241" i="4"/>
  <c r="D241" i="4"/>
  <c r="C241" i="4"/>
  <c r="B241" i="4"/>
  <c r="S240" i="4"/>
  <c r="T240" i="4" s="1"/>
  <c r="U240" i="4" s="1"/>
  <c r="V240" i="4" s="1"/>
  <c r="W240" i="4" s="1"/>
  <c r="S239" i="4"/>
  <c r="T239" i="4" s="1"/>
  <c r="J238" i="4"/>
  <c r="B238" i="4"/>
  <c r="O321" i="4"/>
  <c r="O320" i="4"/>
  <c r="S131" i="4"/>
  <c r="R131" i="4"/>
  <c r="Q131" i="4"/>
  <c r="P131" i="4"/>
  <c r="O131" i="4"/>
  <c r="N131" i="4"/>
  <c r="M131" i="4"/>
  <c r="L131" i="4"/>
  <c r="K131" i="4"/>
  <c r="J131" i="4"/>
  <c r="I131" i="4"/>
  <c r="H131" i="4"/>
  <c r="G131" i="4"/>
  <c r="F131" i="4"/>
  <c r="E131" i="4"/>
  <c r="D131" i="4"/>
  <c r="C131" i="4"/>
  <c r="B131" i="4"/>
  <c r="V130" i="4"/>
  <c r="U131" i="4" s="1"/>
  <c r="T131" i="4"/>
  <c r="J128" i="4"/>
  <c r="B128" i="4"/>
  <c r="R126" i="4"/>
  <c r="Q126" i="4"/>
  <c r="P126" i="4"/>
  <c r="O126" i="4"/>
  <c r="N126" i="4"/>
  <c r="M126" i="4"/>
  <c r="L126" i="4"/>
  <c r="K126" i="4"/>
  <c r="J126" i="4"/>
  <c r="I126" i="4"/>
  <c r="H126" i="4"/>
  <c r="G126" i="4"/>
  <c r="F126" i="4"/>
  <c r="E126" i="4"/>
  <c r="D126" i="4"/>
  <c r="C126" i="4"/>
  <c r="B126" i="4"/>
  <c r="T125" i="4"/>
  <c r="S126" i="4" s="1"/>
  <c r="J123" i="4"/>
  <c r="B123" i="4"/>
  <c r="O340" i="4"/>
  <c r="T256" i="4"/>
  <c r="S256" i="4"/>
  <c r="R256" i="4"/>
  <c r="Q256" i="4"/>
  <c r="P256" i="4"/>
  <c r="O256" i="4"/>
  <c r="N256" i="4"/>
  <c r="M256" i="4"/>
  <c r="L256" i="4"/>
  <c r="K256" i="4"/>
  <c r="J256" i="4"/>
  <c r="I256" i="4"/>
  <c r="H256" i="4"/>
  <c r="G256" i="4"/>
  <c r="F256" i="4"/>
  <c r="E256" i="4"/>
  <c r="D256" i="4"/>
  <c r="C256" i="4"/>
  <c r="B256" i="4"/>
  <c r="V255" i="4"/>
  <c r="W255" i="4" s="1"/>
  <c r="V254" i="4"/>
  <c r="W254" i="4" s="1"/>
  <c r="X254" i="4" s="1"/>
  <c r="J253" i="4"/>
  <c r="B253" i="4"/>
  <c r="O337" i="4"/>
  <c r="Q236" i="4"/>
  <c r="P236" i="4"/>
  <c r="O236" i="4"/>
  <c r="N236" i="4"/>
  <c r="M236" i="4"/>
  <c r="L236" i="4"/>
  <c r="K236" i="4"/>
  <c r="J236" i="4"/>
  <c r="I236" i="4"/>
  <c r="H236" i="4"/>
  <c r="G236" i="4"/>
  <c r="F236" i="4"/>
  <c r="E236" i="4"/>
  <c r="D236" i="4"/>
  <c r="C236" i="4"/>
  <c r="B236" i="4"/>
  <c r="S235" i="4"/>
  <c r="T235" i="4" s="1"/>
  <c r="S234" i="4"/>
  <c r="R236" i="4" s="1"/>
  <c r="J233" i="4"/>
  <c r="B233" i="4"/>
  <c r="O346" i="4"/>
  <c r="Q211" i="4"/>
  <c r="P211" i="4"/>
  <c r="O211" i="4"/>
  <c r="N211" i="4"/>
  <c r="M211" i="4"/>
  <c r="L211" i="4"/>
  <c r="K211" i="4"/>
  <c r="J211" i="4"/>
  <c r="I211" i="4"/>
  <c r="H211" i="4"/>
  <c r="G211" i="4"/>
  <c r="F211" i="4"/>
  <c r="E211" i="4"/>
  <c r="D211" i="4"/>
  <c r="C211" i="4"/>
  <c r="B211" i="4"/>
  <c r="S211" i="4"/>
  <c r="R211" i="4"/>
  <c r="J208" i="4"/>
  <c r="B208" i="4"/>
  <c r="O336" i="4"/>
  <c r="O335" i="4"/>
  <c r="O334" i="4"/>
  <c r="O333" i="4"/>
  <c r="O338" i="4"/>
  <c r="O339" i="4"/>
  <c r="O345" i="4"/>
  <c r="O323" i="4"/>
  <c r="O324" i="4"/>
  <c r="O325" i="4"/>
  <c r="O326" i="4"/>
  <c r="O327" i="4"/>
  <c r="O319" i="4"/>
  <c r="O322" i="4"/>
  <c r="O328" i="4"/>
  <c r="O329" i="4"/>
  <c r="O330" i="4"/>
  <c r="O331" i="4"/>
  <c r="O332" i="4"/>
  <c r="O318" i="4"/>
  <c r="O317" i="4"/>
  <c r="X231" i="4"/>
  <c r="W231" i="4"/>
  <c r="V231" i="4"/>
  <c r="U231" i="4"/>
  <c r="T231" i="4"/>
  <c r="S231" i="4"/>
  <c r="R231" i="4"/>
  <c r="Q231" i="4"/>
  <c r="P231" i="4"/>
  <c r="O231" i="4"/>
  <c r="N231" i="4"/>
  <c r="M231" i="4"/>
  <c r="L231" i="4"/>
  <c r="K231" i="4"/>
  <c r="J231" i="4"/>
  <c r="I231" i="4"/>
  <c r="H231" i="4"/>
  <c r="G231" i="4"/>
  <c r="D228" i="4" s="1"/>
  <c r="F228" i="4" s="1"/>
  <c r="F231" i="4"/>
  <c r="E231" i="4"/>
  <c r="D231" i="4"/>
  <c r="C231" i="4"/>
  <c r="B231" i="4"/>
  <c r="J228" i="4"/>
  <c r="B228" i="4"/>
  <c r="Q226" i="4"/>
  <c r="P226" i="4"/>
  <c r="O226" i="4"/>
  <c r="N226" i="4"/>
  <c r="M226" i="4"/>
  <c r="L226" i="4"/>
  <c r="K226" i="4"/>
  <c r="J226" i="4"/>
  <c r="I226" i="4"/>
  <c r="H226" i="4"/>
  <c r="G226" i="4"/>
  <c r="F226" i="4"/>
  <c r="E226" i="4"/>
  <c r="D226" i="4"/>
  <c r="C226" i="4"/>
  <c r="B226" i="4"/>
  <c r="T225" i="4"/>
  <c r="U225" i="4" s="1"/>
  <c r="R226" i="4"/>
  <c r="T224" i="4"/>
  <c r="U224" i="4" s="1"/>
  <c r="V224" i="4" s="1"/>
  <c r="W224" i="4" s="1"/>
  <c r="J223" i="4"/>
  <c r="B223" i="4"/>
  <c r="V249" i="4"/>
  <c r="W249" i="4" s="1"/>
  <c r="W244" i="4"/>
  <c r="Q251" i="4"/>
  <c r="P251" i="4"/>
  <c r="O251" i="4"/>
  <c r="N251" i="4"/>
  <c r="M251" i="4"/>
  <c r="L251" i="4"/>
  <c r="K251" i="4"/>
  <c r="J251" i="4"/>
  <c r="I251" i="4"/>
  <c r="H251" i="4"/>
  <c r="G251" i="4"/>
  <c r="F251" i="4"/>
  <c r="E251" i="4"/>
  <c r="D251" i="4"/>
  <c r="C251" i="4"/>
  <c r="B251" i="4"/>
  <c r="J248" i="4"/>
  <c r="B248" i="4"/>
  <c r="J246" i="4"/>
  <c r="I246" i="4"/>
  <c r="H246" i="4"/>
  <c r="G246" i="4"/>
  <c r="F246" i="4"/>
  <c r="E246" i="4"/>
  <c r="D246" i="4"/>
  <c r="C246" i="4"/>
  <c r="B246" i="4"/>
  <c r="J243" i="4"/>
  <c r="B243" i="4"/>
  <c r="L194" i="4"/>
  <c r="M194" i="4" s="1"/>
  <c r="R334" i="4"/>
  <c r="R335" i="4"/>
  <c r="R336" i="4"/>
  <c r="R337" i="4"/>
  <c r="R338" i="4"/>
  <c r="R339" i="4"/>
  <c r="S195" i="4"/>
  <c r="T195" i="4"/>
  <c r="U195" i="4" s="1"/>
  <c r="V195" i="4" s="1"/>
  <c r="W195" i="4" s="1"/>
  <c r="X195" i="4" s="1"/>
  <c r="X196" i="4" s="1"/>
  <c r="J196" i="4"/>
  <c r="I196" i="4"/>
  <c r="H196" i="4"/>
  <c r="G196" i="4"/>
  <c r="F196" i="4"/>
  <c r="E196" i="4"/>
  <c r="D196" i="4"/>
  <c r="C196" i="4"/>
  <c r="B196" i="4"/>
  <c r="J193" i="4"/>
  <c r="B193" i="4"/>
  <c r="S200" i="4"/>
  <c r="T200" i="4" s="1"/>
  <c r="S199" i="4"/>
  <c r="T199" i="4" s="1"/>
  <c r="U199" i="4" s="1"/>
  <c r="V199" i="4" s="1"/>
  <c r="W199" i="4" s="1"/>
  <c r="X199" i="4" s="1"/>
  <c r="Q201" i="4"/>
  <c r="P201" i="4"/>
  <c r="O201" i="4"/>
  <c r="N201" i="4"/>
  <c r="M201" i="4"/>
  <c r="L201" i="4"/>
  <c r="K201" i="4"/>
  <c r="J201" i="4"/>
  <c r="I201" i="4"/>
  <c r="H201" i="4"/>
  <c r="G201" i="4"/>
  <c r="F201" i="4"/>
  <c r="E201" i="4"/>
  <c r="D201" i="4"/>
  <c r="C201" i="4"/>
  <c r="B201" i="4"/>
  <c r="J198" i="4"/>
  <c r="B198" i="4"/>
  <c r="B213" i="4"/>
  <c r="B216" i="4"/>
  <c r="C216" i="4"/>
  <c r="D216" i="4"/>
  <c r="E216" i="4"/>
  <c r="F216" i="4"/>
  <c r="G216" i="4"/>
  <c r="H216" i="4"/>
  <c r="I216" i="4"/>
  <c r="J216" i="4"/>
  <c r="K216" i="4"/>
  <c r="L216" i="4"/>
  <c r="M216" i="4"/>
  <c r="N216" i="4"/>
  <c r="O216" i="4"/>
  <c r="P216" i="4"/>
  <c r="Q216" i="4"/>
  <c r="S215" i="4"/>
  <c r="T215" i="4" s="1"/>
  <c r="S214" i="4"/>
  <c r="J213" i="4"/>
  <c r="A2" i="4"/>
  <c r="B133" i="4"/>
  <c r="B4" i="3"/>
  <c r="AC4" i="3" s="1"/>
  <c r="B136" i="4"/>
  <c r="C136" i="4"/>
  <c r="D136" i="4"/>
  <c r="E136" i="4"/>
  <c r="F136" i="4"/>
  <c r="G136" i="4"/>
  <c r="H136" i="4"/>
  <c r="I136" i="4"/>
  <c r="J136" i="4"/>
  <c r="K136" i="4"/>
  <c r="L136" i="4"/>
  <c r="M136" i="4"/>
  <c r="N136" i="4"/>
  <c r="O136" i="4"/>
  <c r="P136" i="4"/>
  <c r="Q136" i="4"/>
  <c r="R136" i="4"/>
  <c r="S136" i="4"/>
  <c r="T136" i="4"/>
  <c r="U136" i="4"/>
  <c r="V136" i="4"/>
  <c r="W136" i="4"/>
  <c r="X136" i="4"/>
  <c r="J133" i="4"/>
  <c r="N4" i="3"/>
  <c r="M4" i="3" s="1"/>
  <c r="J4" i="3"/>
  <c r="K4" i="3"/>
  <c r="V4" i="3" s="1"/>
  <c r="I4" i="3"/>
  <c r="B113" i="4"/>
  <c r="C36" i="6"/>
  <c r="M18" i="6"/>
  <c r="B116" i="4"/>
  <c r="C116" i="4"/>
  <c r="D116" i="4"/>
  <c r="E116" i="4"/>
  <c r="F116" i="4"/>
  <c r="G116" i="4"/>
  <c r="H116" i="4"/>
  <c r="I116" i="4"/>
  <c r="J116" i="4"/>
  <c r="K116" i="4"/>
  <c r="L116" i="4"/>
  <c r="M116" i="4"/>
  <c r="N116" i="4"/>
  <c r="O116" i="4"/>
  <c r="P116" i="4"/>
  <c r="Q116" i="4"/>
  <c r="R116" i="4"/>
  <c r="S116" i="4"/>
  <c r="U115" i="4"/>
  <c r="T116" i="4" s="1"/>
  <c r="J113" i="4"/>
  <c r="B166" i="4"/>
  <c r="C166" i="4"/>
  <c r="D166" i="4"/>
  <c r="E166" i="4"/>
  <c r="F166" i="4"/>
  <c r="G166" i="4"/>
  <c r="H166" i="4"/>
  <c r="I166" i="4"/>
  <c r="J166" i="4"/>
  <c r="K166" i="4"/>
  <c r="L166" i="4"/>
  <c r="M166" i="4"/>
  <c r="N166" i="4"/>
  <c r="O166" i="4"/>
  <c r="P166" i="4"/>
  <c r="Q166" i="4"/>
  <c r="R166" i="4"/>
  <c r="T165" i="4"/>
  <c r="S166" i="4" s="1"/>
  <c r="X164" i="4"/>
  <c r="L163" i="4"/>
  <c r="J163" i="4" s="1"/>
  <c r="B48" i="1"/>
  <c r="C29" i="1" s="1"/>
  <c r="E127" i="7" s="1"/>
  <c r="D31" i="1"/>
  <c r="B29" i="4"/>
  <c r="C29" i="4"/>
  <c r="D29" i="4"/>
  <c r="E29" i="4"/>
  <c r="F29" i="4"/>
  <c r="G29" i="4"/>
  <c r="H29" i="4"/>
  <c r="I29" i="4"/>
  <c r="J29" i="4"/>
  <c r="K29" i="4"/>
  <c r="L29" i="4"/>
  <c r="M29" i="4"/>
  <c r="N29" i="4"/>
  <c r="O29" i="4"/>
  <c r="P29" i="4"/>
  <c r="Q29" i="4"/>
  <c r="R29" i="4"/>
  <c r="S29" i="4"/>
  <c r="T29" i="4"/>
  <c r="U29" i="4"/>
  <c r="V29" i="4"/>
  <c r="W29" i="4"/>
  <c r="X29" i="4"/>
  <c r="J26" i="4"/>
  <c r="B34" i="4"/>
  <c r="C34" i="4"/>
  <c r="D34" i="4"/>
  <c r="E34" i="4"/>
  <c r="D31" i="4" s="1"/>
  <c r="F31" i="4" s="1"/>
  <c r="F34" i="4"/>
  <c r="G34" i="4"/>
  <c r="H34" i="4"/>
  <c r="I34" i="4"/>
  <c r="J34" i="4"/>
  <c r="K34" i="4"/>
  <c r="L34" i="4"/>
  <c r="M34" i="4"/>
  <c r="N34" i="4"/>
  <c r="O34" i="4"/>
  <c r="P34" i="4"/>
  <c r="Q34" i="4"/>
  <c r="R34" i="4"/>
  <c r="S34" i="4"/>
  <c r="T34" i="4"/>
  <c r="U34" i="4"/>
  <c r="V34" i="4"/>
  <c r="W34" i="4"/>
  <c r="X34" i="4"/>
  <c r="J31" i="4"/>
  <c r="B39" i="4"/>
  <c r="C39" i="4"/>
  <c r="D39" i="4"/>
  <c r="E39" i="4"/>
  <c r="D36" i="4" s="1"/>
  <c r="F36" i="4" s="1"/>
  <c r="F39" i="4"/>
  <c r="G39" i="4"/>
  <c r="H39" i="4"/>
  <c r="I39" i="4"/>
  <c r="J39" i="4"/>
  <c r="K39" i="4"/>
  <c r="L39" i="4"/>
  <c r="M39" i="4"/>
  <c r="N39" i="4"/>
  <c r="O39" i="4"/>
  <c r="P39" i="4"/>
  <c r="Q39" i="4"/>
  <c r="R39" i="4"/>
  <c r="S39" i="4"/>
  <c r="T39" i="4"/>
  <c r="U39" i="4"/>
  <c r="V39" i="4"/>
  <c r="W39" i="4"/>
  <c r="X39" i="4"/>
  <c r="J36" i="4"/>
  <c r="B44" i="4"/>
  <c r="C44" i="4"/>
  <c r="D44" i="4"/>
  <c r="E44" i="4"/>
  <c r="F44" i="4"/>
  <c r="G44" i="4"/>
  <c r="H44" i="4"/>
  <c r="I44" i="4"/>
  <c r="J44" i="4"/>
  <c r="K44" i="4"/>
  <c r="L44" i="4"/>
  <c r="M44" i="4"/>
  <c r="N44" i="4"/>
  <c r="O44" i="4"/>
  <c r="P44" i="4"/>
  <c r="Q44" i="4"/>
  <c r="R44" i="4"/>
  <c r="S44" i="4"/>
  <c r="T44" i="4"/>
  <c r="U44" i="4"/>
  <c r="V44" i="4"/>
  <c r="W44" i="4"/>
  <c r="X44" i="4"/>
  <c r="J41" i="4"/>
  <c r="B49" i="4"/>
  <c r="C49" i="4"/>
  <c r="D49" i="4"/>
  <c r="E49" i="4"/>
  <c r="F49" i="4"/>
  <c r="G49" i="4"/>
  <c r="H49" i="4"/>
  <c r="I49" i="4"/>
  <c r="J49" i="4"/>
  <c r="K49" i="4"/>
  <c r="L49" i="4"/>
  <c r="M49" i="4"/>
  <c r="N49" i="4"/>
  <c r="O49" i="4"/>
  <c r="P49" i="4"/>
  <c r="Q49" i="4"/>
  <c r="R49" i="4"/>
  <c r="S49" i="4"/>
  <c r="T49" i="4"/>
  <c r="U49" i="4"/>
  <c r="V49" i="4"/>
  <c r="W49" i="4"/>
  <c r="X49" i="4"/>
  <c r="J46" i="4"/>
  <c r="B54" i="4"/>
  <c r="C54" i="4"/>
  <c r="D54" i="4"/>
  <c r="E54" i="4"/>
  <c r="F54" i="4"/>
  <c r="G54" i="4"/>
  <c r="H54" i="4"/>
  <c r="I54" i="4"/>
  <c r="J54" i="4"/>
  <c r="K54" i="4"/>
  <c r="L54" i="4"/>
  <c r="M54" i="4"/>
  <c r="N54" i="4"/>
  <c r="O54" i="4"/>
  <c r="P54" i="4"/>
  <c r="Q54" i="4"/>
  <c r="R54" i="4"/>
  <c r="S54" i="4"/>
  <c r="T54" i="4"/>
  <c r="U54" i="4"/>
  <c r="V54" i="4"/>
  <c r="W54" i="4"/>
  <c r="X54" i="4"/>
  <c r="J51" i="4"/>
  <c r="B59" i="4"/>
  <c r="C59" i="4"/>
  <c r="D59" i="4"/>
  <c r="E59" i="4"/>
  <c r="F59" i="4"/>
  <c r="G59" i="4"/>
  <c r="H59" i="4"/>
  <c r="I59" i="4"/>
  <c r="J59" i="4"/>
  <c r="K59" i="4"/>
  <c r="L59" i="4"/>
  <c r="M59" i="4"/>
  <c r="N59" i="4"/>
  <c r="O59" i="4"/>
  <c r="P59" i="4"/>
  <c r="Q59" i="4"/>
  <c r="R59" i="4"/>
  <c r="S59" i="4"/>
  <c r="T59" i="4"/>
  <c r="U59" i="4"/>
  <c r="V59" i="4"/>
  <c r="W59" i="4"/>
  <c r="X59" i="4"/>
  <c r="J56" i="4"/>
  <c r="B64" i="4"/>
  <c r="C64" i="4"/>
  <c r="D64" i="4"/>
  <c r="E64" i="4"/>
  <c r="F64" i="4"/>
  <c r="G64" i="4"/>
  <c r="H64" i="4"/>
  <c r="I64" i="4"/>
  <c r="J64" i="4"/>
  <c r="K64" i="4"/>
  <c r="L64" i="4"/>
  <c r="M64" i="4"/>
  <c r="N64" i="4"/>
  <c r="O64" i="4"/>
  <c r="P64" i="4"/>
  <c r="Q64" i="4"/>
  <c r="R64" i="4"/>
  <c r="S64" i="4"/>
  <c r="T64" i="4"/>
  <c r="U64" i="4"/>
  <c r="V64" i="4"/>
  <c r="W64" i="4"/>
  <c r="X64" i="4"/>
  <c r="J61" i="4"/>
  <c r="B70" i="4"/>
  <c r="C70" i="4"/>
  <c r="D70" i="4"/>
  <c r="E70" i="4"/>
  <c r="F70" i="4"/>
  <c r="G70" i="4"/>
  <c r="H70" i="4"/>
  <c r="I70" i="4"/>
  <c r="J70" i="4"/>
  <c r="K70" i="4"/>
  <c r="L70" i="4"/>
  <c r="M70" i="4"/>
  <c r="N70" i="4"/>
  <c r="O70" i="4"/>
  <c r="P70" i="4"/>
  <c r="Q70" i="4"/>
  <c r="R70" i="4"/>
  <c r="S70" i="4"/>
  <c r="T70" i="4"/>
  <c r="U70" i="4"/>
  <c r="V70" i="4"/>
  <c r="W70" i="4"/>
  <c r="X70" i="4"/>
  <c r="J67" i="4"/>
  <c r="B75" i="4"/>
  <c r="C75" i="4"/>
  <c r="D75" i="4"/>
  <c r="E75" i="4"/>
  <c r="F75" i="4"/>
  <c r="G75" i="4"/>
  <c r="H75" i="4"/>
  <c r="I75" i="4"/>
  <c r="J75" i="4"/>
  <c r="K75" i="4"/>
  <c r="L75" i="4"/>
  <c r="M75" i="4"/>
  <c r="N75" i="4"/>
  <c r="O75" i="4"/>
  <c r="P75" i="4"/>
  <c r="Q75" i="4"/>
  <c r="R75" i="4"/>
  <c r="S75" i="4"/>
  <c r="T75" i="4"/>
  <c r="U75" i="4"/>
  <c r="V75" i="4"/>
  <c r="W75" i="4"/>
  <c r="X75" i="4"/>
  <c r="J72" i="4"/>
  <c r="B80" i="4"/>
  <c r="C80" i="4"/>
  <c r="D80" i="4"/>
  <c r="E80" i="4"/>
  <c r="F80" i="4"/>
  <c r="G80" i="4"/>
  <c r="H80" i="4"/>
  <c r="I80" i="4"/>
  <c r="J80" i="4"/>
  <c r="K80" i="4"/>
  <c r="L80" i="4"/>
  <c r="M80" i="4"/>
  <c r="N80" i="4"/>
  <c r="O80" i="4"/>
  <c r="P80" i="4"/>
  <c r="Q80" i="4"/>
  <c r="R80" i="4"/>
  <c r="S80" i="4"/>
  <c r="T80" i="4"/>
  <c r="U80" i="4"/>
  <c r="V80" i="4"/>
  <c r="W80" i="4"/>
  <c r="X80" i="4"/>
  <c r="J77" i="4"/>
  <c r="C84" i="4"/>
  <c r="B84" i="4"/>
  <c r="B85" i="4" s="1"/>
  <c r="D84" i="4"/>
  <c r="E84" i="4"/>
  <c r="D85" i="4" s="1"/>
  <c r="F84" i="4"/>
  <c r="E85" i="4" s="1"/>
  <c r="G84" i="4"/>
  <c r="H84" i="4"/>
  <c r="H85" i="4" s="1"/>
  <c r="I84" i="4"/>
  <c r="J84" i="4"/>
  <c r="K84" i="4"/>
  <c r="L84" i="4"/>
  <c r="M84" i="4"/>
  <c r="N84" i="4"/>
  <c r="M85" i="4" s="1"/>
  <c r="O84" i="4"/>
  <c r="P84" i="4"/>
  <c r="Q84" i="4"/>
  <c r="R84" i="4"/>
  <c r="S84" i="4"/>
  <c r="S85" i="4" s="1"/>
  <c r="T84" i="4"/>
  <c r="U84" i="4"/>
  <c r="V84" i="4"/>
  <c r="U85" i="4" s="1"/>
  <c r="W84" i="4"/>
  <c r="X84" i="4"/>
  <c r="H82" i="4"/>
  <c r="L82" i="4"/>
  <c r="C89" i="4"/>
  <c r="B89" i="4"/>
  <c r="D89" i="4"/>
  <c r="E89" i="4"/>
  <c r="F89" i="4"/>
  <c r="G89" i="4"/>
  <c r="H89" i="4"/>
  <c r="I89" i="4"/>
  <c r="J89" i="4"/>
  <c r="J90" i="4" s="1"/>
  <c r="K89" i="4"/>
  <c r="L89" i="4"/>
  <c r="K90" i="4" s="1"/>
  <c r="M89" i="4"/>
  <c r="L90" i="4" s="1"/>
  <c r="N89" i="4"/>
  <c r="O89" i="4"/>
  <c r="O90" i="4" s="1"/>
  <c r="P89" i="4"/>
  <c r="Q89" i="4"/>
  <c r="R89" i="4"/>
  <c r="S89" i="4"/>
  <c r="T89" i="4"/>
  <c r="U89" i="4"/>
  <c r="U90" i="4" s="1"/>
  <c r="V89" i="4"/>
  <c r="V90" i="4" s="1"/>
  <c r="W89" i="4"/>
  <c r="X89" i="4"/>
  <c r="X90" i="4" s="1"/>
  <c r="H87" i="4"/>
  <c r="L87" i="4"/>
  <c r="B111" i="4"/>
  <c r="C111" i="4"/>
  <c r="D111" i="4"/>
  <c r="E111" i="4"/>
  <c r="F111" i="4"/>
  <c r="G111" i="4"/>
  <c r="H111" i="4"/>
  <c r="I111" i="4"/>
  <c r="J111" i="4"/>
  <c r="K111" i="4"/>
  <c r="L111" i="4"/>
  <c r="M111" i="4"/>
  <c r="N111" i="4"/>
  <c r="O111" i="4"/>
  <c r="P111" i="4"/>
  <c r="Q111" i="4"/>
  <c r="R111" i="4"/>
  <c r="T110" i="4"/>
  <c r="S111" i="4" s="1"/>
  <c r="J108" i="4"/>
  <c r="B121" i="4"/>
  <c r="C121" i="4"/>
  <c r="D121" i="4"/>
  <c r="E121" i="4"/>
  <c r="F121" i="4"/>
  <c r="G121" i="4"/>
  <c r="H121" i="4"/>
  <c r="I121" i="4"/>
  <c r="J121" i="4"/>
  <c r="K121" i="4"/>
  <c r="L121" i="4"/>
  <c r="M121" i="4"/>
  <c r="N121" i="4"/>
  <c r="O121" i="4"/>
  <c r="P121" i="4"/>
  <c r="Q121" i="4"/>
  <c r="R121" i="4"/>
  <c r="T120" i="4"/>
  <c r="S121" i="4" s="1"/>
  <c r="J118" i="4"/>
  <c r="B141" i="4"/>
  <c r="C141" i="4"/>
  <c r="D141" i="4"/>
  <c r="E141" i="4"/>
  <c r="F141" i="4"/>
  <c r="G141" i="4"/>
  <c r="H141" i="4"/>
  <c r="I141" i="4"/>
  <c r="J141" i="4"/>
  <c r="K141" i="4"/>
  <c r="L141" i="4"/>
  <c r="M141" i="4"/>
  <c r="N141" i="4"/>
  <c r="O141" i="4"/>
  <c r="P141" i="4"/>
  <c r="Q141" i="4"/>
  <c r="R141" i="4"/>
  <c r="S141" i="4"/>
  <c r="T141" i="4"/>
  <c r="U141" i="4"/>
  <c r="V141" i="4"/>
  <c r="W141" i="4"/>
  <c r="X141" i="4"/>
  <c r="J138" i="4"/>
  <c r="B146" i="4"/>
  <c r="C146" i="4"/>
  <c r="D146" i="4"/>
  <c r="E146" i="4"/>
  <c r="F146" i="4"/>
  <c r="G146" i="4"/>
  <c r="H146" i="4"/>
  <c r="I146" i="4"/>
  <c r="J146" i="4"/>
  <c r="K146" i="4"/>
  <c r="L146" i="4"/>
  <c r="M146" i="4"/>
  <c r="N146" i="4"/>
  <c r="O146" i="4"/>
  <c r="P146" i="4"/>
  <c r="Q146" i="4"/>
  <c r="R146" i="4"/>
  <c r="S146" i="4"/>
  <c r="T146" i="4"/>
  <c r="U146" i="4"/>
  <c r="V146" i="4"/>
  <c r="W146" i="4"/>
  <c r="X146" i="4"/>
  <c r="J143" i="4"/>
  <c r="B156" i="4"/>
  <c r="C156" i="4"/>
  <c r="D156" i="4"/>
  <c r="E156" i="4"/>
  <c r="F156" i="4"/>
  <c r="G156" i="4"/>
  <c r="H156" i="4"/>
  <c r="I156" i="4"/>
  <c r="J156" i="4"/>
  <c r="K156" i="4"/>
  <c r="L156" i="4"/>
  <c r="M156" i="4"/>
  <c r="N156" i="4"/>
  <c r="O156" i="4"/>
  <c r="P156" i="4"/>
  <c r="Q156" i="4"/>
  <c r="R156" i="4"/>
  <c r="S156" i="4"/>
  <c r="T156" i="4"/>
  <c r="U156" i="4"/>
  <c r="V156" i="4"/>
  <c r="W156" i="4"/>
  <c r="X156" i="4"/>
  <c r="J153" i="4"/>
  <c r="B161" i="4"/>
  <c r="C161" i="4"/>
  <c r="D161" i="4"/>
  <c r="E161" i="4"/>
  <c r="F161" i="4"/>
  <c r="G161" i="4"/>
  <c r="H161" i="4"/>
  <c r="I161" i="4"/>
  <c r="J161" i="4"/>
  <c r="K161" i="4"/>
  <c r="L161" i="4"/>
  <c r="M161" i="4"/>
  <c r="N161" i="4"/>
  <c r="O161" i="4"/>
  <c r="P161" i="4"/>
  <c r="Q161" i="4"/>
  <c r="R161" i="4"/>
  <c r="S161" i="4"/>
  <c r="T161" i="4"/>
  <c r="U161" i="4"/>
  <c r="V161" i="4"/>
  <c r="W161" i="4"/>
  <c r="X161" i="4"/>
  <c r="J158" i="4"/>
  <c r="B171" i="4"/>
  <c r="C171" i="4"/>
  <c r="D171" i="4"/>
  <c r="E171" i="4"/>
  <c r="F171" i="4"/>
  <c r="G171" i="4"/>
  <c r="H171" i="4"/>
  <c r="I171" i="4"/>
  <c r="J171" i="4"/>
  <c r="K171" i="4"/>
  <c r="L171" i="4"/>
  <c r="M171" i="4"/>
  <c r="N171" i="4"/>
  <c r="O171" i="4"/>
  <c r="P171" i="4"/>
  <c r="Q171" i="4"/>
  <c r="R171" i="4"/>
  <c r="S171" i="4"/>
  <c r="T171" i="4"/>
  <c r="U171" i="4"/>
  <c r="V171" i="4"/>
  <c r="W171" i="4"/>
  <c r="X171" i="4"/>
  <c r="J168" i="4"/>
  <c r="B176" i="4"/>
  <c r="C176" i="4"/>
  <c r="D176" i="4"/>
  <c r="E176" i="4"/>
  <c r="F176" i="4"/>
  <c r="G176" i="4"/>
  <c r="H176" i="4"/>
  <c r="I176" i="4"/>
  <c r="J176" i="4"/>
  <c r="K176" i="4"/>
  <c r="L176" i="4"/>
  <c r="M176" i="4"/>
  <c r="N176" i="4"/>
  <c r="O176" i="4"/>
  <c r="P176" i="4"/>
  <c r="Q176" i="4"/>
  <c r="R176" i="4"/>
  <c r="S176" i="4"/>
  <c r="T176" i="4"/>
  <c r="U176" i="4"/>
  <c r="V176" i="4"/>
  <c r="W176" i="4"/>
  <c r="X176" i="4"/>
  <c r="J173" i="4"/>
  <c r="B181" i="4"/>
  <c r="C181" i="4"/>
  <c r="D181" i="4"/>
  <c r="E181" i="4"/>
  <c r="F181" i="4"/>
  <c r="G181" i="4"/>
  <c r="H181" i="4"/>
  <c r="I181" i="4"/>
  <c r="J181" i="4"/>
  <c r="K181" i="4"/>
  <c r="L181" i="4"/>
  <c r="M181" i="4"/>
  <c r="N181" i="4"/>
  <c r="O181" i="4"/>
  <c r="P181" i="4"/>
  <c r="Q181" i="4"/>
  <c r="R181" i="4"/>
  <c r="S181" i="4"/>
  <c r="T181" i="4"/>
  <c r="U181" i="4"/>
  <c r="V181" i="4"/>
  <c r="W181" i="4"/>
  <c r="X181" i="4"/>
  <c r="J178" i="4"/>
  <c r="B186" i="4"/>
  <c r="C186" i="4"/>
  <c r="D186" i="4"/>
  <c r="E186" i="4"/>
  <c r="F186" i="4"/>
  <c r="G186" i="4"/>
  <c r="H186" i="4"/>
  <c r="I186" i="4"/>
  <c r="J186" i="4"/>
  <c r="K186" i="4"/>
  <c r="L186" i="4"/>
  <c r="M186" i="4"/>
  <c r="N186" i="4"/>
  <c r="O186" i="4"/>
  <c r="P186" i="4"/>
  <c r="Q186" i="4"/>
  <c r="R186" i="4"/>
  <c r="S186" i="4"/>
  <c r="T186" i="4"/>
  <c r="U186" i="4"/>
  <c r="V186" i="4"/>
  <c r="W186" i="4"/>
  <c r="X186" i="4"/>
  <c r="J183" i="4"/>
  <c r="B191" i="4"/>
  <c r="C191" i="4"/>
  <c r="D191" i="4"/>
  <c r="E191" i="4"/>
  <c r="F191" i="4"/>
  <c r="G191" i="4"/>
  <c r="H191" i="4"/>
  <c r="I191" i="4"/>
  <c r="J191" i="4"/>
  <c r="K191" i="4"/>
  <c r="L191" i="4"/>
  <c r="M191" i="4"/>
  <c r="N191" i="4"/>
  <c r="O191" i="4"/>
  <c r="P191" i="4"/>
  <c r="Q191" i="4"/>
  <c r="R191" i="4"/>
  <c r="T190" i="4"/>
  <c r="U190" i="4" s="1"/>
  <c r="X189" i="4"/>
  <c r="L188" i="4"/>
  <c r="J188" i="4" s="1"/>
  <c r="B221" i="4"/>
  <c r="C221" i="4"/>
  <c r="D221" i="4"/>
  <c r="E221" i="4"/>
  <c r="F221" i="4"/>
  <c r="G221" i="4"/>
  <c r="H221" i="4"/>
  <c r="I221" i="4"/>
  <c r="J221" i="4"/>
  <c r="K221" i="4"/>
  <c r="L221" i="4"/>
  <c r="M221" i="4"/>
  <c r="N221" i="4"/>
  <c r="O221" i="4"/>
  <c r="P221" i="4"/>
  <c r="Q221" i="4"/>
  <c r="R221" i="4"/>
  <c r="S221" i="4"/>
  <c r="T221" i="4"/>
  <c r="U221" i="4"/>
  <c r="V221" i="4"/>
  <c r="W221" i="4"/>
  <c r="X221" i="4"/>
  <c r="J218" i="4"/>
  <c r="B261" i="4"/>
  <c r="C261" i="4"/>
  <c r="D261" i="4"/>
  <c r="E261" i="4"/>
  <c r="F261" i="4"/>
  <c r="G261" i="4"/>
  <c r="H261" i="4"/>
  <c r="I261" i="4"/>
  <c r="J261" i="4"/>
  <c r="K261" i="4"/>
  <c r="L261" i="4"/>
  <c r="M261" i="4"/>
  <c r="N261" i="4"/>
  <c r="O261" i="4"/>
  <c r="P261" i="4"/>
  <c r="Q261" i="4"/>
  <c r="R261" i="4"/>
  <c r="S261" i="4"/>
  <c r="T261" i="4"/>
  <c r="U261" i="4"/>
  <c r="V261" i="4"/>
  <c r="W261" i="4"/>
  <c r="X261" i="4"/>
  <c r="J258" i="4"/>
  <c r="B266" i="4"/>
  <c r="D263" i="4" s="1"/>
  <c r="F263" i="4" s="1"/>
  <c r="C266" i="4"/>
  <c r="D266" i="4"/>
  <c r="E266" i="4"/>
  <c r="F266" i="4"/>
  <c r="G266" i="4"/>
  <c r="H266" i="4"/>
  <c r="I266" i="4"/>
  <c r="J266" i="4"/>
  <c r="K266" i="4"/>
  <c r="L266" i="4"/>
  <c r="M266" i="4"/>
  <c r="N266" i="4"/>
  <c r="O266" i="4"/>
  <c r="P266" i="4"/>
  <c r="Q266" i="4"/>
  <c r="R266" i="4"/>
  <c r="S266" i="4"/>
  <c r="T266" i="4"/>
  <c r="U266" i="4"/>
  <c r="V266" i="4"/>
  <c r="W266" i="4"/>
  <c r="X266" i="4"/>
  <c r="J263" i="4"/>
  <c r="B272" i="4"/>
  <c r="D269" i="4" s="1"/>
  <c r="F269" i="4" s="1"/>
  <c r="C272" i="4"/>
  <c r="D272" i="4"/>
  <c r="E272" i="4"/>
  <c r="F272" i="4"/>
  <c r="G272" i="4"/>
  <c r="H272" i="4"/>
  <c r="I272" i="4"/>
  <c r="J272" i="4"/>
  <c r="K272" i="4"/>
  <c r="L272" i="4"/>
  <c r="M272" i="4"/>
  <c r="N272" i="4"/>
  <c r="O272" i="4"/>
  <c r="P272" i="4"/>
  <c r="Q272" i="4"/>
  <c r="R272" i="4"/>
  <c r="S272" i="4"/>
  <c r="T272" i="4"/>
  <c r="U272" i="4"/>
  <c r="V272" i="4"/>
  <c r="W272" i="4"/>
  <c r="X272" i="4"/>
  <c r="J269" i="4"/>
  <c r="B277" i="4"/>
  <c r="C277" i="4"/>
  <c r="D277" i="4"/>
  <c r="E277" i="4"/>
  <c r="F277" i="4"/>
  <c r="G277" i="4"/>
  <c r="H277" i="4"/>
  <c r="I277" i="4"/>
  <c r="J277" i="4"/>
  <c r="K277" i="4"/>
  <c r="L277" i="4"/>
  <c r="M277" i="4"/>
  <c r="N277" i="4"/>
  <c r="O277" i="4"/>
  <c r="P277" i="4"/>
  <c r="Q277" i="4"/>
  <c r="R277" i="4"/>
  <c r="S277" i="4"/>
  <c r="T277" i="4"/>
  <c r="U277" i="4"/>
  <c r="V277" i="4"/>
  <c r="W277" i="4"/>
  <c r="X277" i="4"/>
  <c r="J274" i="4"/>
  <c r="B282" i="4"/>
  <c r="C282" i="4"/>
  <c r="D282" i="4"/>
  <c r="E282" i="4"/>
  <c r="F282" i="4"/>
  <c r="G282" i="4"/>
  <c r="H282" i="4"/>
  <c r="I282" i="4"/>
  <c r="J282" i="4"/>
  <c r="K282" i="4"/>
  <c r="L282" i="4"/>
  <c r="M282" i="4"/>
  <c r="N282" i="4"/>
  <c r="O282" i="4"/>
  <c r="P282" i="4"/>
  <c r="Q282" i="4"/>
  <c r="R282" i="4"/>
  <c r="S282" i="4"/>
  <c r="T282" i="4"/>
  <c r="U282" i="4"/>
  <c r="V282" i="4"/>
  <c r="W282" i="4"/>
  <c r="X282" i="4"/>
  <c r="J279" i="4"/>
  <c r="B287" i="4"/>
  <c r="C287" i="4"/>
  <c r="D287" i="4"/>
  <c r="E287" i="4"/>
  <c r="F287" i="4"/>
  <c r="G287" i="4"/>
  <c r="H287" i="4"/>
  <c r="I287" i="4"/>
  <c r="J287" i="4"/>
  <c r="K287" i="4"/>
  <c r="L287" i="4"/>
  <c r="M287" i="4"/>
  <c r="N287" i="4"/>
  <c r="O287" i="4"/>
  <c r="P287" i="4"/>
  <c r="Q287" i="4"/>
  <c r="R287" i="4"/>
  <c r="S287" i="4"/>
  <c r="T287" i="4"/>
  <c r="U287" i="4"/>
  <c r="V287" i="4"/>
  <c r="W287" i="4"/>
  <c r="X287" i="4"/>
  <c r="J284" i="4"/>
  <c r="B292" i="4"/>
  <c r="C292" i="4"/>
  <c r="D292" i="4"/>
  <c r="E292" i="4"/>
  <c r="F292" i="4"/>
  <c r="G292" i="4"/>
  <c r="H292" i="4"/>
  <c r="I292" i="4"/>
  <c r="J292" i="4"/>
  <c r="K292" i="4"/>
  <c r="L292" i="4"/>
  <c r="M292" i="4"/>
  <c r="N292" i="4"/>
  <c r="O292" i="4"/>
  <c r="P292" i="4"/>
  <c r="Q292" i="4"/>
  <c r="R292" i="4"/>
  <c r="S292" i="4"/>
  <c r="T292" i="4"/>
  <c r="U292" i="4"/>
  <c r="V292" i="4"/>
  <c r="W292" i="4"/>
  <c r="X292" i="4"/>
  <c r="J289" i="4"/>
  <c r="B297" i="4"/>
  <c r="C297" i="4"/>
  <c r="D297" i="4"/>
  <c r="E297" i="4"/>
  <c r="F297" i="4"/>
  <c r="G297" i="4"/>
  <c r="H297" i="4"/>
  <c r="I297" i="4"/>
  <c r="J297" i="4"/>
  <c r="K297" i="4"/>
  <c r="L297" i="4"/>
  <c r="M297" i="4"/>
  <c r="N297" i="4"/>
  <c r="O297" i="4"/>
  <c r="P297" i="4"/>
  <c r="Q297" i="4"/>
  <c r="R297" i="4"/>
  <c r="S297" i="4"/>
  <c r="T297" i="4"/>
  <c r="U297" i="4"/>
  <c r="V297" i="4"/>
  <c r="W297" i="4"/>
  <c r="X297" i="4"/>
  <c r="J294" i="4"/>
  <c r="B302" i="4"/>
  <c r="C302" i="4"/>
  <c r="D302" i="4"/>
  <c r="E302" i="4"/>
  <c r="F302" i="4"/>
  <c r="G302" i="4"/>
  <c r="H302" i="4"/>
  <c r="I302" i="4"/>
  <c r="J302" i="4"/>
  <c r="K302" i="4"/>
  <c r="L302" i="4"/>
  <c r="M302" i="4"/>
  <c r="N302" i="4"/>
  <c r="O302" i="4"/>
  <c r="P302" i="4"/>
  <c r="Q302" i="4"/>
  <c r="R302" i="4"/>
  <c r="S302" i="4"/>
  <c r="T302" i="4"/>
  <c r="U302" i="4"/>
  <c r="V302" i="4"/>
  <c r="W302" i="4"/>
  <c r="X302" i="4"/>
  <c r="J299" i="4"/>
  <c r="B312" i="4"/>
  <c r="C312" i="4"/>
  <c r="D312" i="4"/>
  <c r="E312" i="4"/>
  <c r="F312" i="4"/>
  <c r="G312" i="4"/>
  <c r="H312" i="4"/>
  <c r="I312" i="4"/>
  <c r="J312" i="4"/>
  <c r="K312" i="4"/>
  <c r="L312" i="4"/>
  <c r="M312" i="4"/>
  <c r="N312" i="4"/>
  <c r="O312" i="4"/>
  <c r="P312" i="4"/>
  <c r="Q312" i="4"/>
  <c r="R312" i="4"/>
  <c r="S312" i="4"/>
  <c r="T312" i="4"/>
  <c r="U312" i="4"/>
  <c r="V312" i="4"/>
  <c r="W312" i="4"/>
  <c r="X312" i="4"/>
  <c r="J309" i="4"/>
  <c r="A316" i="4"/>
  <c r="B26" i="4"/>
  <c r="N26" i="4"/>
  <c r="B31" i="4"/>
  <c r="N31" i="4"/>
  <c r="B36" i="4"/>
  <c r="N36" i="4"/>
  <c r="B41" i="4"/>
  <c r="N41" i="4"/>
  <c r="B46" i="4"/>
  <c r="N46" i="4"/>
  <c r="B51" i="4"/>
  <c r="N51" i="4"/>
  <c r="B56" i="4"/>
  <c r="N56" i="4"/>
  <c r="B61" i="4"/>
  <c r="N61" i="4"/>
  <c r="B67" i="4"/>
  <c r="B72" i="4"/>
  <c r="B77" i="4"/>
  <c r="B82" i="4"/>
  <c r="B87" i="4"/>
  <c r="B108" i="4"/>
  <c r="B118" i="4"/>
  <c r="B138" i="4"/>
  <c r="B143" i="4"/>
  <c r="B153" i="4"/>
  <c r="B158" i="4"/>
  <c r="B163" i="4"/>
  <c r="B168" i="4"/>
  <c r="B173" i="4"/>
  <c r="B178" i="4"/>
  <c r="B183" i="4"/>
  <c r="B188" i="4"/>
  <c r="B218" i="4"/>
  <c r="B258" i="4"/>
  <c r="B263" i="4"/>
  <c r="B269" i="4"/>
  <c r="B274" i="4"/>
  <c r="B279" i="4"/>
  <c r="B284" i="4"/>
  <c r="B289" i="4"/>
  <c r="B294" i="4"/>
  <c r="B299" i="4"/>
  <c r="B309" i="4"/>
  <c r="E116" i="7"/>
  <c r="F85" i="7"/>
  <c r="H118" i="7"/>
  <c r="H111" i="7"/>
  <c r="E102" i="7"/>
  <c r="E103" i="7"/>
  <c r="E104" i="7"/>
  <c r="E100" i="7"/>
  <c r="H105" i="7"/>
  <c r="J105" i="7"/>
  <c r="J101" i="7"/>
  <c r="J97" i="7"/>
  <c r="F97" i="7"/>
  <c r="J92" i="7"/>
  <c r="J88" i="7"/>
  <c r="J86" i="7"/>
  <c r="J84" i="7"/>
  <c r="F90" i="7"/>
  <c r="F82" i="7"/>
  <c r="D85" i="7"/>
  <c r="D83" i="7"/>
  <c r="D81" i="7"/>
  <c r="D80" i="7"/>
  <c r="B20" i="6"/>
  <c r="F321" i="4"/>
  <c r="F320" i="4"/>
  <c r="C21" i="5"/>
  <c r="C20" i="5"/>
  <c r="C26" i="5"/>
  <c r="C22" i="5"/>
  <c r="C17" i="5"/>
  <c r="C19" i="5"/>
  <c r="C16" i="5"/>
  <c r="C15" i="5"/>
  <c r="L2" i="6"/>
  <c r="C317" i="4"/>
  <c r="F317" i="4"/>
  <c r="C318" i="4"/>
  <c r="F318" i="4"/>
  <c r="C319" i="4"/>
  <c r="F319" i="4"/>
  <c r="C320" i="4"/>
  <c r="C321" i="4"/>
  <c r="C322" i="4"/>
  <c r="C323" i="4"/>
  <c r="C324" i="4"/>
  <c r="B146" i="2"/>
  <c r="B37" i="1"/>
  <c r="B37" i="6"/>
  <c r="B16" i="8"/>
  <c r="B76" i="2"/>
  <c r="B12" i="8"/>
  <c r="B108" i="1"/>
  <c r="F42" i="5"/>
  <c r="B73" i="8"/>
  <c r="B80" i="8"/>
  <c r="C5" i="8"/>
  <c r="B78" i="8"/>
  <c r="B76" i="8"/>
  <c r="B75" i="8"/>
  <c r="B11" i="8"/>
  <c r="C4" i="8"/>
  <c r="C17" i="8"/>
  <c r="C15" i="8"/>
  <c r="C13" i="8"/>
  <c r="B13" i="8"/>
  <c r="C9" i="8"/>
  <c r="C8" i="8"/>
  <c r="B8" i="8"/>
  <c r="C7" i="8"/>
  <c r="N37" i="6"/>
  <c r="C53" i="5"/>
  <c r="C55" i="5"/>
  <c r="T18" i="6"/>
  <c r="S17" i="6"/>
  <c r="S19" i="6"/>
  <c r="S18" i="6"/>
  <c r="S13" i="6"/>
  <c r="S14" i="6"/>
  <c r="S12" i="6"/>
  <c r="T16" i="6"/>
  <c r="T11" i="6"/>
  <c r="L39" i="6"/>
  <c r="B94" i="1"/>
  <c r="B79" i="2"/>
  <c r="H64" i="7"/>
  <c r="H63" i="7" s="1"/>
  <c r="E59" i="7"/>
  <c r="E55" i="7"/>
  <c r="H52" i="7"/>
  <c r="E45" i="7"/>
  <c r="D45" i="7"/>
  <c r="E44" i="7"/>
  <c r="D44" i="7"/>
  <c r="E46" i="7"/>
  <c r="D46" i="7"/>
  <c r="E43" i="7"/>
  <c r="D43" i="7"/>
  <c r="E41" i="7"/>
  <c r="E50" i="7"/>
  <c r="E48" i="7"/>
  <c r="E47" i="7"/>
  <c r="H50" i="7"/>
  <c r="E51" i="7"/>
  <c r="C31" i="7"/>
  <c r="C5" i="5"/>
  <c r="C6" i="5"/>
  <c r="C7" i="5"/>
  <c r="C8" i="5"/>
  <c r="C10" i="5"/>
  <c r="C11" i="5"/>
  <c r="C12" i="5"/>
  <c r="C13" i="5"/>
  <c r="C23" i="5"/>
  <c r="C25" i="5"/>
  <c r="C28" i="5"/>
  <c r="C33" i="5"/>
  <c r="F34" i="5"/>
  <c r="F35" i="5"/>
  <c r="F36" i="5"/>
  <c r="F37" i="5"/>
  <c r="F38" i="5"/>
  <c r="F39" i="5"/>
  <c r="F40" i="5"/>
  <c r="C54" i="5"/>
  <c r="A1" i="4"/>
  <c r="A3" i="4"/>
  <c r="A4" i="4"/>
  <c r="B77" i="2"/>
  <c r="B78" i="2"/>
  <c r="B131" i="2"/>
  <c r="B133" i="2"/>
  <c r="B134" i="2"/>
  <c r="B135" i="2"/>
  <c r="B137" i="2"/>
  <c r="B138" i="2"/>
  <c r="B140" i="2"/>
  <c r="B141" i="2"/>
  <c r="B144" i="2"/>
  <c r="C4" i="1"/>
  <c r="C6" i="1"/>
  <c r="C7" i="1"/>
  <c r="C24" i="1" s="1"/>
  <c r="B8" i="1"/>
  <c r="C8" i="1"/>
  <c r="C9" i="1"/>
  <c r="B11" i="1"/>
  <c r="B12" i="1"/>
  <c r="C12" i="1"/>
  <c r="C14" i="1"/>
  <c r="C18" i="1"/>
  <c r="B19" i="1"/>
  <c r="B20" i="1"/>
  <c r="C23" i="1"/>
  <c r="G23" i="1"/>
  <c r="H23" i="1"/>
  <c r="J23" i="1"/>
  <c r="K23" i="1"/>
  <c r="F24" i="1"/>
  <c r="B25" i="1"/>
  <c r="F25" i="1"/>
  <c r="B27" i="1"/>
  <c r="F26" i="1"/>
  <c r="H26" i="1"/>
  <c r="F28" i="1"/>
  <c r="B31" i="1"/>
  <c r="F29" i="1"/>
  <c r="B32" i="1"/>
  <c r="B33" i="1"/>
  <c r="H33" i="1"/>
  <c r="B34" i="1"/>
  <c r="F34" i="1"/>
  <c r="B35" i="1"/>
  <c r="F35" i="1"/>
  <c r="F36" i="1"/>
  <c r="A40" i="1"/>
  <c r="F40" i="1"/>
  <c r="H40" i="1"/>
  <c r="J40" i="1"/>
  <c r="K40" i="1"/>
  <c r="F42" i="1"/>
  <c r="M42" i="1"/>
  <c r="F43" i="1"/>
  <c r="F44" i="1"/>
  <c r="F45" i="1"/>
  <c r="F47" i="1"/>
  <c r="F48" i="1"/>
  <c r="F49" i="1"/>
  <c r="L49" i="1"/>
  <c r="F50" i="1"/>
  <c r="H50" i="1"/>
  <c r="F51" i="1"/>
  <c r="I51" i="1"/>
  <c r="L51" i="1"/>
  <c r="M51" i="1"/>
  <c r="B103" i="1"/>
  <c r="B110" i="1"/>
  <c r="B111" i="1"/>
  <c r="B112" i="1"/>
  <c r="B113" i="1"/>
  <c r="B114" i="1"/>
  <c r="B118" i="1"/>
  <c r="C143" i="1"/>
  <c r="C145" i="1"/>
  <c r="C147" i="1"/>
  <c r="B149" i="1"/>
  <c r="C4" i="6"/>
  <c r="C6" i="6"/>
  <c r="L6" i="6"/>
  <c r="C7" i="6"/>
  <c r="L7" i="6"/>
  <c r="B8" i="6"/>
  <c r="L8" i="6"/>
  <c r="L9" i="6"/>
  <c r="B12" i="6"/>
  <c r="M11" i="6"/>
  <c r="N11" i="6"/>
  <c r="P11" i="6"/>
  <c r="B13" i="6"/>
  <c r="L12" i="6"/>
  <c r="B14" i="6"/>
  <c r="L13" i="6"/>
  <c r="B15" i="6"/>
  <c r="L14" i="6"/>
  <c r="L15" i="6"/>
  <c r="C17" i="6"/>
  <c r="B19" i="6"/>
  <c r="L18" i="6"/>
  <c r="L19" i="6"/>
  <c r="C21" i="6"/>
  <c r="L20" i="6"/>
  <c r="B22" i="6"/>
  <c r="L21" i="6"/>
  <c r="B23" i="6"/>
  <c r="L22" i="6"/>
  <c r="B24" i="6"/>
  <c r="D26" i="6"/>
  <c r="F26" i="6"/>
  <c r="H26" i="6"/>
  <c r="E27" i="6"/>
  <c r="F28" i="6"/>
  <c r="F29" i="6"/>
  <c r="F30" i="6"/>
  <c r="E31" i="6"/>
  <c r="E32" i="6"/>
  <c r="D36" i="6"/>
  <c r="B92" i="6"/>
  <c r="B97" i="6"/>
  <c r="B103" i="6"/>
  <c r="B104" i="6"/>
  <c r="B105" i="6"/>
  <c r="B107" i="6"/>
  <c r="B108" i="6"/>
  <c r="B109" i="6"/>
  <c r="B114" i="6"/>
  <c r="B115" i="6"/>
  <c r="B117" i="6"/>
  <c r="B118" i="6"/>
  <c r="B119" i="6"/>
  <c r="B121" i="6"/>
  <c r="C124" i="6"/>
  <c r="E124" i="6"/>
  <c r="C125" i="6"/>
  <c r="C126" i="6" s="1"/>
  <c r="C127" i="6" s="1"/>
  <c r="C128" i="6" s="1"/>
  <c r="C129" i="6" s="1"/>
  <c r="D125" i="6"/>
  <c r="E125" i="6" s="1"/>
  <c r="C130" i="6"/>
  <c r="C131" i="6"/>
  <c r="E131" i="6"/>
  <c r="B137" i="6"/>
  <c r="B140" i="6"/>
  <c r="B143" i="6"/>
  <c r="B146" i="6"/>
  <c r="B155" i="6"/>
  <c r="E175" i="6"/>
  <c r="C176" i="6"/>
  <c r="F176" i="6"/>
  <c r="G176" i="6"/>
  <c r="D176" i="6" s="1"/>
  <c r="E176" i="6" s="1"/>
  <c r="H176" i="6"/>
  <c r="C177" i="6"/>
  <c r="F177" i="6"/>
  <c r="G177" i="6"/>
  <c r="D177" i="6" s="1"/>
  <c r="E177" i="6" s="1"/>
  <c r="H177" i="6"/>
  <c r="C178" i="6"/>
  <c r="F178" i="6"/>
  <c r="G178" i="6"/>
  <c r="H178" i="6"/>
  <c r="C179" i="6"/>
  <c r="F179" i="6"/>
  <c r="G179" i="6"/>
  <c r="D179" i="6" s="1"/>
  <c r="E179" i="6" s="1"/>
  <c r="H179" i="6"/>
  <c r="C180" i="6"/>
  <c r="D180" i="6"/>
  <c r="E180" i="6" s="1"/>
  <c r="F180" i="6"/>
  <c r="G180" i="6"/>
  <c r="H180" i="6"/>
  <c r="U120" i="4"/>
  <c r="T121" i="4" s="1"/>
  <c r="O85" i="4"/>
  <c r="R216" i="4"/>
  <c r="V115" i="4"/>
  <c r="J87" i="4"/>
  <c r="S90" i="4"/>
  <c r="Q90" i="4"/>
  <c r="I90" i="4"/>
  <c r="G90" i="4"/>
  <c r="T214" i="4"/>
  <c r="U214" i="4" s="1"/>
  <c r="V214" i="4" s="1"/>
  <c r="W214" i="4" s="1"/>
  <c r="X85" i="4"/>
  <c r="T85" i="4"/>
  <c r="R85" i="4"/>
  <c r="J85" i="4"/>
  <c r="K196" i="4"/>
  <c r="T211" i="4"/>
  <c r="S251" i="4"/>
  <c r="L246" i="4"/>
  <c r="K246" i="4"/>
  <c r="R251" i="4"/>
  <c r="U116" i="4"/>
  <c r="W115" i="4"/>
  <c r="X115" i="4" s="1"/>
  <c r="U211" i="4"/>
  <c r="M246" i="4"/>
  <c r="V250" i="4"/>
  <c r="T251" i="4"/>
  <c r="V211" i="4"/>
  <c r="N246" i="4"/>
  <c r="X245" i="4"/>
  <c r="W211" i="4"/>
  <c r="X211" i="4"/>
  <c r="O246" i="4"/>
  <c r="P246" i="4"/>
  <c r="Q246" i="4"/>
  <c r="R246" i="4"/>
  <c r="S246" i="4"/>
  <c r="T246" i="4"/>
  <c r="U246" i="4"/>
  <c r="X244" i="4"/>
  <c r="V246" i="4"/>
  <c r="U125" i="4"/>
  <c r="V125" i="4" s="1"/>
  <c r="P14" i="6"/>
  <c r="E11" i="7" s="1"/>
  <c r="C133" i="6"/>
  <c r="D161" i="6"/>
  <c r="E161" i="6" s="1"/>
  <c r="D158" i="6"/>
  <c r="E158" i="6" s="1"/>
  <c r="D162" i="6"/>
  <c r="E162" i="6" s="1"/>
  <c r="D160" i="6"/>
  <c r="E160" i="6" s="1"/>
  <c r="D159" i="6"/>
  <c r="E159" i="6" s="1"/>
  <c r="S206" i="4"/>
  <c r="R206" i="4"/>
  <c r="T206" i="4"/>
  <c r="U206" i="4"/>
  <c r="X205" i="4"/>
  <c r="W206" i="4" s="1"/>
  <c r="V206" i="4"/>
  <c r="X100" i="4"/>
  <c r="L105" i="4"/>
  <c r="C105" i="4"/>
  <c r="K105" i="4"/>
  <c r="O105" i="4"/>
  <c r="U100" i="4"/>
  <c r="R241" i="4" l="1"/>
  <c r="U165" i="4"/>
  <c r="T166" i="4" s="1"/>
  <c r="D173" i="4"/>
  <c r="F173" i="4" s="1"/>
  <c r="R90" i="4"/>
  <c r="L85" i="4"/>
  <c r="R100" i="4"/>
  <c r="D133" i="4"/>
  <c r="F133" i="4" s="1"/>
  <c r="I105" i="4"/>
  <c r="W130" i="4"/>
  <c r="V131" i="4" s="1"/>
  <c r="D183" i="4"/>
  <c r="F183" i="4" s="1"/>
  <c r="D138" i="4"/>
  <c r="F138" i="4" s="1"/>
  <c r="D92" i="4"/>
  <c r="F92" i="4" s="1"/>
  <c r="D90" i="4"/>
  <c r="D153" i="4"/>
  <c r="F153" i="4" s="1"/>
  <c r="P85" i="4"/>
  <c r="D51" i="4"/>
  <c r="F51" i="4" s="1"/>
  <c r="S226" i="4"/>
  <c r="F90" i="4"/>
  <c r="W85" i="4"/>
  <c r="D56" i="4"/>
  <c r="F56" i="4" s="1"/>
  <c r="R201" i="4"/>
  <c r="V116" i="4"/>
  <c r="V85" i="4"/>
  <c r="F85" i="4"/>
  <c r="D77" i="4"/>
  <c r="F77" i="4" s="1"/>
  <c r="D72" i="4"/>
  <c r="F72" i="4" s="1"/>
  <c r="P100" i="4"/>
  <c r="I38" i="7"/>
  <c r="B81" i="8"/>
  <c r="L4" i="3"/>
  <c r="H4" i="3"/>
  <c r="E8" i="7"/>
  <c r="C198" i="6"/>
  <c r="C197" i="6"/>
  <c r="B197" i="6" s="1"/>
  <c r="C182" i="6"/>
  <c r="E188" i="6"/>
  <c r="B189" i="6"/>
  <c r="C184" i="6"/>
  <c r="E192" i="6"/>
  <c r="D284" i="4"/>
  <c r="F284" i="4" s="1"/>
  <c r="N194" i="4"/>
  <c r="L196" i="4"/>
  <c r="C90" i="4"/>
  <c r="D67" i="4"/>
  <c r="F67" i="4" s="1"/>
  <c r="D46" i="4"/>
  <c r="F46" i="4" s="1"/>
  <c r="W90" i="4"/>
  <c r="D168" i="4"/>
  <c r="F168" i="4" s="1"/>
  <c r="J82" i="4"/>
  <c r="J105" i="4"/>
  <c r="N90" i="4"/>
  <c r="H69" i="7"/>
  <c r="G100" i="4"/>
  <c r="X246" i="4"/>
  <c r="S191" i="4"/>
  <c r="U251" i="4"/>
  <c r="V120" i="4"/>
  <c r="W120" i="4" s="1"/>
  <c r="X120" i="4" s="1"/>
  <c r="G85" i="4"/>
  <c r="T90" i="4"/>
  <c r="C136" i="6"/>
  <c r="V165" i="4"/>
  <c r="U166" i="4" s="1"/>
  <c r="D143" i="4"/>
  <c r="F143" i="4" s="1"/>
  <c r="Q85" i="4"/>
  <c r="T234" i="4"/>
  <c r="U234" i="4" s="1"/>
  <c r="V234" i="4" s="1"/>
  <c r="W234" i="4" s="1"/>
  <c r="L100" i="4"/>
  <c r="P105" i="4"/>
  <c r="R105" i="4"/>
  <c r="N85" i="4"/>
  <c r="S105" i="4"/>
  <c r="D274" i="4"/>
  <c r="F274" i="4" s="1"/>
  <c r="D218" i="4"/>
  <c r="F218" i="4" s="1"/>
  <c r="M20" i="6"/>
  <c r="K85" i="4"/>
  <c r="X105" i="4"/>
  <c r="B79" i="8"/>
  <c r="C148" i="6"/>
  <c r="D178" i="4"/>
  <c r="F178" i="4" s="1"/>
  <c r="P90" i="4"/>
  <c r="I85" i="4"/>
  <c r="T126" i="4"/>
  <c r="V100" i="4"/>
  <c r="D279" i="4"/>
  <c r="F279" i="4" s="1"/>
  <c r="D258" i="4"/>
  <c r="F258" i="4" s="1"/>
  <c r="M90" i="4"/>
  <c r="D61" i="4"/>
  <c r="F61" i="4" s="1"/>
  <c r="D41" i="4"/>
  <c r="F41" i="4" s="1"/>
  <c r="D158" i="4"/>
  <c r="F158" i="4" s="1"/>
  <c r="H90" i="4"/>
  <c r="B105" i="4"/>
  <c r="U256" i="4"/>
  <c r="E90" i="4"/>
  <c r="B100" i="4"/>
  <c r="D26" i="4"/>
  <c r="F26" i="4" s="1"/>
  <c r="E185" i="6"/>
  <c r="W116" i="4"/>
  <c r="D113" i="4" s="1"/>
  <c r="F113" i="4" s="1"/>
  <c r="X116" i="4"/>
  <c r="U239" i="4"/>
  <c r="V239" i="4" s="1"/>
  <c r="W239" i="4" s="1"/>
  <c r="X239" i="4" s="1"/>
  <c r="S241" i="4"/>
  <c r="U126" i="4"/>
  <c r="W125" i="4"/>
  <c r="S216" i="4"/>
  <c r="U215" i="4"/>
  <c r="T216" i="4" s="1"/>
  <c r="D309" i="4"/>
  <c r="F309" i="4" s="1"/>
  <c r="D299" i="4"/>
  <c r="F299" i="4" s="1"/>
  <c r="D294" i="4"/>
  <c r="F294" i="4" s="1"/>
  <c r="D208" i="4"/>
  <c r="F208" i="4" s="1"/>
  <c r="B90" i="4"/>
  <c r="U110" i="4"/>
  <c r="J97" i="4"/>
  <c r="F100" i="4"/>
  <c r="N100" i="4"/>
  <c r="T100" i="4"/>
  <c r="V105" i="4"/>
  <c r="C100" i="4"/>
  <c r="W100" i="4"/>
  <c r="H105" i="4"/>
  <c r="U105" i="4"/>
  <c r="D126" i="6"/>
  <c r="W250" i="4"/>
  <c r="X250" i="4" s="1"/>
  <c r="X251" i="4" s="1"/>
  <c r="D289" i="4"/>
  <c r="F289" i="4" s="1"/>
  <c r="X130" i="4"/>
  <c r="W246" i="4"/>
  <c r="C85" i="4"/>
  <c r="B199" i="6"/>
  <c r="D100" i="4"/>
  <c r="J102" i="4"/>
  <c r="F105" i="4"/>
  <c r="M105" i="4"/>
  <c r="E186" i="6"/>
  <c r="E187" i="6"/>
  <c r="J24" i="7"/>
  <c r="D304" i="4"/>
  <c r="F304" i="4" s="1"/>
  <c r="U200" i="4"/>
  <c r="S201" i="4"/>
  <c r="T191" i="4"/>
  <c r="V190" i="4"/>
  <c r="T226" i="4"/>
  <c r="V225" i="4"/>
  <c r="X255" i="4"/>
  <c r="V256" i="4"/>
  <c r="X240" i="4"/>
  <c r="U235" i="4"/>
  <c r="K100" i="4"/>
  <c r="M100" i="4"/>
  <c r="O100" i="4"/>
  <c r="D105" i="4"/>
  <c r="W105" i="4"/>
  <c r="I100" i="4"/>
  <c r="X206" i="4"/>
  <c r="D203" i="4" s="1"/>
  <c r="F203" i="4" s="1"/>
  <c r="B2" i="4"/>
  <c r="M24" i="6"/>
  <c r="K24" i="7"/>
  <c r="F94" i="7"/>
  <c r="M23" i="6"/>
  <c r="B59" i="8"/>
  <c r="C59" i="8" s="1"/>
  <c r="C15" i="1"/>
  <c r="H51" i="7" s="1"/>
  <c r="B61" i="8"/>
  <c r="C61" i="8" s="1"/>
  <c r="D178" i="6"/>
  <c r="E178" i="6" s="1"/>
  <c r="E56" i="7"/>
  <c r="B63" i="8"/>
  <c r="C63" i="8" s="1"/>
  <c r="E40" i="7"/>
  <c r="O23" i="6"/>
  <c r="O24" i="6"/>
  <c r="B55" i="8"/>
  <c r="C55" i="8" s="1"/>
  <c r="B65" i="8"/>
  <c r="C65" i="8" s="1"/>
  <c r="B69" i="8"/>
  <c r="C69" i="8" s="1"/>
  <c r="B64" i="8"/>
  <c r="C64" i="8" s="1"/>
  <c r="B67" i="8"/>
  <c r="C67" i="8" s="1"/>
  <c r="H27" i="6"/>
  <c r="H45" i="7" s="1"/>
  <c r="C16" i="8"/>
  <c r="B68" i="8"/>
  <c r="C68" i="8" s="1"/>
  <c r="B56" i="8"/>
  <c r="C56" i="8" s="1"/>
  <c r="B58" i="8"/>
  <c r="C58" i="8" s="1"/>
  <c r="B62" i="8"/>
  <c r="C62" i="8" s="1"/>
  <c r="O18" i="6"/>
  <c r="D35" i="6"/>
  <c r="O21" i="6" s="1"/>
  <c r="B54" i="8"/>
  <c r="C54" i="8" s="1"/>
  <c r="D26" i="7"/>
  <c r="B53" i="8"/>
  <c r="C53" i="8" s="1"/>
  <c r="B60" i="8"/>
  <c r="C60" i="8" s="1"/>
  <c r="B66" i="8"/>
  <c r="C66" i="8" s="1"/>
  <c r="B52" i="8"/>
  <c r="C52" i="8" s="1"/>
  <c r="B57" i="8"/>
  <c r="C57" i="8" s="1"/>
  <c r="T14" i="6"/>
  <c r="C173" i="6"/>
  <c r="C172" i="6"/>
  <c r="C195" i="6"/>
  <c r="A317" i="4" a="1"/>
  <c r="A341" i="4" s="1"/>
  <c r="D148" i="4"/>
  <c r="F148" i="4" s="1"/>
  <c r="E107" i="7"/>
  <c r="H28" i="1"/>
  <c r="H67" i="7"/>
  <c r="H17" i="7"/>
  <c r="B107" i="1"/>
  <c r="E24" i="1"/>
  <c r="B109" i="1"/>
  <c r="H48" i="1"/>
  <c r="B158" i="1"/>
  <c r="B132" i="1"/>
  <c r="G4" i="3"/>
  <c r="C139" i="6"/>
  <c r="C134" i="6"/>
  <c r="C143" i="6"/>
  <c r="C146" i="6"/>
  <c r="AD4" i="3"/>
  <c r="E190" i="6"/>
  <c r="D32" i="1"/>
  <c r="I68" i="7" s="1"/>
  <c r="C11" i="8"/>
  <c r="AE4" i="3"/>
  <c r="T19" i="6"/>
  <c r="C142" i="6"/>
  <c r="C141" i="6"/>
  <c r="C145" i="6"/>
  <c r="I71" i="7"/>
  <c r="H5" i="7"/>
  <c r="B77" i="8"/>
  <c r="C196" i="6"/>
  <c r="B196" i="6" s="1"/>
  <c r="C147" i="6"/>
  <c r="E42" i="7"/>
  <c r="E193" i="6"/>
  <c r="E189" i="6"/>
  <c r="C183" i="6"/>
  <c r="J90" i="7"/>
  <c r="F118" i="7" s="1"/>
  <c r="C132" i="6"/>
  <c r="F27" i="7"/>
  <c r="H41" i="7"/>
  <c r="C137" i="6"/>
  <c r="C135" i="6"/>
  <c r="C138" i="6"/>
  <c r="E33" i="6"/>
  <c r="C144" i="6"/>
  <c r="T17" i="6"/>
  <c r="E14" i="7"/>
  <c r="B201" i="6"/>
  <c r="C201" i="6" s="1"/>
  <c r="B186" i="6"/>
  <c r="B200" i="6"/>
  <c r="C200" i="6" s="1"/>
  <c r="E183" i="6"/>
  <c r="B187" i="6"/>
  <c r="E184" i="6"/>
  <c r="B202" i="6"/>
  <c r="Q3" i="4"/>
  <c r="T3" i="4"/>
  <c r="Y4" i="4"/>
  <c r="V241" i="4" l="1"/>
  <c r="U121" i="4"/>
  <c r="T241" i="4"/>
  <c r="S236" i="4"/>
  <c r="C163" i="6"/>
  <c r="C166" i="6"/>
  <c r="C167" i="6"/>
  <c r="E4" i="7"/>
  <c r="V215" i="4"/>
  <c r="W215" i="4" s="1"/>
  <c r="V121" i="4"/>
  <c r="U241" i="4"/>
  <c r="D82" i="4"/>
  <c r="F82" i="4" s="1"/>
  <c r="D97" i="4"/>
  <c r="F97" i="4" s="1"/>
  <c r="D243" i="4"/>
  <c r="F243" i="4" s="1"/>
  <c r="W251" i="4"/>
  <c r="W165" i="4"/>
  <c r="V166" i="4" s="1"/>
  <c r="D87" i="4"/>
  <c r="F87" i="4" s="1"/>
  <c r="O194" i="4"/>
  <c r="M196" i="4"/>
  <c r="V126" i="4"/>
  <c r="X125" i="4"/>
  <c r="V251" i="4"/>
  <c r="X131" i="4"/>
  <c r="W131" i="4"/>
  <c r="V110" i="4"/>
  <c r="T111" i="4"/>
  <c r="D102" i="4"/>
  <c r="F102" i="4" s="1"/>
  <c r="E126" i="6"/>
  <c r="D127" i="6"/>
  <c r="W121" i="4"/>
  <c r="X121" i="4"/>
  <c r="W225" i="4"/>
  <c r="U226" i="4"/>
  <c r="X256" i="4"/>
  <c r="W256" i="4"/>
  <c r="D253" i="4" s="1"/>
  <c r="T201" i="4"/>
  <c r="V200" i="4"/>
  <c r="T236" i="4"/>
  <c r="V235" i="4"/>
  <c r="X241" i="4"/>
  <c r="W241" i="4"/>
  <c r="U191" i="4"/>
  <c r="W190" i="4"/>
  <c r="D157" i="6"/>
  <c r="D137" i="6"/>
  <c r="W4" i="3"/>
  <c r="D139" i="6"/>
  <c r="D133" i="6"/>
  <c r="E133" i="6" s="1"/>
  <c r="D156" i="6"/>
  <c r="D135" i="6"/>
  <c r="E135" i="6" s="1"/>
  <c r="E52" i="7"/>
  <c r="D140" i="6"/>
  <c r="E30" i="6"/>
  <c r="E34" i="6"/>
  <c r="D138" i="6"/>
  <c r="D145" i="6"/>
  <c r="D148" i="6"/>
  <c r="D143" i="6"/>
  <c r="D141" i="6"/>
  <c r="D134" i="6"/>
  <c r="E134" i="6" s="1"/>
  <c r="O20" i="6"/>
  <c r="I28" i="6" s="1"/>
  <c r="D136" i="6"/>
  <c r="E136" i="6" s="1"/>
  <c r="D147" i="6"/>
  <c r="E57" i="7"/>
  <c r="D142" i="6"/>
  <c r="D155" i="6"/>
  <c r="D132" i="6"/>
  <c r="E132" i="6" s="1"/>
  <c r="C168" i="6"/>
  <c r="C169" i="6" s="1"/>
  <c r="D168" i="6"/>
  <c r="D169" i="6" s="1"/>
  <c r="D144" i="6"/>
  <c r="E53" i="7"/>
  <c r="D146" i="6"/>
  <c r="S27" i="6"/>
  <c r="H12" i="7"/>
  <c r="I16" i="7"/>
  <c r="K51" i="1"/>
  <c r="R28" i="1"/>
  <c r="A323" i="4"/>
  <c r="A330" i="4"/>
  <c r="A331" i="4"/>
  <c r="A343" i="4"/>
  <c r="A339" i="4"/>
  <c r="A327" i="4"/>
  <c r="A338" i="4"/>
  <c r="A320" i="4"/>
  <c r="A332" i="4"/>
  <c r="A337" i="4"/>
  <c r="A340" i="4"/>
  <c r="A318" i="4"/>
  <c r="A333" i="4"/>
  <c r="A328" i="4"/>
  <c r="A342" i="4"/>
  <c r="A325" i="4"/>
  <c r="A336" i="4"/>
  <c r="A317" i="4"/>
  <c r="A346" i="4"/>
  <c r="A322" i="4"/>
  <c r="A329" i="4"/>
  <c r="A321" i="4"/>
  <c r="A326" i="4"/>
  <c r="A345" i="4"/>
  <c r="A319" i="4"/>
  <c r="A324" i="4"/>
  <c r="A335" i="4"/>
  <c r="A344" i="4"/>
  <c r="A334" i="4"/>
  <c r="S3" i="4"/>
  <c r="B4" i="4"/>
  <c r="H4" i="4"/>
  <c r="O3" i="4"/>
  <c r="H3" i="4"/>
  <c r="R2" i="4"/>
  <c r="Q4" i="4"/>
  <c r="C4" i="4"/>
  <c r="N4" i="4"/>
  <c r="K4" i="4"/>
  <c r="J3" i="4"/>
  <c r="G4" i="4"/>
  <c r="U3" i="4"/>
  <c r="Y3" i="4"/>
  <c r="F4" i="4"/>
  <c r="U4" i="4"/>
  <c r="K3" i="4"/>
  <c r="P2" i="4"/>
  <c r="T4" i="4"/>
  <c r="X2" i="4"/>
  <c r="V4" i="4"/>
  <c r="I4" i="4"/>
  <c r="O4" i="4"/>
  <c r="W3" i="4"/>
  <c r="M3" i="4"/>
  <c r="J2" i="4"/>
  <c r="L2" i="4"/>
  <c r="L3" i="4"/>
  <c r="V3" i="4"/>
  <c r="C3" i="4"/>
  <c r="G3" i="4"/>
  <c r="R4" i="4"/>
  <c r="F3" i="4"/>
  <c r="X3" i="4"/>
  <c r="N3" i="4"/>
  <c r="T2" i="4"/>
  <c r="R3" i="4"/>
  <c r="Z2" i="4"/>
  <c r="M4" i="4"/>
  <c r="B3" i="4"/>
  <c r="P4" i="4"/>
  <c r="L4" i="4"/>
  <c r="E4" i="4"/>
  <c r="H2" i="4"/>
  <c r="N2" i="4"/>
  <c r="I3" i="4"/>
  <c r="J4" i="4"/>
  <c r="S4" i="4"/>
  <c r="D3" i="4"/>
  <c r="E3" i="4"/>
  <c r="V2" i="4"/>
  <c r="D4" i="4"/>
  <c r="P3" i="4"/>
  <c r="D248" i="4" l="1"/>
  <c r="F248" i="4" s="1"/>
  <c r="X165" i="4"/>
  <c r="D128" i="4"/>
  <c r="D166" i="6"/>
  <c r="E166" i="6" s="1"/>
  <c r="D167" i="6"/>
  <c r="E167" i="6" s="1"/>
  <c r="D163" i="6"/>
  <c r="E163" i="6" s="1"/>
  <c r="E28" i="6"/>
  <c r="D164" i="6"/>
  <c r="E164" i="6" s="1"/>
  <c r="D165" i="6"/>
  <c r="E165" i="6" s="1"/>
  <c r="A5" i="3"/>
  <c r="B5" i="3" s="1"/>
  <c r="Z5" i="3" s="1"/>
  <c r="N12" i="6"/>
  <c r="N14" i="6"/>
  <c r="I41" i="7" s="1"/>
  <c r="N13" i="6"/>
  <c r="C206" i="6"/>
  <c r="C205" i="6"/>
  <c r="C207" i="6"/>
  <c r="C209" i="6"/>
  <c r="C208" i="6"/>
  <c r="C210" i="6"/>
  <c r="N196" i="4"/>
  <c r="P194" i="4"/>
  <c r="D238" i="4"/>
  <c r="U216" i="4"/>
  <c r="F108" i="1"/>
  <c r="F107" i="1"/>
  <c r="F106" i="1"/>
  <c r="H18" i="7"/>
  <c r="F109" i="1"/>
  <c r="F105" i="1"/>
  <c r="E101" i="7"/>
  <c r="C171" i="6"/>
  <c r="C170" i="6"/>
  <c r="E49" i="7"/>
  <c r="E18" i="7"/>
  <c r="T13" i="6"/>
  <c r="T12" i="6"/>
  <c r="C174" i="6"/>
  <c r="M13" i="6"/>
  <c r="D171" i="6"/>
  <c r="B50" i="8"/>
  <c r="C50" i="8" s="1"/>
  <c r="D174" i="6"/>
  <c r="B45" i="8"/>
  <c r="C45" i="8" s="1"/>
  <c r="B51" i="8"/>
  <c r="C51" i="8" s="1"/>
  <c r="B43" i="8"/>
  <c r="C43" i="8" s="1"/>
  <c r="B44" i="8"/>
  <c r="C44" i="8" s="1"/>
  <c r="B46" i="8"/>
  <c r="C46" i="8" s="1"/>
  <c r="D172" i="6"/>
  <c r="D170" i="6"/>
  <c r="D173" i="6"/>
  <c r="B48" i="8"/>
  <c r="C48" i="8" s="1"/>
  <c r="B49" i="8"/>
  <c r="C49" i="8" s="1"/>
  <c r="B47" i="8"/>
  <c r="C47" i="8" s="1"/>
  <c r="D59" i="8"/>
  <c r="E59" i="8" s="1"/>
  <c r="D68" i="8"/>
  <c r="F68" i="8" s="1"/>
  <c r="I68" i="8" s="1"/>
  <c r="D61" i="8"/>
  <c r="F61" i="8" s="1"/>
  <c r="I61" i="8" s="1"/>
  <c r="D49" i="8"/>
  <c r="E49" i="8" s="1"/>
  <c r="D53" i="8"/>
  <c r="E53" i="8" s="1"/>
  <c r="M14" i="6"/>
  <c r="M12" i="6"/>
  <c r="D54" i="8"/>
  <c r="E54" i="8" s="1"/>
  <c r="H54" i="8" s="1"/>
  <c r="D65" i="8"/>
  <c r="E65" i="8" s="1"/>
  <c r="D66" i="8"/>
  <c r="E66" i="8" s="1"/>
  <c r="H66" i="8" s="1"/>
  <c r="D55" i="8"/>
  <c r="F55" i="8" s="1"/>
  <c r="I55" i="8" s="1"/>
  <c r="D64" i="8"/>
  <c r="E64" i="8" s="1"/>
  <c r="H64" i="8" s="1"/>
  <c r="D44" i="8"/>
  <c r="E44" i="8" s="1"/>
  <c r="D67" i="8"/>
  <c r="E67" i="8" s="1"/>
  <c r="H67" i="8" s="1"/>
  <c r="D58" i="8"/>
  <c r="F58" i="8" s="1"/>
  <c r="I58" i="8" s="1"/>
  <c r="D69" i="8"/>
  <c r="F69" i="8" s="1"/>
  <c r="I69" i="8" s="1"/>
  <c r="D57" i="8"/>
  <c r="E57" i="8" s="1"/>
  <c r="D46" i="8"/>
  <c r="F46" i="8" s="1"/>
  <c r="D62" i="8"/>
  <c r="F62" i="8" s="1"/>
  <c r="I62" i="8" s="1"/>
  <c r="D43" i="8"/>
  <c r="E43" i="8" s="1"/>
  <c r="D50" i="8"/>
  <c r="F50" i="8" s="1"/>
  <c r="D48" i="8"/>
  <c r="F48" i="8" s="1"/>
  <c r="D47" i="8"/>
  <c r="E47" i="8" s="1"/>
  <c r="D45" i="8"/>
  <c r="E45" i="8" s="1"/>
  <c r="D52" i="8"/>
  <c r="F52" i="8" s="1"/>
  <c r="I52" i="8" s="1"/>
  <c r="D63" i="8"/>
  <c r="E63" i="8" s="1"/>
  <c r="H63" i="8" s="1"/>
  <c r="D56" i="8"/>
  <c r="F56" i="8" s="1"/>
  <c r="I56" i="8" s="1"/>
  <c r="D60" i="8"/>
  <c r="E60" i="8" s="1"/>
  <c r="D51" i="8"/>
  <c r="E51" i="8" s="1"/>
  <c r="W166" i="4"/>
  <c r="D163" i="4" s="1"/>
  <c r="F163" i="4" s="1"/>
  <c r="X166" i="4"/>
  <c r="E127" i="6"/>
  <c r="D128" i="6"/>
  <c r="W110" i="4"/>
  <c r="U111" i="4"/>
  <c r="X126" i="4"/>
  <c r="W126" i="4"/>
  <c r="D118" i="4"/>
  <c r="F118" i="4" s="1"/>
  <c r="W235" i="4"/>
  <c r="U236" i="4"/>
  <c r="W200" i="4"/>
  <c r="U201" i="4"/>
  <c r="X215" i="4"/>
  <c r="V216" i="4"/>
  <c r="V226" i="4"/>
  <c r="X225" i="4"/>
  <c r="X190" i="4"/>
  <c r="V191" i="4"/>
  <c r="I31" i="6"/>
  <c r="C154" i="6" s="1"/>
  <c r="E29" i="6"/>
  <c r="C191" i="6"/>
  <c r="D153" i="6"/>
  <c r="C192" i="6"/>
  <c r="W4" i="4"/>
  <c r="D123" i="4" l="1"/>
  <c r="C11" i="1"/>
  <c r="S4" i="3" s="1"/>
  <c r="T4" i="3" s="1"/>
  <c r="U4" i="3" s="1"/>
  <c r="P15" i="6"/>
  <c r="M15" i="6" s="1"/>
  <c r="J42" i="7" s="1"/>
  <c r="E35" i="6"/>
  <c r="O22" i="6" s="1"/>
  <c r="O19" i="6" s="1"/>
  <c r="H28" i="6" s="1"/>
  <c r="C190" i="6" s="1"/>
  <c r="M22" i="6"/>
  <c r="C164" i="6"/>
  <c r="C165" i="6"/>
  <c r="AC5" i="3"/>
  <c r="P5" i="3"/>
  <c r="Q5" i="3" s="1"/>
  <c r="A6" i="3"/>
  <c r="B6" i="3" s="1"/>
  <c r="AC6" i="3" s="1"/>
  <c r="I50" i="8"/>
  <c r="E50" i="8"/>
  <c r="E110" i="7"/>
  <c r="E48" i="8"/>
  <c r="C25" i="1"/>
  <c r="C32" i="1" s="1"/>
  <c r="K49" i="1" s="1"/>
  <c r="AA5" i="3"/>
  <c r="AD5" i="3"/>
  <c r="F66" i="8"/>
  <c r="I66" i="8" s="1"/>
  <c r="E55" i="8"/>
  <c r="H55" i="8" s="1"/>
  <c r="H65" i="8"/>
  <c r="F65" i="8"/>
  <c r="I65" i="8" s="1"/>
  <c r="F63" i="8"/>
  <c r="I63" i="8" s="1"/>
  <c r="H57" i="8"/>
  <c r="F57" i="8"/>
  <c r="I57" i="8" s="1"/>
  <c r="F64" i="8"/>
  <c r="I64" i="8" s="1"/>
  <c r="F44" i="8"/>
  <c r="I44" i="8" s="1"/>
  <c r="I46" i="8"/>
  <c r="H43" i="8"/>
  <c r="C204" i="6"/>
  <c r="H44" i="8"/>
  <c r="I48" i="8"/>
  <c r="H45" i="8"/>
  <c r="H53" i="8"/>
  <c r="F107" i="7"/>
  <c r="E58" i="7"/>
  <c r="H65" i="7" s="1"/>
  <c r="H60" i="8"/>
  <c r="F53" i="8"/>
  <c r="I53" i="8" s="1"/>
  <c r="H59" i="8"/>
  <c r="J41" i="7"/>
  <c r="E52" i="8"/>
  <c r="H52" i="8" s="1"/>
  <c r="F51" i="8"/>
  <c r="I51" i="8" s="1"/>
  <c r="F67" i="8"/>
  <c r="I67" i="8" s="1"/>
  <c r="E68" i="8"/>
  <c r="H68" i="8" s="1"/>
  <c r="F59" i="8"/>
  <c r="I59" i="8" s="1"/>
  <c r="F49" i="8"/>
  <c r="I49" i="8" s="1"/>
  <c r="E69" i="8"/>
  <c r="H69" i="8" s="1"/>
  <c r="F54" i="8"/>
  <c r="I54" i="8" s="1"/>
  <c r="Q194" i="4"/>
  <c r="O196" i="4"/>
  <c r="H49" i="8"/>
  <c r="C12" i="8"/>
  <c r="E46" i="8"/>
  <c r="H47" i="8"/>
  <c r="H51" i="8"/>
  <c r="F60" i="8"/>
  <c r="I60" i="8" s="1"/>
  <c r="F45" i="8"/>
  <c r="I45" i="8" s="1"/>
  <c r="F43" i="8"/>
  <c r="I43" i="8" s="1"/>
  <c r="E62" i="8"/>
  <c r="H62" i="8" s="1"/>
  <c r="E61" i="8"/>
  <c r="F47" i="8"/>
  <c r="I47" i="8" s="1"/>
  <c r="E56" i="8"/>
  <c r="H56" i="8" s="1"/>
  <c r="E58" i="8"/>
  <c r="V111" i="4"/>
  <c r="X110" i="4"/>
  <c r="E128" i="6"/>
  <c r="D129" i="6"/>
  <c r="X200" i="4"/>
  <c r="V201" i="4"/>
  <c r="W226" i="4"/>
  <c r="X226" i="4"/>
  <c r="X191" i="4"/>
  <c r="W191" i="4"/>
  <c r="W216" i="4"/>
  <c r="X216" i="4"/>
  <c r="V236" i="4"/>
  <c r="X235" i="4"/>
  <c r="C153" i="6"/>
  <c r="X4" i="4"/>
  <c r="N15" i="6" l="1"/>
  <c r="I42" i="7" s="1"/>
  <c r="H42" i="7"/>
  <c r="E108" i="7"/>
  <c r="D23" i="7"/>
  <c r="M19" i="6"/>
  <c r="H31" i="6" s="1"/>
  <c r="H29" i="6" s="1"/>
  <c r="H47" i="7" s="1"/>
  <c r="AA6" i="3"/>
  <c r="H48" i="8"/>
  <c r="P29" i="1"/>
  <c r="A7" i="3"/>
  <c r="B7" i="3" s="1"/>
  <c r="P7" i="3" s="1"/>
  <c r="Q7" i="3" s="1"/>
  <c r="AD6" i="3"/>
  <c r="P6" i="3"/>
  <c r="Q6" i="3" s="1"/>
  <c r="H71" i="7"/>
  <c r="Z6" i="3"/>
  <c r="H68" i="7"/>
  <c r="H16" i="7"/>
  <c r="P28" i="1"/>
  <c r="H50" i="8"/>
  <c r="C149" i="6"/>
  <c r="H46" i="8"/>
  <c r="H46" i="7"/>
  <c r="D152" i="6"/>
  <c r="H13" i="7"/>
  <c r="H58" i="8"/>
  <c r="R194" i="4"/>
  <c r="P196" i="4"/>
  <c r="F108" i="7"/>
  <c r="D213" i="4"/>
  <c r="F213" i="4" s="1"/>
  <c r="B191" i="6"/>
  <c r="C194" i="6"/>
  <c r="H61" i="8"/>
  <c r="D223" i="4"/>
  <c r="F223" i="4" s="1"/>
  <c r="X111" i="4"/>
  <c r="W111" i="4"/>
  <c r="D108" i="4" s="1"/>
  <c r="D188" i="4"/>
  <c r="F188" i="4" s="1"/>
  <c r="D130" i="6"/>
  <c r="E130" i="6" s="1"/>
  <c r="E129" i="6"/>
  <c r="S28" i="6"/>
  <c r="C193" i="6"/>
  <c r="X236" i="4"/>
  <c r="W236" i="4"/>
  <c r="W201" i="4"/>
  <c r="X201" i="4"/>
  <c r="D198" i="4" l="1"/>
  <c r="C155" i="6"/>
  <c r="I29" i="6"/>
  <c r="I47" i="7" s="1"/>
  <c r="C150" i="6"/>
  <c r="B192" i="6"/>
  <c r="B193" i="6"/>
  <c r="H32" i="6"/>
  <c r="I32" i="6"/>
  <c r="C157" i="6"/>
  <c r="C152" i="6"/>
  <c r="C151" i="6"/>
  <c r="F198" i="4"/>
  <c r="A8" i="3"/>
  <c r="B8" i="3" s="1"/>
  <c r="Z8" i="3" s="1"/>
  <c r="Z7" i="3"/>
  <c r="AD7" i="3"/>
  <c r="AA7" i="3"/>
  <c r="AC7" i="3"/>
  <c r="H14" i="7"/>
  <c r="B194" i="6"/>
  <c r="H30" i="6"/>
  <c r="H48" i="7" s="1"/>
  <c r="B190" i="6"/>
  <c r="S194" i="4"/>
  <c r="Q196" i="4"/>
  <c r="F108" i="4"/>
  <c r="D233" i="4"/>
  <c r="F233" i="4" s="1"/>
  <c r="D2" i="4"/>
  <c r="F2" i="4"/>
  <c r="G64" i="8" l="1"/>
  <c r="J64" i="8" s="1"/>
  <c r="G47" i="8"/>
  <c r="J47" i="8" s="1"/>
  <c r="G61" i="8"/>
  <c r="K61" i="8" s="1"/>
  <c r="M61" i="8" s="1"/>
  <c r="G67" i="8"/>
  <c r="J67" i="8" s="1"/>
  <c r="G62" i="8"/>
  <c r="J62" i="8" s="1"/>
  <c r="G43" i="8"/>
  <c r="K43" i="8" s="1"/>
  <c r="M43" i="8" s="1"/>
  <c r="G54" i="8"/>
  <c r="K54" i="8" s="1"/>
  <c r="M54" i="8" s="1"/>
  <c r="G66" i="8"/>
  <c r="K66" i="8" s="1"/>
  <c r="M66" i="8" s="1"/>
  <c r="G46" i="8"/>
  <c r="K46" i="8" s="1"/>
  <c r="M46" i="8" s="1"/>
  <c r="G53" i="8"/>
  <c r="J53" i="8" s="1"/>
  <c r="G56" i="8"/>
  <c r="J56" i="8" s="1"/>
  <c r="G63" i="8"/>
  <c r="K63" i="8" s="1"/>
  <c r="M63" i="8" s="1"/>
  <c r="G59" i="8"/>
  <c r="J59" i="8" s="1"/>
  <c r="G57" i="8"/>
  <c r="K57" i="8" s="1"/>
  <c r="M57" i="8" s="1"/>
  <c r="G44" i="8"/>
  <c r="K44" i="8" s="1"/>
  <c r="M44" i="8" s="1"/>
  <c r="G48" i="8"/>
  <c r="K48" i="8" s="1"/>
  <c r="M48" i="8" s="1"/>
  <c r="G58" i="8"/>
  <c r="K58" i="8" s="1"/>
  <c r="M58" i="8" s="1"/>
  <c r="G65" i="8"/>
  <c r="K65" i="8" s="1"/>
  <c r="M65" i="8" s="1"/>
  <c r="G45" i="8"/>
  <c r="J45" i="8" s="1"/>
  <c r="G52" i="8"/>
  <c r="J52" i="8" s="1"/>
  <c r="G69" i="8"/>
  <c r="J69" i="8" s="1"/>
  <c r="G68" i="8"/>
  <c r="J68" i="8" s="1"/>
  <c r="G49" i="8"/>
  <c r="K49" i="8" s="1"/>
  <c r="M49" i="8" s="1"/>
  <c r="G55" i="8"/>
  <c r="K55" i="8" s="1"/>
  <c r="M55" i="8" s="1"/>
  <c r="G51" i="8"/>
  <c r="K51" i="8" s="1"/>
  <c r="M51" i="8" s="1"/>
  <c r="G60" i="8"/>
  <c r="J60" i="8" s="1"/>
  <c r="G50" i="8"/>
  <c r="K50" i="8" s="1"/>
  <c r="M50" i="8" s="1"/>
  <c r="S29" i="6"/>
  <c r="I30" i="6"/>
  <c r="I48" i="7" s="1"/>
  <c r="I14" i="7"/>
  <c r="C156" i="6"/>
  <c r="R5" i="3"/>
  <c r="S5" i="3" s="1"/>
  <c r="T5" i="3" s="1"/>
  <c r="R6" i="3"/>
  <c r="R7" i="3"/>
  <c r="AC8" i="3"/>
  <c r="A9" i="3"/>
  <c r="B9" i="3" s="1"/>
  <c r="P9" i="3" s="1"/>
  <c r="Q9" i="3" s="1"/>
  <c r="R9" i="3" s="1"/>
  <c r="P8" i="3"/>
  <c r="Q8" i="3" s="1"/>
  <c r="R8" i="3" s="1"/>
  <c r="AD8" i="3"/>
  <c r="AA8" i="3"/>
  <c r="H15" i="7"/>
  <c r="R196" i="4"/>
  <c r="T194" i="4"/>
  <c r="K47" i="8" l="1"/>
  <c r="M47" i="8" s="1"/>
  <c r="K53" i="8"/>
  <c r="M53" i="8" s="1"/>
  <c r="J50" i="8"/>
  <c r="L50" i="8" s="1"/>
  <c r="J63" i="8"/>
  <c r="L63" i="8" s="1"/>
  <c r="J43" i="8"/>
  <c r="L43" i="8" s="1"/>
  <c r="J57" i="8"/>
  <c r="L57" i="8" s="1"/>
  <c r="K68" i="8"/>
  <c r="M68" i="8" s="1"/>
  <c r="K45" i="8"/>
  <c r="M45" i="8" s="1"/>
  <c r="J46" i="8"/>
  <c r="L46" i="8" s="1"/>
  <c r="K64" i="8"/>
  <c r="M64" i="8" s="1"/>
  <c r="K56" i="8"/>
  <c r="M56" i="8" s="1"/>
  <c r="K59" i="8"/>
  <c r="L59" i="8" s="1"/>
  <c r="J66" i="8"/>
  <c r="L66" i="8" s="1"/>
  <c r="K69" i="8"/>
  <c r="M69" i="8" s="1"/>
  <c r="J44" i="8"/>
  <c r="L44" i="8" s="1"/>
  <c r="K62" i="8"/>
  <c r="M62" i="8" s="1"/>
  <c r="J48" i="8"/>
  <c r="L48" i="8" s="1"/>
  <c r="K67" i="8"/>
  <c r="M67" i="8" s="1"/>
  <c r="K52" i="8"/>
  <c r="M52" i="8" s="1"/>
  <c r="K60" i="8"/>
  <c r="M60" i="8" s="1"/>
  <c r="J51" i="8"/>
  <c r="L51" i="8" s="1"/>
  <c r="J58" i="8"/>
  <c r="L58" i="8" s="1"/>
  <c r="J65" i="8"/>
  <c r="L65" i="8" s="1"/>
  <c r="J61" i="8"/>
  <c r="L61" i="8" s="1"/>
  <c r="J55" i="8"/>
  <c r="L55" i="8" s="1"/>
  <c r="J49" i="8"/>
  <c r="L49" i="8" s="1"/>
  <c r="J54" i="8"/>
  <c r="L54" i="8" s="1"/>
  <c r="S30" i="6"/>
  <c r="H33" i="6"/>
  <c r="I15" i="7"/>
  <c r="S6" i="3"/>
  <c r="T6" i="3" s="1"/>
  <c r="AG5" i="3"/>
  <c r="AH5" i="3"/>
  <c r="D5" i="3"/>
  <c r="E5" i="3"/>
  <c r="H5" i="3" s="1"/>
  <c r="K5" i="3" s="1"/>
  <c r="AC9" i="3"/>
  <c r="AA9" i="3"/>
  <c r="AD9" i="3"/>
  <c r="Z9" i="3"/>
  <c r="A10" i="3"/>
  <c r="B10" i="3" s="1"/>
  <c r="A11" i="3" s="1"/>
  <c r="B11" i="3" s="1"/>
  <c r="AC11" i="3" s="1"/>
  <c r="U194" i="4"/>
  <c r="S196" i="4"/>
  <c r="L47" i="8" l="1"/>
  <c r="L53" i="8"/>
  <c r="L69" i="8"/>
  <c r="L68" i="8"/>
  <c r="L64" i="8"/>
  <c r="L45" i="8"/>
  <c r="M59" i="8"/>
  <c r="L56" i="8"/>
  <c r="L62" i="8"/>
  <c r="L52" i="8"/>
  <c r="L60" i="8"/>
  <c r="L67" i="8"/>
  <c r="S7" i="3"/>
  <c r="T7" i="3" s="1"/>
  <c r="V5" i="3"/>
  <c r="AE5" i="3"/>
  <c r="G5" i="3"/>
  <c r="F5" i="3"/>
  <c r="AA10" i="3"/>
  <c r="Z10" i="3"/>
  <c r="AD11" i="3"/>
  <c r="A12" i="3"/>
  <c r="B12" i="3" s="1"/>
  <c r="A13" i="3" s="1"/>
  <c r="B13" i="3" s="1"/>
  <c r="Z11" i="3"/>
  <c r="P11" i="3"/>
  <c r="Q11" i="3" s="1"/>
  <c r="R11" i="3" s="1"/>
  <c r="AA11" i="3"/>
  <c r="AD10" i="3"/>
  <c r="P10" i="3"/>
  <c r="Q10" i="3" s="1"/>
  <c r="R10" i="3" s="1"/>
  <c r="AC10" i="3"/>
  <c r="T196" i="4"/>
  <c r="V194" i="4"/>
  <c r="S8" i="3" l="1"/>
  <c r="T8" i="3" s="1"/>
  <c r="I5" i="3"/>
  <c r="W5" i="3" s="1"/>
  <c r="J5" i="3"/>
  <c r="L5" i="3" s="1"/>
  <c r="M5" i="3"/>
  <c r="N5" i="3" s="1"/>
  <c r="P12" i="3"/>
  <c r="Q12" i="3" s="1"/>
  <c r="R12" i="3" s="1"/>
  <c r="AC12" i="3"/>
  <c r="AA12" i="3"/>
  <c r="AD12" i="3"/>
  <c r="Z12" i="3"/>
  <c r="U196" i="4"/>
  <c r="W194" i="4"/>
  <c r="P13" i="3"/>
  <c r="Q13" i="3" s="1"/>
  <c r="R13" i="3" s="1"/>
  <c r="A14" i="3"/>
  <c r="B14" i="3" s="1"/>
  <c r="AC13" i="3"/>
  <c r="AD13" i="3"/>
  <c r="AA13" i="3"/>
  <c r="Z13" i="3"/>
  <c r="S9" i="3" l="1"/>
  <c r="T9" i="3" s="1"/>
  <c r="U5" i="3"/>
  <c r="D6" i="3" s="1"/>
  <c r="G6" i="3" s="1"/>
  <c r="J6" i="3" s="1"/>
  <c r="AG6" i="3"/>
  <c r="AH6" i="3"/>
  <c r="V196" i="4"/>
  <c r="W196" i="4"/>
  <c r="A15" i="3"/>
  <c r="B15" i="3" s="1"/>
  <c r="P14" i="3"/>
  <c r="Q14" i="3" s="1"/>
  <c r="R14" i="3" s="1"/>
  <c r="AD14" i="3"/>
  <c r="AA14" i="3"/>
  <c r="Z14" i="3"/>
  <c r="AC14" i="3"/>
  <c r="S10" i="3" l="1"/>
  <c r="T10" i="3" s="1"/>
  <c r="E6" i="3"/>
  <c r="H6" i="3" s="1"/>
  <c r="K6" i="3" s="1"/>
  <c r="L6" i="3" s="1"/>
  <c r="D193" i="4"/>
  <c r="AA15" i="3"/>
  <c r="P15" i="3"/>
  <c r="Q15" i="3" s="1"/>
  <c r="R15" i="3" s="1"/>
  <c r="AC15" i="3"/>
  <c r="Z15" i="3"/>
  <c r="AD15" i="3"/>
  <c r="A16" i="3"/>
  <c r="B16" i="3" s="1"/>
  <c r="M6" i="3" l="1"/>
  <c r="N6" i="3" s="1"/>
  <c r="S11" i="3"/>
  <c r="T11" i="3" s="1"/>
  <c r="V6" i="3"/>
  <c r="AE6" i="3"/>
  <c r="F6" i="3"/>
  <c r="I6" i="3"/>
  <c r="F193" i="4"/>
  <c r="AA16" i="3"/>
  <c r="AD16" i="3"/>
  <c r="AC16" i="3"/>
  <c r="P16" i="3"/>
  <c r="Q16" i="3" s="1"/>
  <c r="R16" i="3" s="1"/>
  <c r="Z16" i="3"/>
  <c r="A17" i="3"/>
  <c r="B17" i="3" s="1"/>
  <c r="Y5" i="3"/>
  <c r="U6" i="3" l="1"/>
  <c r="N36" i="1"/>
  <c r="M37" i="6"/>
  <c r="S12" i="3"/>
  <c r="S13" i="3" s="1"/>
  <c r="W6" i="3"/>
  <c r="P17" i="3"/>
  <c r="Q17" i="3" s="1"/>
  <c r="R17" i="3" s="1"/>
  <c r="A18" i="3"/>
  <c r="B18" i="3" s="1"/>
  <c r="AC17" i="3"/>
  <c r="Z17" i="3"/>
  <c r="AD17" i="3"/>
  <c r="AA17" i="3"/>
  <c r="E7" i="3" l="1"/>
  <c r="H7" i="3" s="1"/>
  <c r="K7" i="3" s="1"/>
  <c r="T12" i="3"/>
  <c r="AH7" i="3"/>
  <c r="AG7" i="3"/>
  <c r="D7" i="3"/>
  <c r="G7" i="3" s="1"/>
  <c r="S14" i="3"/>
  <c r="T13" i="3"/>
  <c r="AA18" i="3"/>
  <c r="P18" i="3"/>
  <c r="Q18" i="3" s="1"/>
  <c r="R18" i="3" s="1"/>
  <c r="AC18" i="3"/>
  <c r="A19" i="3"/>
  <c r="B19" i="3" s="1"/>
  <c r="AD18" i="3"/>
  <c r="Z18" i="3"/>
  <c r="M7" i="3" l="1"/>
  <c r="N7" i="3" s="1"/>
  <c r="J7" i="3"/>
  <c r="L7" i="3" s="1"/>
  <c r="I7" i="3"/>
  <c r="F7" i="3"/>
  <c r="S15" i="3"/>
  <c r="T14" i="3"/>
  <c r="P19" i="3"/>
  <c r="Q19" i="3" s="1"/>
  <c r="R19" i="3" s="1"/>
  <c r="A20" i="3"/>
  <c r="B20" i="3" s="1"/>
  <c r="Z19" i="3"/>
  <c r="AD19" i="3"/>
  <c r="AA19" i="3"/>
  <c r="AC19" i="3"/>
  <c r="V7" i="3"/>
  <c r="AE7" i="3"/>
  <c r="W7" i="3" l="1"/>
  <c r="AH8" i="3" s="1"/>
  <c r="T15" i="3"/>
  <c r="S16" i="3"/>
  <c r="U7" i="3"/>
  <c r="Y6" i="3"/>
  <c r="P20" i="3"/>
  <c r="Q20" i="3" s="1"/>
  <c r="R20" i="3" s="1"/>
  <c r="A21" i="3"/>
  <c r="B21" i="3" s="1"/>
  <c r="AA20" i="3"/>
  <c r="Z20" i="3"/>
  <c r="AD20" i="3"/>
  <c r="AC20" i="3"/>
  <c r="AG8" i="3" l="1"/>
  <c r="D8" i="3"/>
  <c r="G8" i="3" s="1"/>
  <c r="T16" i="3"/>
  <c r="S17" i="3"/>
  <c r="E8" i="3"/>
  <c r="H8" i="3" s="1"/>
  <c r="K8" i="3" s="1"/>
  <c r="AD21" i="3"/>
  <c r="P21" i="3"/>
  <c r="Q21" i="3" s="1"/>
  <c r="R21" i="3" s="1"/>
  <c r="AC21" i="3"/>
  <c r="AA21" i="3"/>
  <c r="Z21" i="3"/>
  <c r="A22" i="3"/>
  <c r="B22" i="3" s="1"/>
  <c r="T17" i="3" l="1"/>
  <c r="S18" i="3"/>
  <c r="F8" i="3"/>
  <c r="AC22" i="3"/>
  <c r="A23" i="3"/>
  <c r="B23" i="3" s="1"/>
  <c r="AD22" i="3"/>
  <c r="AA22" i="3"/>
  <c r="Z22" i="3"/>
  <c r="P22" i="3"/>
  <c r="Q22" i="3" s="1"/>
  <c r="R22" i="3" s="1"/>
  <c r="I8" i="3"/>
  <c r="J8" i="3"/>
  <c r="M8" i="3"/>
  <c r="N8" i="3" s="1"/>
  <c r="V8" i="3"/>
  <c r="AE8" i="3"/>
  <c r="S19" i="3" l="1"/>
  <c r="T18" i="3"/>
  <c r="W8" i="3"/>
  <c r="A24" i="3"/>
  <c r="B24" i="3" s="1"/>
  <c r="Z23" i="3"/>
  <c r="AA23" i="3"/>
  <c r="AC23" i="3"/>
  <c r="AD23" i="3"/>
  <c r="P23" i="3"/>
  <c r="Q23" i="3" s="1"/>
  <c r="R23" i="3" s="1"/>
  <c r="L8" i="3"/>
  <c r="S20" i="3" l="1"/>
  <c r="T19" i="3"/>
  <c r="U8" i="3"/>
  <c r="D9" i="3" s="1"/>
  <c r="AH9" i="3"/>
  <c r="AG9" i="3"/>
  <c r="Y7" i="3"/>
  <c r="AA24" i="3"/>
  <c r="Z24" i="3"/>
  <c r="AC24" i="3"/>
  <c r="AD24" i="3"/>
  <c r="A25" i="3"/>
  <c r="B25" i="3" s="1"/>
  <c r="P24" i="3"/>
  <c r="Q24" i="3" s="1"/>
  <c r="R24" i="3" s="1"/>
  <c r="S21" i="3" l="1"/>
  <c r="T20" i="3"/>
  <c r="E9" i="3"/>
  <c r="H9" i="3" s="1"/>
  <c r="K9" i="3" s="1"/>
  <c r="P25" i="3"/>
  <c r="Q25" i="3" s="1"/>
  <c r="R25" i="3" s="1"/>
  <c r="Z25" i="3"/>
  <c r="A26" i="3"/>
  <c r="B26" i="3" s="1"/>
  <c r="AC25" i="3"/>
  <c r="AA25" i="3"/>
  <c r="AD25" i="3"/>
  <c r="G9" i="3"/>
  <c r="T21" i="3" l="1"/>
  <c r="S22" i="3"/>
  <c r="F9" i="3"/>
  <c r="AD26" i="3"/>
  <c r="P26" i="3"/>
  <c r="Q26" i="3" s="1"/>
  <c r="R26" i="3" s="1"/>
  <c r="A27" i="3"/>
  <c r="B27" i="3" s="1"/>
  <c r="AA26" i="3"/>
  <c r="Z26" i="3"/>
  <c r="AC26" i="3"/>
  <c r="V9" i="3"/>
  <c r="AE9" i="3"/>
  <c r="I9" i="3"/>
  <c r="J9" i="3"/>
  <c r="M9" i="3"/>
  <c r="N9" i="3" s="1"/>
  <c r="T22" i="3" l="1"/>
  <c r="S23" i="3"/>
  <c r="W9" i="3"/>
  <c r="P27" i="3"/>
  <c r="Q27" i="3" s="1"/>
  <c r="R27" i="3" s="1"/>
  <c r="Z27" i="3"/>
  <c r="AA27" i="3"/>
  <c r="AD27" i="3"/>
  <c r="A28" i="3"/>
  <c r="B28" i="3" s="1"/>
  <c r="AC27" i="3"/>
  <c r="L9" i="3"/>
  <c r="S24" i="3" l="1"/>
  <c r="T23" i="3"/>
  <c r="Z28" i="3"/>
  <c r="P28" i="3"/>
  <c r="Q28" i="3" s="1"/>
  <c r="R28" i="3" s="1"/>
  <c r="A29" i="3"/>
  <c r="B29" i="3" s="1"/>
  <c r="AA28" i="3"/>
  <c r="AC28" i="3"/>
  <c r="AD28" i="3"/>
  <c r="AH10" i="3"/>
  <c r="U9" i="3"/>
  <c r="E10" i="3" s="1"/>
  <c r="H10" i="3" s="1"/>
  <c r="AG10" i="3"/>
  <c r="Y8" i="3"/>
  <c r="S25" i="3" l="1"/>
  <c r="T24" i="3"/>
  <c r="K10" i="3"/>
  <c r="AC29" i="3"/>
  <c r="P29" i="3"/>
  <c r="Q29" i="3" s="1"/>
  <c r="R29" i="3" s="1"/>
  <c r="A30" i="3"/>
  <c r="B30" i="3" s="1"/>
  <c r="AD29" i="3"/>
  <c r="Z29" i="3"/>
  <c r="AA29" i="3"/>
  <c r="D10" i="3"/>
  <c r="T25" i="3" l="1"/>
  <c r="S26" i="3"/>
  <c r="Z30" i="3"/>
  <c r="P30" i="3"/>
  <c r="Q30" i="3" s="1"/>
  <c r="R30" i="3" s="1"/>
  <c r="AC30" i="3"/>
  <c r="AA30" i="3"/>
  <c r="AD30" i="3"/>
  <c r="A31" i="3"/>
  <c r="B31" i="3" s="1"/>
  <c r="F10" i="3"/>
  <c r="G10" i="3"/>
  <c r="V10" i="3"/>
  <c r="AE10" i="3"/>
  <c r="T26" i="3" l="1"/>
  <c r="S27" i="3"/>
  <c r="I10" i="3"/>
  <c r="W10" i="3" s="1"/>
  <c r="J10" i="3"/>
  <c r="M10" i="3"/>
  <c r="N10" i="3" s="1"/>
  <c r="AC31" i="3"/>
  <c r="A32" i="3"/>
  <c r="B32" i="3" s="1"/>
  <c r="Z31" i="3"/>
  <c r="P31" i="3"/>
  <c r="Q31" i="3" s="1"/>
  <c r="R31" i="3" s="1"/>
  <c r="AD31" i="3"/>
  <c r="AA31" i="3"/>
  <c r="S28" i="3" l="1"/>
  <c r="T27" i="3"/>
  <c r="A33" i="3"/>
  <c r="B33" i="3" s="1"/>
  <c r="Z32" i="3"/>
  <c r="P32" i="3"/>
  <c r="Q32" i="3" s="1"/>
  <c r="R32" i="3" s="1"/>
  <c r="AD32" i="3"/>
  <c r="AC32" i="3"/>
  <c r="AA32" i="3"/>
  <c r="L10" i="3"/>
  <c r="S29" i="3" l="1"/>
  <c r="T28" i="3"/>
  <c r="P33" i="3"/>
  <c r="Q33" i="3" s="1"/>
  <c r="R33" i="3" s="1"/>
  <c r="AC33" i="3"/>
  <c r="A34" i="3"/>
  <c r="B34" i="3" s="1"/>
  <c r="AA33" i="3"/>
  <c r="Z33" i="3"/>
  <c r="AD33" i="3"/>
  <c r="AG11" i="3"/>
  <c r="AH11" i="3"/>
  <c r="U10" i="3"/>
  <c r="E11" i="3" s="1"/>
  <c r="H11" i="3" s="1"/>
  <c r="Y9" i="3"/>
  <c r="T29" i="3" l="1"/>
  <c r="S30" i="3"/>
  <c r="K11" i="3"/>
  <c r="Z34" i="3"/>
  <c r="P34" i="3"/>
  <c r="Q34" i="3" s="1"/>
  <c r="R34" i="3" s="1"/>
  <c r="AC34" i="3"/>
  <c r="A35" i="3"/>
  <c r="B35" i="3" s="1"/>
  <c r="AA34" i="3"/>
  <c r="D11" i="3"/>
  <c r="S31" i="3" l="1"/>
  <c r="T30" i="3"/>
  <c r="V11" i="3"/>
  <c r="AE11" i="3"/>
  <c r="A36" i="3"/>
  <c r="B36" i="3" s="1"/>
  <c r="Z35" i="3"/>
  <c r="AD35" i="3"/>
  <c r="AA35" i="3"/>
  <c r="AC35" i="3"/>
  <c r="P35" i="3"/>
  <c r="Q35" i="3" s="1"/>
  <c r="R35" i="3" s="1"/>
  <c r="F11" i="3"/>
  <c r="G11" i="3"/>
  <c r="T31" i="3" l="1"/>
  <c r="S32" i="3"/>
  <c r="AD36" i="3"/>
  <c r="AA36" i="3"/>
  <c r="P36" i="3"/>
  <c r="Q36" i="3" s="1"/>
  <c r="R36" i="3" s="1"/>
  <c r="Z36" i="3"/>
  <c r="A37" i="3"/>
  <c r="B37" i="3" s="1"/>
  <c r="AC36" i="3"/>
  <c r="I11" i="3"/>
  <c r="W11" i="3" s="1"/>
  <c r="J11" i="3"/>
  <c r="M11" i="3"/>
  <c r="N11" i="3" s="1"/>
  <c r="T32" i="3" l="1"/>
  <c r="S33" i="3"/>
  <c r="AD37" i="3"/>
  <c r="Z37" i="3"/>
  <c r="AA37" i="3"/>
  <c r="AC37" i="3"/>
  <c r="P37" i="3"/>
  <c r="Q37" i="3" s="1"/>
  <c r="R37" i="3" s="1"/>
  <c r="A38" i="3"/>
  <c r="B38" i="3" s="1"/>
  <c r="L11" i="3"/>
  <c r="S34" i="3" l="1"/>
  <c r="T33" i="3"/>
  <c r="P38" i="3"/>
  <c r="Q38" i="3" s="1"/>
  <c r="R38" i="3" s="1"/>
  <c r="A39" i="3"/>
  <c r="B39" i="3" s="1"/>
  <c r="AC38" i="3"/>
  <c r="AA38" i="3"/>
  <c r="AD38" i="3"/>
  <c r="Z38" i="3"/>
  <c r="AH12" i="3"/>
  <c r="U11" i="3"/>
  <c r="E12" i="3" s="1"/>
  <c r="H12" i="3" s="1"/>
  <c r="AG12" i="3"/>
  <c r="Y10" i="3"/>
  <c r="S35" i="3" l="1"/>
  <c r="T34" i="3"/>
  <c r="D12" i="3"/>
  <c r="G12" i="3" s="1"/>
  <c r="K12" i="3"/>
  <c r="AC39" i="3"/>
  <c r="P39" i="3"/>
  <c r="Q39" i="3" s="1"/>
  <c r="R39" i="3" s="1"/>
  <c r="AD39" i="3"/>
  <c r="Z39" i="3"/>
  <c r="A40" i="3"/>
  <c r="B40" i="3" s="1"/>
  <c r="AA39" i="3"/>
  <c r="T35" i="3" l="1"/>
  <c r="S36" i="3"/>
  <c r="F12" i="3"/>
  <c r="P40" i="3"/>
  <c r="Q40" i="3" s="1"/>
  <c r="R40" i="3" s="1"/>
  <c r="AA40" i="3"/>
  <c r="A41" i="3"/>
  <c r="B41" i="3" s="1"/>
  <c r="AC40" i="3"/>
  <c r="Z40" i="3"/>
  <c r="AD40" i="3"/>
  <c r="V12" i="3"/>
  <c r="AE12" i="3"/>
  <c r="I12" i="3"/>
  <c r="J12" i="3"/>
  <c r="M12" i="3"/>
  <c r="N12" i="3" s="1"/>
  <c r="T36" i="3" l="1"/>
  <c r="S37" i="3"/>
  <c r="W12" i="3"/>
  <c r="P41" i="3"/>
  <c r="Q41" i="3" s="1"/>
  <c r="R41" i="3" s="1"/>
  <c r="AC41" i="3"/>
  <c r="A42" i="3"/>
  <c r="B42" i="3" s="1"/>
  <c r="AA41" i="3"/>
  <c r="Z41" i="3"/>
  <c r="AD41" i="3"/>
  <c r="L12" i="3"/>
  <c r="S38" i="3" l="1"/>
  <c r="T37" i="3"/>
  <c r="AG13" i="3"/>
  <c r="U12" i="3"/>
  <c r="E13" i="3" s="1"/>
  <c r="H13" i="3" s="1"/>
  <c r="AH13" i="3"/>
  <c r="Y11" i="3"/>
  <c r="P42" i="3"/>
  <c r="Q42" i="3" s="1"/>
  <c r="R42" i="3" s="1"/>
  <c r="Z42" i="3"/>
  <c r="AA42" i="3"/>
  <c r="A43" i="3"/>
  <c r="B43" i="3" s="1"/>
  <c r="AD42" i="3"/>
  <c r="AC42" i="3"/>
  <c r="S39" i="3" l="1"/>
  <c r="T38" i="3"/>
  <c r="D13" i="3"/>
  <c r="F13" i="3" s="1"/>
  <c r="K13" i="3"/>
  <c r="AC43" i="3"/>
  <c r="P43" i="3"/>
  <c r="Q43" i="3" s="1"/>
  <c r="R43" i="3" s="1"/>
  <c r="AD43" i="3"/>
  <c r="Z43" i="3"/>
  <c r="A44" i="3"/>
  <c r="B44" i="3" s="1"/>
  <c r="AA43" i="3"/>
  <c r="S40" i="3" l="1"/>
  <c r="T39" i="3"/>
  <c r="G13" i="3"/>
  <c r="I13" i="3" s="1"/>
  <c r="AA44" i="3"/>
  <c r="P44" i="3"/>
  <c r="Q44" i="3" s="1"/>
  <c r="R44" i="3" s="1"/>
  <c r="A45" i="3"/>
  <c r="B45" i="3" s="1"/>
  <c r="Z44" i="3"/>
  <c r="AC44" i="3"/>
  <c r="V13" i="3"/>
  <c r="AE13" i="3"/>
  <c r="S41" i="3" l="1"/>
  <c r="T40" i="3"/>
  <c r="J13" i="3"/>
  <c r="L13" i="3" s="1"/>
  <c r="M13" i="3"/>
  <c r="N13" i="3" s="1"/>
  <c r="P45" i="3"/>
  <c r="Q45" i="3" s="1"/>
  <c r="R45" i="3" s="1"/>
  <c r="A46" i="3"/>
  <c r="B46" i="3" s="1"/>
  <c r="AA45" i="3"/>
  <c r="AD45" i="3"/>
  <c r="Z45" i="3"/>
  <c r="AC45" i="3"/>
  <c r="W13" i="3"/>
  <c r="T41" i="3" l="1"/>
  <c r="S42" i="3"/>
  <c r="P46" i="3"/>
  <c r="Q46" i="3" s="1"/>
  <c r="R46" i="3" s="1"/>
  <c r="AA46" i="3"/>
  <c r="AD46" i="3"/>
  <c r="A47" i="3"/>
  <c r="B47" i="3" s="1"/>
  <c r="Z46" i="3"/>
  <c r="AC46" i="3"/>
  <c r="AH14" i="3"/>
  <c r="AG14" i="3"/>
  <c r="U13" i="3"/>
  <c r="D14" i="3" s="1"/>
  <c r="Y12" i="3"/>
  <c r="S43" i="3" l="1"/>
  <c r="T42" i="3"/>
  <c r="E14" i="3"/>
  <c r="H14" i="3" s="1"/>
  <c r="K14" i="3" s="1"/>
  <c r="AD47" i="3"/>
  <c r="AA47" i="3"/>
  <c r="P47" i="3"/>
  <c r="Q47" i="3" s="1"/>
  <c r="R47" i="3" s="1"/>
  <c r="A48" i="3"/>
  <c r="B48" i="3" s="1"/>
  <c r="Z47" i="3"/>
  <c r="AC47" i="3"/>
  <c r="G14" i="3"/>
  <c r="S44" i="3" l="1"/>
  <c r="T43" i="3"/>
  <c r="F14" i="3"/>
  <c r="AC48" i="3"/>
  <c r="Z48" i="3"/>
  <c r="AA48" i="3"/>
  <c r="A49" i="3"/>
  <c r="B49" i="3" s="1"/>
  <c r="AD48" i="3"/>
  <c r="P48" i="3"/>
  <c r="Q48" i="3" s="1"/>
  <c r="R48" i="3" s="1"/>
  <c r="V14" i="3"/>
  <c r="AE14" i="3"/>
  <c r="I14" i="3"/>
  <c r="J14" i="3"/>
  <c r="M14" i="3"/>
  <c r="N14" i="3" s="1"/>
  <c r="S45" i="3" l="1"/>
  <c r="T44" i="3"/>
  <c r="A50" i="3"/>
  <c r="B50" i="3" s="1"/>
  <c r="P49" i="3"/>
  <c r="Q49" i="3" s="1"/>
  <c r="R49" i="3" s="1"/>
  <c r="AC49" i="3"/>
  <c r="AD49" i="3"/>
  <c r="AA49" i="3"/>
  <c r="Z49" i="3"/>
  <c r="W14" i="3"/>
  <c r="L14" i="3"/>
  <c r="T45" i="3" l="1"/>
  <c r="S46" i="3"/>
  <c r="U14" i="3"/>
  <c r="E15" i="3" s="1"/>
  <c r="H15" i="3" s="1"/>
  <c r="AG15" i="3"/>
  <c r="AH15" i="3"/>
  <c r="Y13" i="3"/>
  <c r="Z50" i="3"/>
  <c r="AA50" i="3"/>
  <c r="P50" i="3"/>
  <c r="Q50" i="3" s="1"/>
  <c r="R50" i="3" s="1"/>
  <c r="A51" i="3"/>
  <c r="B51" i="3" s="1"/>
  <c r="AD50" i="3"/>
  <c r="AC50" i="3"/>
  <c r="T46" i="3" l="1"/>
  <c r="S47" i="3"/>
  <c r="D15" i="3"/>
  <c r="F15" i="3" s="1"/>
  <c r="AD51" i="3"/>
  <c r="A52" i="3"/>
  <c r="B52" i="3" s="1"/>
  <c r="P51" i="3"/>
  <c r="Q51" i="3" s="1"/>
  <c r="R51" i="3" s="1"/>
  <c r="AA51" i="3"/>
  <c r="Z51" i="3"/>
  <c r="AC51" i="3"/>
  <c r="K15" i="3"/>
  <c r="T47" i="3" l="1"/>
  <c r="S48" i="3"/>
  <c r="G15" i="3"/>
  <c r="I15" i="3" s="1"/>
  <c r="A53" i="3"/>
  <c r="B53" i="3" s="1"/>
  <c r="AC52" i="3"/>
  <c r="P52" i="3"/>
  <c r="Q52" i="3" s="1"/>
  <c r="R52" i="3" s="1"/>
  <c r="AA52" i="3"/>
  <c r="AD52" i="3"/>
  <c r="Z52" i="3"/>
  <c r="V15" i="3"/>
  <c r="AE15" i="3"/>
  <c r="T48" i="3" l="1"/>
  <c r="S49" i="3"/>
  <c r="J15" i="3"/>
  <c r="L15" i="3" s="1"/>
  <c r="M15" i="3"/>
  <c r="N15" i="3" s="1"/>
  <c r="A54" i="3"/>
  <c r="B54" i="3" s="1"/>
  <c r="AD53" i="3"/>
  <c r="P53" i="3"/>
  <c r="Q53" i="3" s="1"/>
  <c r="R53" i="3" s="1"/>
  <c r="AA53" i="3"/>
  <c r="AC53" i="3"/>
  <c r="Z53" i="3"/>
  <c r="W15" i="3"/>
  <c r="S50" i="3" l="1"/>
  <c r="T49" i="3"/>
  <c r="AC54" i="3"/>
  <c r="P54" i="3"/>
  <c r="Q54" i="3" s="1"/>
  <c r="R54" i="3" s="1"/>
  <c r="A55" i="3"/>
  <c r="B55" i="3" s="1"/>
  <c r="AA54" i="3"/>
  <c r="Z54" i="3"/>
  <c r="AD54" i="3"/>
  <c r="U15" i="3"/>
  <c r="D16" i="3" s="1"/>
  <c r="AG16" i="3"/>
  <c r="AH16" i="3"/>
  <c r="Y14" i="3"/>
  <c r="S51" i="3" l="1"/>
  <c r="T50" i="3"/>
  <c r="E16" i="3"/>
  <c r="H16" i="3" s="1"/>
  <c r="K16" i="3" s="1"/>
  <c r="G16" i="3"/>
  <c r="P55" i="3"/>
  <c r="Q55" i="3" s="1"/>
  <c r="R55" i="3" s="1"/>
  <c r="A56" i="3"/>
  <c r="B56" i="3" s="1"/>
  <c r="AC55" i="3"/>
  <c r="AA55" i="3"/>
  <c r="Z55" i="3"/>
  <c r="AD55" i="3"/>
  <c r="T51" i="3" l="1"/>
  <c r="S52" i="3"/>
  <c r="F16" i="3"/>
  <c r="P56" i="3"/>
  <c r="Q56" i="3" s="1"/>
  <c r="R56" i="3" s="1"/>
  <c r="AA56" i="3"/>
  <c r="A57" i="3"/>
  <c r="B57" i="3" s="1"/>
  <c r="AD56" i="3"/>
  <c r="Z56" i="3"/>
  <c r="AC56" i="3"/>
  <c r="I16" i="3"/>
  <c r="J16" i="3"/>
  <c r="M16" i="3"/>
  <c r="N16" i="3" s="1"/>
  <c r="V16" i="3"/>
  <c r="AE16" i="3"/>
  <c r="S53" i="3" l="1"/>
  <c r="T52" i="3"/>
  <c r="AD57" i="3"/>
  <c r="AA57" i="3"/>
  <c r="A58" i="3"/>
  <c r="B58" i="3" s="1"/>
  <c r="AC57" i="3"/>
  <c r="P57" i="3"/>
  <c r="Q57" i="3" s="1"/>
  <c r="R57" i="3" s="1"/>
  <c r="Z57" i="3"/>
  <c r="L16" i="3"/>
  <c r="W16" i="3"/>
  <c r="S54" i="3" l="1"/>
  <c r="T53" i="3"/>
  <c r="Z58" i="3"/>
  <c r="AD58" i="3"/>
  <c r="AA58" i="3"/>
  <c r="P58" i="3"/>
  <c r="Q58" i="3" s="1"/>
  <c r="R58" i="3" s="1"/>
  <c r="A59" i="3"/>
  <c r="B59" i="3" s="1"/>
  <c r="AC58" i="3"/>
  <c r="U16" i="3"/>
  <c r="D17" i="3" s="1"/>
  <c r="AG17" i="3"/>
  <c r="AH17" i="3"/>
  <c r="Y15" i="3"/>
  <c r="S55" i="3" l="1"/>
  <c r="T54" i="3"/>
  <c r="G17" i="3"/>
  <c r="P59" i="3"/>
  <c r="Q59" i="3" s="1"/>
  <c r="R59" i="3" s="1"/>
  <c r="A60" i="3"/>
  <c r="B60" i="3" s="1"/>
  <c r="AC59" i="3"/>
  <c r="AD59" i="3"/>
  <c r="Z59" i="3"/>
  <c r="AA59" i="3"/>
  <c r="E17" i="3"/>
  <c r="H17" i="3" s="1"/>
  <c r="S56" i="3" l="1"/>
  <c r="T55" i="3"/>
  <c r="AC60" i="3"/>
  <c r="AD60" i="3"/>
  <c r="Z60" i="3"/>
  <c r="P60" i="3"/>
  <c r="Q60" i="3" s="1"/>
  <c r="R60" i="3" s="1"/>
  <c r="A61" i="3"/>
  <c r="B61" i="3" s="1"/>
  <c r="AA60" i="3"/>
  <c r="F17" i="3"/>
  <c r="I17" i="3"/>
  <c r="J17" i="3"/>
  <c r="M17" i="3"/>
  <c r="N17" i="3" s="1"/>
  <c r="K17" i="3"/>
  <c r="S57" i="3" l="1"/>
  <c r="T56" i="3"/>
  <c r="A62" i="3"/>
  <c r="B62" i="3" s="1"/>
  <c r="Z61" i="3"/>
  <c r="AD61" i="3"/>
  <c r="AC61" i="3"/>
  <c r="P61" i="3"/>
  <c r="Q61" i="3" s="1"/>
  <c r="R61" i="3" s="1"/>
  <c r="AA61" i="3"/>
  <c r="V17" i="3"/>
  <c r="W17" i="3" s="1"/>
  <c r="AE17" i="3"/>
  <c r="L17" i="3"/>
  <c r="S58" i="3" l="1"/>
  <c r="T57" i="3"/>
  <c r="AD62" i="3"/>
  <c r="P62" i="3"/>
  <c r="Q62" i="3" s="1"/>
  <c r="R62" i="3" s="1"/>
  <c r="Z62" i="3"/>
  <c r="AA62" i="3"/>
  <c r="AC62" i="3"/>
  <c r="A63" i="3"/>
  <c r="B63" i="3" s="1"/>
  <c r="U17" i="3"/>
  <c r="E18" i="3" s="1"/>
  <c r="H18" i="3" s="1"/>
  <c r="AG18" i="3"/>
  <c r="AH18" i="3"/>
  <c r="Y16" i="3"/>
  <c r="S59" i="3" l="1"/>
  <c r="T58" i="3"/>
  <c r="D18" i="3"/>
  <c r="G18" i="3" s="1"/>
  <c r="K18" i="3"/>
  <c r="AC63" i="3"/>
  <c r="AA63" i="3"/>
  <c r="A64" i="3"/>
  <c r="B64" i="3" s="1"/>
  <c r="AD63" i="3"/>
  <c r="P63" i="3"/>
  <c r="Q63" i="3" s="1"/>
  <c r="R63" i="3" s="1"/>
  <c r="Z63" i="3"/>
  <c r="T59" i="3" l="1"/>
  <c r="S60" i="3"/>
  <c r="F18" i="3"/>
  <c r="I18" i="3"/>
  <c r="J18" i="3"/>
  <c r="M18" i="3"/>
  <c r="N18" i="3" s="1"/>
  <c r="A65" i="3"/>
  <c r="B65" i="3" s="1"/>
  <c r="Z64" i="3"/>
  <c r="AA64" i="3"/>
  <c r="AC64" i="3"/>
  <c r="AD64" i="3"/>
  <c r="P64" i="3"/>
  <c r="Q64" i="3" s="1"/>
  <c r="R64" i="3" s="1"/>
  <c r="V18" i="3"/>
  <c r="AE18" i="3"/>
  <c r="T60" i="3" l="1"/>
  <c r="S61" i="3"/>
  <c r="Z65" i="3"/>
  <c r="AA65" i="3"/>
  <c r="A66" i="3"/>
  <c r="B66" i="3" s="1"/>
  <c r="AC65" i="3"/>
  <c r="P65" i="3"/>
  <c r="Q65" i="3" s="1"/>
  <c r="R65" i="3" s="1"/>
  <c r="AD65" i="3"/>
  <c r="L18" i="3"/>
  <c r="W18" i="3"/>
  <c r="T61" i="3" l="1"/>
  <c r="S62" i="3"/>
  <c r="A67" i="3"/>
  <c r="B67" i="3" s="1"/>
  <c r="P66" i="3"/>
  <c r="Q66" i="3" s="1"/>
  <c r="R66" i="3" s="1"/>
  <c r="AC66" i="3"/>
  <c r="Z66" i="3"/>
  <c r="AD66" i="3"/>
  <c r="AA66" i="3"/>
  <c r="U18" i="3"/>
  <c r="D19" i="3" s="1"/>
  <c r="AH19" i="3"/>
  <c r="AG19" i="3"/>
  <c r="Y17" i="3"/>
  <c r="S63" i="3" l="1"/>
  <c r="T62" i="3"/>
  <c r="G19" i="3"/>
  <c r="E19" i="3"/>
  <c r="H19" i="3" s="1"/>
  <c r="AA67" i="3"/>
  <c r="Z67" i="3"/>
  <c r="AD67" i="3"/>
  <c r="AC67" i="3"/>
  <c r="P67" i="3"/>
  <c r="Q67" i="3" s="1"/>
  <c r="R67" i="3" s="1"/>
  <c r="A68" i="3"/>
  <c r="B68" i="3" s="1"/>
  <c r="T63" i="3" l="1"/>
  <c r="S64" i="3"/>
  <c r="F19" i="3"/>
  <c r="AD68" i="3"/>
  <c r="AC68" i="3"/>
  <c r="Z68" i="3"/>
  <c r="AA68" i="3"/>
  <c r="A69" i="3"/>
  <c r="B69" i="3" s="1"/>
  <c r="P68" i="3"/>
  <c r="Q68" i="3" s="1"/>
  <c r="R68" i="3" s="1"/>
  <c r="I19" i="3"/>
  <c r="J19" i="3"/>
  <c r="M19" i="3"/>
  <c r="N19" i="3" s="1"/>
  <c r="K19" i="3"/>
  <c r="S65" i="3" l="1"/>
  <c r="T64" i="3"/>
  <c r="Z69" i="3"/>
  <c r="AC69" i="3"/>
  <c r="P69" i="3"/>
  <c r="Q69" i="3" s="1"/>
  <c r="R69" i="3" s="1"/>
  <c r="AA69" i="3"/>
  <c r="AD69" i="3"/>
  <c r="A70" i="3"/>
  <c r="B70" i="3" s="1"/>
  <c r="V19" i="3"/>
  <c r="W19" i="3" s="1"/>
  <c r="AE19" i="3"/>
  <c r="L19" i="3"/>
  <c r="T65" i="3" l="1"/>
  <c r="S66" i="3"/>
  <c r="AH20" i="3"/>
  <c r="U19" i="3"/>
  <c r="E20" i="3" s="1"/>
  <c r="H20" i="3" s="1"/>
  <c r="AG20" i="3"/>
  <c r="Y18" i="3"/>
  <c r="A71" i="3"/>
  <c r="B71" i="3" s="1"/>
  <c r="AC70" i="3"/>
  <c r="AA70" i="3"/>
  <c r="AD70" i="3"/>
  <c r="P70" i="3"/>
  <c r="Q70" i="3" s="1"/>
  <c r="R70" i="3" s="1"/>
  <c r="Z70" i="3"/>
  <c r="S67" i="3" l="1"/>
  <c r="T66" i="3"/>
  <c r="D20" i="3"/>
  <c r="G20" i="3" s="1"/>
  <c r="K20" i="3"/>
  <c r="AA71" i="3"/>
  <c r="A72" i="3"/>
  <c r="B72" i="3" s="1"/>
  <c r="AC71" i="3"/>
  <c r="Z71" i="3"/>
  <c r="AD71" i="3"/>
  <c r="P71" i="3"/>
  <c r="Q71" i="3" s="1"/>
  <c r="R71" i="3" s="1"/>
  <c r="S68" i="3" l="1"/>
  <c r="T67" i="3"/>
  <c r="F20" i="3"/>
  <c r="A73" i="3"/>
  <c r="B73" i="3" s="1"/>
  <c r="Z72" i="3"/>
  <c r="P72" i="3"/>
  <c r="Q72" i="3" s="1"/>
  <c r="R72" i="3" s="1"/>
  <c r="AD72" i="3"/>
  <c r="AA72" i="3"/>
  <c r="AC72" i="3"/>
  <c r="V20" i="3"/>
  <c r="AE20" i="3"/>
  <c r="I20" i="3"/>
  <c r="J20" i="3"/>
  <c r="M20" i="3"/>
  <c r="N20" i="3" s="1"/>
  <c r="S69" i="3" l="1"/>
  <c r="T68" i="3"/>
  <c r="AC73" i="3"/>
  <c r="A74" i="3"/>
  <c r="B74" i="3" s="1"/>
  <c r="Z73" i="3"/>
  <c r="AA73" i="3"/>
  <c r="AD73" i="3"/>
  <c r="P73" i="3"/>
  <c r="Q73" i="3" s="1"/>
  <c r="R73" i="3" s="1"/>
  <c r="L20" i="3"/>
  <c r="W20" i="3"/>
  <c r="T69" i="3" l="1"/>
  <c r="S70" i="3"/>
  <c r="AD74" i="3"/>
  <c r="P74" i="3"/>
  <c r="Q74" i="3" s="1"/>
  <c r="R74" i="3" s="1"/>
  <c r="AC74" i="3"/>
  <c r="A75" i="3"/>
  <c r="B75" i="3" s="1"/>
  <c r="AA74" i="3"/>
  <c r="Z74" i="3"/>
  <c r="AG21" i="3"/>
  <c r="U20" i="3"/>
  <c r="E21" i="3" s="1"/>
  <c r="H21" i="3" s="1"/>
  <c r="AH21" i="3"/>
  <c r="Y19" i="3"/>
  <c r="T70" i="3" l="1"/>
  <c r="S71" i="3"/>
  <c r="D21" i="3"/>
  <c r="G21" i="3" s="1"/>
  <c r="K21" i="3"/>
  <c r="P75" i="3"/>
  <c r="Q75" i="3" s="1"/>
  <c r="R75" i="3" s="1"/>
  <c r="Z75" i="3"/>
  <c r="A76" i="3"/>
  <c r="B76" i="3" s="1"/>
  <c r="AA75" i="3"/>
  <c r="AC75" i="3"/>
  <c r="AD75" i="3"/>
  <c r="S72" i="3" l="1"/>
  <c r="T71" i="3"/>
  <c r="F21" i="3"/>
  <c r="AC76" i="3"/>
  <c r="Z76" i="3"/>
  <c r="AD76" i="3"/>
  <c r="AA76" i="3"/>
  <c r="A77" i="3"/>
  <c r="B77" i="3" s="1"/>
  <c r="P76" i="3"/>
  <c r="Q76" i="3" s="1"/>
  <c r="R76" i="3" s="1"/>
  <c r="I21" i="3"/>
  <c r="J21" i="3"/>
  <c r="M21" i="3"/>
  <c r="N21" i="3" s="1"/>
  <c r="V21" i="3"/>
  <c r="AE21" i="3"/>
  <c r="S73" i="3" l="1"/>
  <c r="T72" i="3"/>
  <c r="W21" i="3"/>
  <c r="A78" i="3"/>
  <c r="B78" i="3" s="1"/>
  <c r="AA77" i="3"/>
  <c r="Z77" i="3"/>
  <c r="P77" i="3"/>
  <c r="Q77" i="3" s="1"/>
  <c r="R77" i="3" s="1"/>
  <c r="AD77" i="3"/>
  <c r="AC77" i="3"/>
  <c r="L21" i="3"/>
  <c r="T73" i="3" l="1"/>
  <c r="S74" i="3"/>
  <c r="AG22" i="3"/>
  <c r="U21" i="3"/>
  <c r="D22" i="3" s="1"/>
  <c r="AH22" i="3"/>
  <c r="Y20" i="3"/>
  <c r="A79" i="3"/>
  <c r="B79" i="3" s="1"/>
  <c r="AD78" i="3"/>
  <c r="P78" i="3"/>
  <c r="Q78" i="3" s="1"/>
  <c r="R78" i="3" s="1"/>
  <c r="AC78" i="3"/>
  <c r="AA78" i="3"/>
  <c r="Z78" i="3"/>
  <c r="S75" i="3" l="1"/>
  <c r="T74" i="3"/>
  <c r="G22" i="3"/>
  <c r="E22" i="3"/>
  <c r="H22" i="3" s="1"/>
  <c r="P79" i="3"/>
  <c r="Q79" i="3" s="1"/>
  <c r="R79" i="3" s="1"/>
  <c r="A80" i="3"/>
  <c r="B80" i="3" s="1"/>
  <c r="Z79" i="3"/>
  <c r="AC79" i="3"/>
  <c r="AA79" i="3"/>
  <c r="AD79" i="3"/>
  <c r="T75" i="3" l="1"/>
  <c r="S76" i="3"/>
  <c r="AA80" i="3"/>
  <c r="A81" i="3"/>
  <c r="B81" i="3" s="1"/>
  <c r="AD80" i="3"/>
  <c r="AC80" i="3"/>
  <c r="P80" i="3"/>
  <c r="Q80" i="3" s="1"/>
  <c r="R80" i="3" s="1"/>
  <c r="Z80" i="3"/>
  <c r="I22" i="3"/>
  <c r="J22" i="3"/>
  <c r="M22" i="3"/>
  <c r="N22" i="3" s="1"/>
  <c r="K22" i="3"/>
  <c r="F22" i="3"/>
  <c r="S77" i="3" l="1"/>
  <c r="T76" i="3"/>
  <c r="L22" i="3"/>
  <c r="Z81" i="3"/>
  <c r="AC81" i="3"/>
  <c r="A82" i="3"/>
  <c r="B82" i="3" s="1"/>
  <c r="AA81" i="3"/>
  <c r="AD81" i="3"/>
  <c r="P81" i="3"/>
  <c r="Q81" i="3" s="1"/>
  <c r="R81" i="3" s="1"/>
  <c r="V22" i="3"/>
  <c r="W22" i="3" s="1"/>
  <c r="AE22" i="3"/>
  <c r="T77" i="3" l="1"/>
  <c r="S78" i="3"/>
  <c r="U22" i="3"/>
  <c r="E23" i="3" s="1"/>
  <c r="H23" i="3" s="1"/>
  <c r="AH23" i="3"/>
  <c r="AG23" i="3"/>
  <c r="Y21" i="3"/>
  <c r="A83" i="3"/>
  <c r="B83" i="3" s="1"/>
  <c r="P82" i="3"/>
  <c r="Q82" i="3" s="1"/>
  <c r="R82" i="3" s="1"/>
  <c r="AC82" i="3"/>
  <c r="AA82" i="3"/>
  <c r="Z82" i="3"/>
  <c r="AD82" i="3"/>
  <c r="S79" i="3" l="1"/>
  <c r="T78" i="3"/>
  <c r="AA83" i="3"/>
  <c r="AC83" i="3"/>
  <c r="P83" i="3"/>
  <c r="Q83" i="3" s="1"/>
  <c r="R83" i="3" s="1"/>
  <c r="Z83" i="3"/>
  <c r="AD83" i="3"/>
  <c r="A84" i="3"/>
  <c r="B84" i="3" s="1"/>
  <c r="K23" i="3"/>
  <c r="D23" i="3"/>
  <c r="S80" i="3" l="1"/>
  <c r="T79" i="3"/>
  <c r="AA84" i="3"/>
  <c r="Z84" i="3"/>
  <c r="A85" i="3"/>
  <c r="B85" i="3" s="1"/>
  <c r="P84" i="3"/>
  <c r="Q84" i="3" s="1"/>
  <c r="R84" i="3" s="1"/>
  <c r="AC84" i="3"/>
  <c r="V23" i="3"/>
  <c r="AE23" i="3"/>
  <c r="F23" i="3"/>
  <c r="G23" i="3"/>
  <c r="T80" i="3" l="1"/>
  <c r="S81" i="3"/>
  <c r="A86" i="3"/>
  <c r="B86" i="3" s="1"/>
  <c r="P85" i="3"/>
  <c r="Q85" i="3" s="1"/>
  <c r="R85" i="3" s="1"/>
  <c r="AA85" i="3"/>
  <c r="AC85" i="3"/>
  <c r="Z85" i="3"/>
  <c r="AD85" i="3"/>
  <c r="I23" i="3"/>
  <c r="W23" i="3" s="1"/>
  <c r="J23" i="3"/>
  <c r="M23" i="3"/>
  <c r="N23" i="3" s="1"/>
  <c r="T81" i="3" l="1"/>
  <c r="S82" i="3"/>
  <c r="AC86" i="3"/>
  <c r="Z86" i="3"/>
  <c r="P86" i="3"/>
  <c r="Q86" i="3" s="1"/>
  <c r="R86" i="3" s="1"/>
  <c r="AA86" i="3"/>
  <c r="A87" i="3"/>
  <c r="B87" i="3" s="1"/>
  <c r="AD86" i="3"/>
  <c r="L23" i="3"/>
  <c r="T82" i="3" l="1"/>
  <c r="S83" i="3"/>
  <c r="P87" i="3"/>
  <c r="Q87" i="3" s="1"/>
  <c r="R87" i="3" s="1"/>
  <c r="Z87" i="3"/>
  <c r="A88" i="3"/>
  <c r="B88" i="3" s="1"/>
  <c r="AD87" i="3"/>
  <c r="AC87" i="3"/>
  <c r="AA87" i="3"/>
  <c r="AG24" i="3"/>
  <c r="AH24" i="3"/>
  <c r="U23" i="3"/>
  <c r="E24" i="3" s="1"/>
  <c r="H24" i="3" s="1"/>
  <c r="Y22" i="3"/>
  <c r="T83" i="3" l="1"/>
  <c r="S84" i="3"/>
  <c r="D24" i="3"/>
  <c r="G24" i="3" s="1"/>
  <c r="A89" i="3"/>
  <c r="B89" i="3" s="1"/>
  <c r="P88" i="3"/>
  <c r="Q88" i="3" s="1"/>
  <c r="R88" i="3" s="1"/>
  <c r="AC88" i="3"/>
  <c r="Z88" i="3"/>
  <c r="AA88" i="3"/>
  <c r="AD88" i="3"/>
  <c r="K24" i="3"/>
  <c r="T84" i="3" l="1"/>
  <c r="S85" i="3"/>
  <c r="F24" i="3"/>
  <c r="AD89" i="3"/>
  <c r="AC89" i="3"/>
  <c r="P89" i="3"/>
  <c r="Q89" i="3" s="1"/>
  <c r="R89" i="3" s="1"/>
  <c r="Z89" i="3"/>
  <c r="AA89" i="3"/>
  <c r="A90" i="3"/>
  <c r="B90" i="3" s="1"/>
  <c r="V24" i="3"/>
  <c r="AE24" i="3"/>
  <c r="I24" i="3"/>
  <c r="J24" i="3"/>
  <c r="M24" i="3"/>
  <c r="N24" i="3" s="1"/>
  <c r="T85" i="3" l="1"/>
  <c r="S86" i="3"/>
  <c r="A91" i="3"/>
  <c r="B91" i="3" s="1"/>
  <c r="P90" i="3"/>
  <c r="Q90" i="3" s="1"/>
  <c r="R90" i="3" s="1"/>
  <c r="AC90" i="3"/>
  <c r="Z90" i="3"/>
  <c r="AA90" i="3"/>
  <c r="AD90" i="3"/>
  <c r="L24" i="3"/>
  <c r="W24" i="3"/>
  <c r="T86" i="3" l="1"/>
  <c r="S87" i="3"/>
  <c r="P91" i="3"/>
  <c r="Q91" i="3" s="1"/>
  <c r="R91" i="3" s="1"/>
  <c r="AD91" i="3"/>
  <c r="AA91" i="3"/>
  <c r="A92" i="3"/>
  <c r="B92" i="3" s="1"/>
  <c r="AC91" i="3"/>
  <c r="Z91" i="3"/>
  <c r="AH25" i="3"/>
  <c r="AG25" i="3"/>
  <c r="U24" i="3"/>
  <c r="D25" i="3" s="1"/>
  <c r="Y23" i="3"/>
  <c r="S88" i="3" l="1"/>
  <c r="T87" i="3"/>
  <c r="E25" i="3"/>
  <c r="H25" i="3" s="1"/>
  <c r="K25" i="3" s="1"/>
  <c r="G25" i="3"/>
  <c r="AA92" i="3"/>
  <c r="AD92" i="3"/>
  <c r="AC92" i="3"/>
  <c r="P92" i="3"/>
  <c r="Q92" i="3" s="1"/>
  <c r="R92" i="3" s="1"/>
  <c r="Z92" i="3"/>
  <c r="A93" i="3"/>
  <c r="B93" i="3" s="1"/>
  <c r="T88" i="3" l="1"/>
  <c r="S89" i="3"/>
  <c r="F25" i="3"/>
  <c r="Z93" i="3"/>
  <c r="AA93" i="3"/>
  <c r="P93" i="3"/>
  <c r="Q93" i="3" s="1"/>
  <c r="R93" i="3" s="1"/>
  <c r="A94" i="3"/>
  <c r="B94" i="3" s="1"/>
  <c r="AD93" i="3"/>
  <c r="AC93" i="3"/>
  <c r="I25" i="3"/>
  <c r="J25" i="3"/>
  <c r="M25" i="3"/>
  <c r="N25" i="3" s="1"/>
  <c r="V25" i="3"/>
  <c r="AE25" i="3"/>
  <c r="S90" i="3" l="1"/>
  <c r="T89" i="3"/>
  <c r="W25" i="3"/>
  <c r="AC94" i="3"/>
  <c r="Z94" i="3"/>
  <c r="AA94" i="3"/>
  <c r="AD94" i="3"/>
  <c r="A95" i="3"/>
  <c r="B95" i="3" s="1"/>
  <c r="P94" i="3"/>
  <c r="Q94" i="3" s="1"/>
  <c r="R94" i="3" s="1"/>
  <c r="L25" i="3"/>
  <c r="S91" i="3" l="1"/>
  <c r="T90" i="3"/>
  <c r="U25" i="3"/>
  <c r="E26" i="3" s="1"/>
  <c r="H26" i="3" s="1"/>
  <c r="AH26" i="3"/>
  <c r="AG26" i="3"/>
  <c r="Y24" i="3"/>
  <c r="Z95" i="3"/>
  <c r="A96" i="3"/>
  <c r="B96" i="3" s="1"/>
  <c r="P95" i="3"/>
  <c r="Q95" i="3" s="1"/>
  <c r="R95" i="3" s="1"/>
  <c r="AC95" i="3"/>
  <c r="AD95" i="3"/>
  <c r="AA95" i="3"/>
  <c r="T91" i="3" l="1"/>
  <c r="S92" i="3"/>
  <c r="D26" i="3"/>
  <c r="G26" i="3" s="1"/>
  <c r="K26" i="3"/>
  <c r="Z96" i="3"/>
  <c r="P96" i="3"/>
  <c r="Q96" i="3" s="1"/>
  <c r="R96" i="3" s="1"/>
  <c r="AC96" i="3"/>
  <c r="AA96" i="3"/>
  <c r="AD96" i="3"/>
  <c r="A97" i="3"/>
  <c r="B97" i="3" s="1"/>
  <c r="S93" i="3" l="1"/>
  <c r="T92" i="3"/>
  <c r="F26" i="3"/>
  <c r="I26" i="3"/>
  <c r="J26" i="3"/>
  <c r="M26" i="3"/>
  <c r="N26" i="3" s="1"/>
  <c r="A98" i="3"/>
  <c r="B98" i="3" s="1"/>
  <c r="P97" i="3"/>
  <c r="Q97" i="3" s="1"/>
  <c r="R97" i="3" s="1"/>
  <c r="AD97" i="3"/>
  <c r="AA97" i="3"/>
  <c r="Z97" i="3"/>
  <c r="AC97" i="3"/>
  <c r="V26" i="3"/>
  <c r="AE26" i="3"/>
  <c r="T93" i="3" l="1"/>
  <c r="S94" i="3"/>
  <c r="W26" i="3"/>
  <c r="A99" i="3"/>
  <c r="B99" i="3" s="1"/>
  <c r="AD98" i="3"/>
  <c r="AA98" i="3"/>
  <c r="P98" i="3"/>
  <c r="Q98" i="3" s="1"/>
  <c r="R98" i="3" s="1"/>
  <c r="Z98" i="3"/>
  <c r="AC98" i="3"/>
  <c r="L26" i="3"/>
  <c r="T94" i="3" l="1"/>
  <c r="S95" i="3"/>
  <c r="AD99" i="3"/>
  <c r="P99" i="3"/>
  <c r="Q99" i="3" s="1"/>
  <c r="R99" i="3" s="1"/>
  <c r="Z99" i="3"/>
  <c r="A100" i="3"/>
  <c r="B100" i="3" s="1"/>
  <c r="AC99" i="3"/>
  <c r="AA99" i="3"/>
  <c r="AH27" i="3"/>
  <c r="U26" i="3"/>
  <c r="D27" i="3" s="1"/>
  <c r="AG27" i="3"/>
  <c r="Y25" i="3"/>
  <c r="S96" i="3" l="1"/>
  <c r="T95" i="3"/>
  <c r="E27" i="3"/>
  <c r="H27" i="3" s="1"/>
  <c r="K27" i="3" s="1"/>
  <c r="G27" i="3"/>
  <c r="A101" i="3"/>
  <c r="B101" i="3" s="1"/>
  <c r="AA100" i="3"/>
  <c r="AC100" i="3"/>
  <c r="Z100" i="3"/>
  <c r="AD100" i="3"/>
  <c r="P100" i="3"/>
  <c r="Q100" i="3" s="1"/>
  <c r="R100" i="3" s="1"/>
  <c r="S97" i="3" l="1"/>
  <c r="T96" i="3"/>
  <c r="F27" i="3"/>
  <c r="AD101" i="3"/>
  <c r="Z101" i="3"/>
  <c r="P101" i="3"/>
  <c r="Q101" i="3" s="1"/>
  <c r="R101" i="3" s="1"/>
  <c r="AC101" i="3"/>
  <c r="A102" i="3"/>
  <c r="B102" i="3" s="1"/>
  <c r="AA101" i="3"/>
  <c r="I27" i="3"/>
  <c r="J27" i="3"/>
  <c r="M27" i="3"/>
  <c r="N27" i="3" s="1"/>
  <c r="V27" i="3"/>
  <c r="AE27" i="3"/>
  <c r="S98" i="3" l="1"/>
  <c r="T97" i="3"/>
  <c r="P102" i="3"/>
  <c r="Q102" i="3" s="1"/>
  <c r="R102" i="3" s="1"/>
  <c r="A103" i="3"/>
  <c r="B103" i="3" s="1"/>
  <c r="AA102" i="3"/>
  <c r="AC102" i="3"/>
  <c r="AD102" i="3"/>
  <c r="Z102" i="3"/>
  <c r="L27" i="3"/>
  <c r="W27" i="3"/>
  <c r="T98" i="3" l="1"/>
  <c r="S99" i="3"/>
  <c r="P103" i="3"/>
  <c r="Q103" i="3" s="1"/>
  <c r="R103" i="3" s="1"/>
  <c r="AD103" i="3"/>
  <c r="AC103" i="3"/>
  <c r="Z103" i="3"/>
  <c r="A104" i="3"/>
  <c r="B104" i="3" s="1"/>
  <c r="AA103" i="3"/>
  <c r="U27" i="3"/>
  <c r="E28" i="3" s="1"/>
  <c r="H28" i="3" s="1"/>
  <c r="AG28" i="3"/>
  <c r="AH28" i="3"/>
  <c r="Y26" i="3"/>
  <c r="S100" i="3" l="1"/>
  <c r="T99" i="3"/>
  <c r="D28" i="3"/>
  <c r="F28" i="3" s="1"/>
  <c r="K28" i="3"/>
  <c r="AC104" i="3"/>
  <c r="P104" i="3"/>
  <c r="Q104" i="3" s="1"/>
  <c r="R104" i="3" s="1"/>
  <c r="Z104" i="3"/>
  <c r="AA104" i="3"/>
  <c r="S101" i="3" l="1"/>
  <c r="T100" i="3"/>
  <c r="G28" i="3"/>
  <c r="I28" i="3" s="1"/>
  <c r="V28" i="3"/>
  <c r="AE28" i="3"/>
  <c r="T101" i="3" l="1"/>
  <c r="S102" i="3"/>
  <c r="M28" i="3"/>
  <c r="N28" i="3" s="1"/>
  <c r="J28" i="3"/>
  <c r="L28" i="3" s="1"/>
  <c r="W28" i="3"/>
  <c r="S103" i="3" l="1"/>
  <c r="T102" i="3"/>
  <c r="AH29" i="3"/>
  <c r="AG29" i="3"/>
  <c r="U28" i="3"/>
  <c r="E29" i="3" s="1"/>
  <c r="H29" i="3" s="1"/>
  <c r="Y27" i="3"/>
  <c r="S104" i="3" l="1"/>
  <c r="T103" i="3"/>
  <c r="D29" i="3"/>
  <c r="F29" i="3" s="1"/>
  <c r="K29" i="3"/>
  <c r="T104" i="3" l="1"/>
  <c r="G29" i="3"/>
  <c r="M29" i="3" s="1"/>
  <c r="N29" i="3" s="1"/>
  <c r="V29" i="3"/>
  <c r="AE29" i="3"/>
  <c r="J29" i="3" l="1"/>
  <c r="L29" i="3" s="1"/>
  <c r="I29" i="3"/>
  <c r="W29" i="3" s="1"/>
  <c r="U29" i="3" l="1"/>
  <c r="D30" i="3" s="1"/>
  <c r="AG30" i="3"/>
  <c r="AH30" i="3"/>
  <c r="Y28" i="3"/>
  <c r="E30" i="3" l="1"/>
  <c r="H30" i="3" s="1"/>
  <c r="K30" i="3" s="1"/>
  <c r="G30" i="3"/>
  <c r="F30" i="3" l="1"/>
  <c r="I30" i="3"/>
  <c r="J30" i="3"/>
  <c r="M30" i="3"/>
  <c r="N30" i="3" s="1"/>
  <c r="V30" i="3"/>
  <c r="AE30" i="3"/>
  <c r="W30" i="3" l="1"/>
  <c r="L30" i="3"/>
  <c r="U30" i="3" l="1"/>
  <c r="D31" i="3" s="1"/>
  <c r="AG31" i="3"/>
  <c r="AH31" i="3"/>
  <c r="Y29" i="3"/>
  <c r="E31" i="3" l="1"/>
  <c r="H31" i="3" s="1"/>
  <c r="K31" i="3" s="1"/>
  <c r="G31" i="3"/>
  <c r="F31" i="3" l="1"/>
  <c r="V31" i="3"/>
  <c r="AE31" i="3"/>
  <c r="I31" i="3"/>
  <c r="J31" i="3"/>
  <c r="M31" i="3"/>
  <c r="N31" i="3" s="1"/>
  <c r="L31" i="3" l="1"/>
  <c r="W31" i="3"/>
  <c r="AG32" i="3" l="1"/>
  <c r="AH32" i="3"/>
  <c r="U31" i="3"/>
  <c r="E32" i="3" s="1"/>
  <c r="H32" i="3" s="1"/>
  <c r="Y30" i="3"/>
  <c r="D32" i="3" l="1"/>
  <c r="F32" i="3" s="1"/>
  <c r="K32" i="3"/>
  <c r="G32" i="3" l="1"/>
  <c r="I32" i="3" s="1"/>
  <c r="V32" i="3"/>
  <c r="AE32" i="3"/>
  <c r="M32" i="3" l="1"/>
  <c r="N32" i="3" s="1"/>
  <c r="J32" i="3"/>
  <c r="L32" i="3" s="1"/>
  <c r="W32" i="3"/>
  <c r="AH33" i="3" l="1"/>
  <c r="AG33" i="3"/>
  <c r="U32" i="3"/>
  <c r="D33" i="3" s="1"/>
  <c r="Y31" i="3"/>
  <c r="E33" i="3" l="1"/>
  <c r="H33" i="3" s="1"/>
  <c r="K33" i="3" s="1"/>
  <c r="G33" i="3"/>
  <c r="F33" i="3" l="1"/>
  <c r="I33" i="3"/>
  <c r="J33" i="3"/>
  <c r="M33" i="3"/>
  <c r="N33" i="3" s="1"/>
  <c r="V33" i="3"/>
  <c r="AE33" i="3"/>
  <c r="W33" i="3" l="1"/>
  <c r="L33" i="3"/>
  <c r="AH34" i="3" l="1"/>
  <c r="AG34" i="3"/>
  <c r="U33" i="3"/>
  <c r="D34" i="3" s="1"/>
  <c r="Y32" i="3"/>
  <c r="G34" i="3" l="1"/>
  <c r="E34" i="3"/>
  <c r="H34" i="3" s="1"/>
  <c r="F34" i="3" l="1"/>
  <c r="I34" i="3"/>
  <c r="J34" i="3"/>
  <c r="AD34" i="3" s="1"/>
  <c r="M34" i="3"/>
  <c r="N34" i="3" s="1"/>
  <c r="K34" i="3"/>
  <c r="V34" i="3" l="1"/>
  <c r="W34" i="3" s="1"/>
  <c r="AE34" i="3"/>
  <c r="L34" i="3"/>
  <c r="U34" i="3" l="1"/>
  <c r="E35" i="3" s="1"/>
  <c r="H35" i="3" s="1"/>
  <c r="AH35" i="3"/>
  <c r="AG35" i="3"/>
  <c r="Y33" i="3"/>
  <c r="D35" i="3" l="1"/>
  <c r="G35" i="3" s="1"/>
  <c r="K35" i="3"/>
  <c r="F35" i="3" l="1"/>
  <c r="I35" i="3"/>
  <c r="J35" i="3"/>
  <c r="M35" i="3"/>
  <c r="N35" i="3" s="1"/>
  <c r="V35" i="3"/>
  <c r="AE35" i="3"/>
  <c r="W35" i="3" l="1"/>
  <c r="L35" i="3"/>
  <c r="U35" i="3" l="1"/>
  <c r="E36" i="3" s="1"/>
  <c r="H36" i="3" s="1"/>
  <c r="AG36" i="3"/>
  <c r="AH36" i="3"/>
  <c r="Y34" i="3"/>
  <c r="K36" i="3" l="1"/>
  <c r="D36" i="3"/>
  <c r="F36" i="3" l="1"/>
  <c r="G36" i="3"/>
  <c r="V36" i="3"/>
  <c r="AE36" i="3"/>
  <c r="I36" i="3" l="1"/>
  <c r="W36" i="3" s="1"/>
  <c r="J36" i="3"/>
  <c r="M36" i="3"/>
  <c r="N36" i="3" s="1"/>
  <c r="L36" i="3" l="1"/>
  <c r="AH37" i="3" l="1"/>
  <c r="AG37" i="3"/>
  <c r="U36" i="3"/>
  <c r="E37" i="3" s="1"/>
  <c r="H37" i="3" s="1"/>
  <c r="Y35" i="3"/>
  <c r="D37" i="3" l="1"/>
  <c r="G37" i="3" s="1"/>
  <c r="K37" i="3"/>
  <c r="F37" i="3" l="1"/>
  <c r="I37" i="3"/>
  <c r="J37" i="3"/>
  <c r="M37" i="3"/>
  <c r="N37" i="3" s="1"/>
  <c r="V37" i="3"/>
  <c r="AE37" i="3"/>
  <c r="W37" i="3" l="1"/>
  <c r="L37" i="3"/>
  <c r="AH38" i="3" l="1"/>
  <c r="AG38" i="3"/>
  <c r="U37" i="3"/>
  <c r="D38" i="3" s="1"/>
  <c r="Y36" i="3"/>
  <c r="G38" i="3" l="1"/>
  <c r="E38" i="3"/>
  <c r="H38" i="3" s="1"/>
  <c r="K38" i="3" l="1"/>
  <c r="F38" i="3"/>
  <c r="I38" i="3"/>
  <c r="J38" i="3"/>
  <c r="M38" i="3"/>
  <c r="N38" i="3" s="1"/>
  <c r="L38" i="3" l="1"/>
  <c r="V38" i="3"/>
  <c r="W38" i="3" s="1"/>
  <c r="AE38" i="3"/>
  <c r="U38" i="3" l="1"/>
  <c r="D39" i="3" s="1"/>
  <c r="AG39" i="3"/>
  <c r="AH39" i="3"/>
  <c r="Y37" i="3"/>
  <c r="G39" i="3" l="1"/>
  <c r="E39" i="3"/>
  <c r="H39" i="3" s="1"/>
  <c r="F39" i="3" l="1"/>
  <c r="K39" i="3"/>
  <c r="I39" i="3"/>
  <c r="J39" i="3"/>
  <c r="M39" i="3"/>
  <c r="N39" i="3" s="1"/>
  <c r="L39" i="3" l="1"/>
  <c r="V39" i="3"/>
  <c r="W39" i="3" s="1"/>
  <c r="AE39" i="3"/>
  <c r="U39" i="3" l="1"/>
  <c r="E40" i="3" s="1"/>
  <c r="H40" i="3" s="1"/>
  <c r="AH40" i="3"/>
  <c r="AG40" i="3"/>
  <c r="Y38" i="3"/>
  <c r="D40" i="3" l="1"/>
  <c r="F40" i="3" s="1"/>
  <c r="K40" i="3"/>
  <c r="G40" i="3" l="1"/>
  <c r="M40" i="3" s="1"/>
  <c r="N40" i="3" s="1"/>
  <c r="V40" i="3"/>
  <c r="AE40" i="3"/>
  <c r="I40" i="3" l="1"/>
  <c r="W40" i="3" s="1"/>
  <c r="J40" i="3"/>
  <c r="L40" i="3" s="1"/>
  <c r="U40" i="3" l="1"/>
  <c r="D41" i="3" s="1"/>
  <c r="AG41" i="3"/>
  <c r="AH41" i="3"/>
  <c r="Y39" i="3"/>
  <c r="G41" i="3" l="1"/>
  <c r="E41" i="3"/>
  <c r="H41" i="3" s="1"/>
  <c r="F41" i="3" l="1"/>
  <c r="I41" i="3"/>
  <c r="J41" i="3"/>
  <c r="M41" i="3"/>
  <c r="N41" i="3" s="1"/>
  <c r="K41" i="3"/>
  <c r="V41" i="3" l="1"/>
  <c r="W41" i="3" s="1"/>
  <c r="AE41" i="3"/>
  <c r="L41" i="3"/>
  <c r="U41" i="3" l="1"/>
  <c r="E42" i="3" s="1"/>
  <c r="H42" i="3" s="1"/>
  <c r="AG42" i="3"/>
  <c r="AH42" i="3"/>
  <c r="Y40" i="3"/>
  <c r="D42" i="3" l="1"/>
  <c r="G42" i="3" s="1"/>
  <c r="K42" i="3"/>
  <c r="F42" i="3" l="1"/>
  <c r="V42" i="3"/>
  <c r="AE42" i="3"/>
  <c r="I42" i="3"/>
  <c r="J42" i="3"/>
  <c r="M42" i="3"/>
  <c r="N42" i="3" s="1"/>
  <c r="W42" i="3" l="1"/>
  <c r="L42" i="3"/>
  <c r="AG43" i="3" l="1"/>
  <c r="AH43" i="3"/>
  <c r="U42" i="3"/>
  <c r="E43" i="3" s="1"/>
  <c r="H43" i="3" s="1"/>
  <c r="Y41" i="3"/>
  <c r="K43" i="3" l="1"/>
  <c r="D43" i="3"/>
  <c r="V43" i="3" l="1"/>
  <c r="AE43" i="3"/>
  <c r="F43" i="3"/>
  <c r="G43" i="3"/>
  <c r="I43" i="3" l="1"/>
  <c r="W43" i="3" s="1"/>
  <c r="J43" i="3"/>
  <c r="M43" i="3"/>
  <c r="N43" i="3" s="1"/>
  <c r="L43" i="3" l="1"/>
  <c r="AG44" i="3" l="1"/>
  <c r="AH44" i="3"/>
  <c r="U43" i="3"/>
  <c r="E44" i="3" s="1"/>
  <c r="H44" i="3" s="1"/>
  <c r="Y42" i="3"/>
  <c r="D44" i="3" l="1"/>
  <c r="F44" i="3" s="1"/>
  <c r="K44" i="3"/>
  <c r="G44" i="3" l="1"/>
  <c r="J44" i="3" s="1"/>
  <c r="AD44" i="3" s="1"/>
  <c r="V44" i="3"/>
  <c r="AE44" i="3"/>
  <c r="M44" i="3" l="1"/>
  <c r="N44" i="3" s="1"/>
  <c r="I44" i="3"/>
  <c r="W44" i="3" s="1"/>
  <c r="L44" i="3"/>
  <c r="U44" i="3" l="1"/>
  <c r="E45" i="3" s="1"/>
  <c r="H45" i="3" s="1"/>
  <c r="AH45" i="3"/>
  <c r="AG45" i="3"/>
  <c r="Y43" i="3"/>
  <c r="D45" i="3" l="1"/>
  <c r="G45" i="3" s="1"/>
  <c r="K45" i="3"/>
  <c r="F45" i="3" l="1"/>
  <c r="I45" i="3"/>
  <c r="J45" i="3"/>
  <c r="M45" i="3"/>
  <c r="N45" i="3" s="1"/>
  <c r="V45" i="3"/>
  <c r="AE45" i="3"/>
  <c r="L45" i="3" l="1"/>
  <c r="W45" i="3"/>
  <c r="U45" i="3" l="1"/>
  <c r="D46" i="3" s="1"/>
  <c r="AG46" i="3"/>
  <c r="AH46" i="3"/>
  <c r="Y44" i="3"/>
  <c r="E46" i="3" l="1"/>
  <c r="H46" i="3" s="1"/>
  <c r="K46" i="3" s="1"/>
  <c r="G46" i="3"/>
  <c r="F46" i="3" l="1"/>
  <c r="I46" i="3"/>
  <c r="J46" i="3"/>
  <c r="M46" i="3"/>
  <c r="N46" i="3" s="1"/>
  <c r="V46" i="3"/>
  <c r="AE46" i="3"/>
  <c r="W46" i="3" l="1"/>
  <c r="L46" i="3"/>
  <c r="AG47" i="3" l="1"/>
  <c r="U46" i="3"/>
  <c r="D47" i="3" s="1"/>
  <c r="AH47" i="3"/>
  <c r="Y45" i="3"/>
  <c r="E47" i="3" l="1"/>
  <c r="H47" i="3" s="1"/>
  <c r="K47" i="3" s="1"/>
  <c r="G47" i="3"/>
  <c r="F47" i="3" l="1"/>
  <c r="I47" i="3"/>
  <c r="J47" i="3"/>
  <c r="M47" i="3"/>
  <c r="N47" i="3" s="1"/>
  <c r="V47" i="3"/>
  <c r="AE47" i="3"/>
  <c r="W47" i="3" l="1"/>
  <c r="L47" i="3"/>
  <c r="AG48" i="3" l="1"/>
  <c r="U47" i="3"/>
  <c r="E48" i="3" s="1"/>
  <c r="H48" i="3" s="1"/>
  <c r="AH48" i="3"/>
  <c r="Y46" i="3"/>
  <c r="K48" i="3" l="1"/>
  <c r="D48" i="3"/>
  <c r="V48" i="3" l="1"/>
  <c r="AE48" i="3"/>
  <c r="F48" i="3"/>
  <c r="G48" i="3"/>
  <c r="I48" i="3" l="1"/>
  <c r="W48" i="3" s="1"/>
  <c r="J48" i="3"/>
  <c r="M48" i="3"/>
  <c r="N48" i="3" s="1"/>
  <c r="L48" i="3" l="1"/>
  <c r="AH49" i="3" l="1"/>
  <c r="U48" i="3"/>
  <c r="E49" i="3" s="1"/>
  <c r="H49" i="3" s="1"/>
  <c r="AG49" i="3"/>
  <c r="Y47" i="3"/>
  <c r="D49" i="3" l="1"/>
  <c r="G49" i="3" s="1"/>
  <c r="K49" i="3"/>
  <c r="F49" i="3" l="1"/>
  <c r="V49" i="3"/>
  <c r="AE49" i="3"/>
  <c r="I49" i="3"/>
  <c r="J49" i="3"/>
  <c r="M49" i="3"/>
  <c r="N49" i="3" s="1"/>
  <c r="W49" i="3" l="1"/>
  <c r="L49" i="3"/>
  <c r="AG50" i="3" l="1"/>
  <c r="AH50" i="3"/>
  <c r="U49" i="3"/>
  <c r="D50" i="3" s="1"/>
  <c r="Y48" i="3"/>
  <c r="E50" i="3" l="1"/>
  <c r="H50" i="3" s="1"/>
  <c r="K50" i="3" s="1"/>
  <c r="G50" i="3"/>
  <c r="F50" i="3" l="1"/>
  <c r="I50" i="3"/>
  <c r="J50" i="3"/>
  <c r="M50" i="3"/>
  <c r="N50" i="3" s="1"/>
  <c r="V50" i="3"/>
  <c r="AE50" i="3"/>
  <c r="L50" i="3" l="1"/>
  <c r="W50" i="3"/>
  <c r="U50" i="3" l="1"/>
  <c r="D51" i="3" s="1"/>
  <c r="AH51" i="3"/>
  <c r="AG51" i="3"/>
  <c r="Y49" i="3"/>
  <c r="E51" i="3" l="1"/>
  <c r="H51" i="3" s="1"/>
  <c r="K51" i="3" s="1"/>
  <c r="G51" i="3"/>
  <c r="F51" i="3" l="1"/>
  <c r="V51" i="3"/>
  <c r="AE51" i="3"/>
  <c r="I51" i="3"/>
  <c r="J51" i="3"/>
  <c r="M51" i="3"/>
  <c r="N51" i="3" s="1"/>
  <c r="W51" i="3" l="1"/>
  <c r="L51" i="3"/>
  <c r="AH52" i="3" l="1"/>
  <c r="AG52" i="3"/>
  <c r="U51" i="3"/>
  <c r="E52" i="3" s="1"/>
  <c r="H52" i="3" s="1"/>
  <c r="Y50" i="3"/>
  <c r="D52" i="3" l="1"/>
  <c r="G52" i="3" s="1"/>
  <c r="K52" i="3"/>
  <c r="F52" i="3" l="1"/>
  <c r="V52" i="3"/>
  <c r="AE52" i="3"/>
  <c r="I52" i="3"/>
  <c r="J52" i="3"/>
  <c r="M52" i="3"/>
  <c r="N52" i="3" s="1"/>
  <c r="L52" i="3" l="1"/>
  <c r="W52" i="3"/>
  <c r="AH53" i="3" l="1"/>
  <c r="AG53" i="3"/>
  <c r="U52" i="3"/>
  <c r="E53" i="3" s="1"/>
  <c r="H53" i="3" s="1"/>
  <c r="Y51" i="3"/>
  <c r="K53" i="3" l="1"/>
  <c r="D53" i="3"/>
  <c r="V53" i="3" l="1"/>
  <c r="AE53" i="3"/>
  <c r="F53" i="3"/>
  <c r="G53" i="3"/>
  <c r="I53" i="3" l="1"/>
  <c r="W53" i="3" s="1"/>
  <c r="J53" i="3"/>
  <c r="M53" i="3"/>
  <c r="N53" i="3" s="1"/>
  <c r="L53" i="3" l="1"/>
  <c r="AH54" i="3" l="1"/>
  <c r="AG54" i="3"/>
  <c r="U53" i="3"/>
  <c r="D54" i="3" s="1"/>
  <c r="Y52" i="3"/>
  <c r="G54" i="3" l="1"/>
  <c r="E54" i="3"/>
  <c r="H54" i="3" s="1"/>
  <c r="I54" i="3" l="1"/>
  <c r="J54" i="3"/>
  <c r="M54" i="3"/>
  <c r="N54" i="3" s="1"/>
  <c r="F54" i="3"/>
  <c r="K54" i="3"/>
  <c r="L54" i="3" l="1"/>
  <c r="V54" i="3"/>
  <c r="W54" i="3" s="1"/>
  <c r="AE54" i="3"/>
  <c r="U54" i="3" l="1"/>
  <c r="D55" i="3" s="1"/>
  <c r="AG55" i="3"/>
  <c r="AH55" i="3"/>
  <c r="Y53" i="3"/>
  <c r="E55" i="3" l="1"/>
  <c r="H55" i="3" s="1"/>
  <c r="K55" i="3" s="1"/>
  <c r="G55" i="3"/>
  <c r="F55" i="3" l="1"/>
  <c r="V55" i="3"/>
  <c r="AE55" i="3"/>
  <c r="I55" i="3"/>
  <c r="J55" i="3"/>
  <c r="M55" i="3"/>
  <c r="N55" i="3" s="1"/>
  <c r="W55" i="3" l="1"/>
  <c r="L55" i="3"/>
  <c r="AH56" i="3" l="1"/>
  <c r="U55" i="3"/>
  <c r="D56" i="3" s="1"/>
  <c r="AG56" i="3"/>
  <c r="Y54" i="3"/>
  <c r="E56" i="3" l="1"/>
  <c r="H56" i="3" s="1"/>
  <c r="K56" i="3" s="1"/>
  <c r="G56" i="3"/>
  <c r="F56" i="3" l="1"/>
  <c r="I56" i="3"/>
  <c r="J56" i="3"/>
  <c r="M56" i="3"/>
  <c r="N56" i="3" s="1"/>
  <c r="V56" i="3"/>
  <c r="AE56" i="3"/>
  <c r="W56" i="3" l="1"/>
  <c r="L56" i="3"/>
  <c r="AG57" i="3" l="1"/>
  <c r="U56" i="3"/>
  <c r="D57" i="3" s="1"/>
  <c r="AH57" i="3"/>
  <c r="Y55" i="3"/>
  <c r="E57" i="3" l="1"/>
  <c r="H57" i="3" s="1"/>
  <c r="K57" i="3" s="1"/>
  <c r="G57" i="3"/>
  <c r="F57" i="3" l="1"/>
  <c r="I57" i="3"/>
  <c r="J57" i="3"/>
  <c r="M57" i="3"/>
  <c r="N57" i="3" s="1"/>
  <c r="V57" i="3"/>
  <c r="AE57" i="3"/>
  <c r="W57" i="3" l="1"/>
  <c r="L57" i="3"/>
  <c r="U57" i="3" l="1"/>
  <c r="D58" i="3" s="1"/>
  <c r="AH58" i="3"/>
  <c r="AG58" i="3"/>
  <c r="Y56" i="3"/>
  <c r="E58" i="3" l="1"/>
  <c r="H58" i="3" s="1"/>
  <c r="K58" i="3" s="1"/>
  <c r="G58" i="3"/>
  <c r="F58" i="3" l="1"/>
  <c r="V58" i="3"/>
  <c r="AE58" i="3"/>
  <c r="I58" i="3"/>
  <c r="J58" i="3"/>
  <c r="M58" i="3"/>
  <c r="N58" i="3" s="1"/>
  <c r="W58" i="3" l="1"/>
  <c r="L58" i="3"/>
  <c r="AG59" i="3" l="1"/>
  <c r="U58" i="3"/>
  <c r="E59" i="3" s="1"/>
  <c r="H59" i="3" s="1"/>
  <c r="AH59" i="3"/>
  <c r="Y57" i="3"/>
  <c r="D59" i="3" l="1"/>
  <c r="F59" i="3" s="1"/>
  <c r="K59" i="3"/>
  <c r="G59" i="3" l="1"/>
  <c r="M59" i="3" s="1"/>
  <c r="N59" i="3" s="1"/>
  <c r="V59" i="3"/>
  <c r="AE59" i="3"/>
  <c r="I59" i="3" l="1"/>
  <c r="W59" i="3" s="1"/>
  <c r="J59" i="3"/>
  <c r="L59" i="3" s="1"/>
  <c r="AH60" i="3" l="1"/>
  <c r="U59" i="3"/>
  <c r="D60" i="3" s="1"/>
  <c r="AG60" i="3"/>
  <c r="Y58" i="3"/>
  <c r="E60" i="3" l="1"/>
  <c r="H60" i="3" s="1"/>
  <c r="K60" i="3" s="1"/>
  <c r="G60" i="3"/>
  <c r="F60" i="3" l="1"/>
  <c r="I60" i="3"/>
  <c r="J60" i="3"/>
  <c r="M60" i="3"/>
  <c r="N60" i="3" s="1"/>
  <c r="V60" i="3"/>
  <c r="AE60" i="3"/>
  <c r="W60" i="3" l="1"/>
  <c r="L60" i="3"/>
  <c r="AG61" i="3" l="1"/>
  <c r="U60" i="3"/>
  <c r="D61" i="3" s="1"/>
  <c r="AH61" i="3"/>
  <c r="Y59" i="3"/>
  <c r="G61" i="3" l="1"/>
  <c r="E61" i="3"/>
  <c r="H61" i="3" s="1"/>
  <c r="F61" i="3" l="1"/>
  <c r="I61" i="3"/>
  <c r="J61" i="3"/>
  <c r="M61" i="3"/>
  <c r="N61" i="3" s="1"/>
  <c r="K61" i="3"/>
  <c r="V61" i="3" l="1"/>
  <c r="W61" i="3" s="1"/>
  <c r="AE61" i="3"/>
  <c r="L61" i="3"/>
  <c r="AG62" i="3" l="1"/>
  <c r="U61" i="3"/>
  <c r="D62" i="3" s="1"/>
  <c r="AH62" i="3"/>
  <c r="Y60" i="3"/>
  <c r="G62" i="3" l="1"/>
  <c r="E62" i="3"/>
  <c r="H62" i="3" s="1"/>
  <c r="F62" i="3" l="1"/>
  <c r="I62" i="3"/>
  <c r="J62" i="3"/>
  <c r="M62" i="3"/>
  <c r="N62" i="3" s="1"/>
  <c r="K62" i="3"/>
  <c r="V62" i="3" l="1"/>
  <c r="W62" i="3" s="1"/>
  <c r="AE62" i="3"/>
  <c r="L62" i="3"/>
  <c r="U62" i="3" l="1"/>
  <c r="E63" i="3" s="1"/>
  <c r="H63" i="3" s="1"/>
  <c r="AG63" i="3"/>
  <c r="AH63" i="3"/>
  <c r="Y61" i="3"/>
  <c r="D63" i="3" l="1"/>
  <c r="G63" i="3" s="1"/>
  <c r="K63" i="3"/>
  <c r="F63" i="3" l="1"/>
  <c r="I63" i="3"/>
  <c r="J63" i="3"/>
  <c r="M63" i="3"/>
  <c r="N63" i="3" s="1"/>
  <c r="V63" i="3"/>
  <c r="AE63" i="3"/>
  <c r="W63" i="3" l="1"/>
  <c r="L63" i="3"/>
  <c r="U63" i="3" l="1"/>
  <c r="E64" i="3" s="1"/>
  <c r="H64" i="3" s="1"/>
  <c r="AH64" i="3"/>
  <c r="AG64" i="3"/>
  <c r="Y62" i="3"/>
  <c r="D64" i="3" l="1"/>
  <c r="G64" i="3" s="1"/>
  <c r="K64" i="3"/>
  <c r="F64" i="3" l="1"/>
  <c r="V64" i="3"/>
  <c r="AE64" i="3"/>
  <c r="I64" i="3"/>
  <c r="J64" i="3"/>
  <c r="M64" i="3"/>
  <c r="N64" i="3" s="1"/>
  <c r="W64" i="3" l="1"/>
  <c r="L64" i="3"/>
  <c r="U64" i="3" l="1"/>
  <c r="E65" i="3" s="1"/>
  <c r="H65" i="3" s="1"/>
  <c r="AH65" i="3"/>
  <c r="AG65" i="3"/>
  <c r="Y63" i="3"/>
  <c r="D65" i="3" l="1"/>
  <c r="G65" i="3" s="1"/>
  <c r="K65" i="3"/>
  <c r="F65" i="3" l="1"/>
  <c r="V65" i="3"/>
  <c r="AE65" i="3"/>
  <c r="I65" i="3"/>
  <c r="J65" i="3"/>
  <c r="M65" i="3"/>
  <c r="N65" i="3" s="1"/>
  <c r="W65" i="3" l="1"/>
  <c r="L65" i="3"/>
  <c r="U65" i="3" l="1"/>
  <c r="D66" i="3" s="1"/>
  <c r="AH66" i="3"/>
  <c r="AG66" i="3"/>
  <c r="Y64" i="3"/>
  <c r="E66" i="3" l="1"/>
  <c r="H66" i="3" s="1"/>
  <c r="K66" i="3" s="1"/>
  <c r="G66" i="3"/>
  <c r="F66" i="3" l="1"/>
  <c r="I66" i="3"/>
  <c r="J66" i="3"/>
  <c r="M66" i="3"/>
  <c r="N66" i="3" s="1"/>
  <c r="V66" i="3"/>
  <c r="AE66" i="3"/>
  <c r="W66" i="3" l="1"/>
  <c r="L66" i="3"/>
  <c r="U66" i="3" l="1"/>
  <c r="D67" i="3" s="1"/>
  <c r="AH67" i="3"/>
  <c r="AG67" i="3"/>
  <c r="Y65" i="3"/>
  <c r="E67" i="3" l="1"/>
  <c r="H67" i="3" s="1"/>
  <c r="K67" i="3" s="1"/>
  <c r="G67" i="3"/>
  <c r="F67" i="3" l="1"/>
  <c r="I67" i="3"/>
  <c r="J67" i="3"/>
  <c r="M67" i="3"/>
  <c r="N67" i="3" s="1"/>
  <c r="V67" i="3"/>
  <c r="AE67" i="3"/>
  <c r="W67" i="3" l="1"/>
  <c r="L67" i="3"/>
  <c r="U67" i="3" l="1"/>
  <c r="D68" i="3" s="1"/>
  <c r="AH68" i="3"/>
  <c r="AG68" i="3"/>
  <c r="Y66" i="3"/>
  <c r="E68" i="3" l="1"/>
  <c r="H68" i="3" s="1"/>
  <c r="K68" i="3" s="1"/>
  <c r="G68" i="3"/>
  <c r="F68" i="3" l="1"/>
  <c r="I68" i="3"/>
  <c r="J68" i="3"/>
  <c r="M68" i="3"/>
  <c r="N68" i="3" s="1"/>
  <c r="V68" i="3"/>
  <c r="AE68" i="3"/>
  <c r="W68" i="3" l="1"/>
  <c r="L68" i="3"/>
  <c r="U68" i="3" l="1"/>
  <c r="D69" i="3" s="1"/>
  <c r="AH69" i="3"/>
  <c r="AG69" i="3"/>
  <c r="Y67" i="3"/>
  <c r="E69" i="3" l="1"/>
  <c r="H69" i="3" s="1"/>
  <c r="K69" i="3" s="1"/>
  <c r="G69" i="3"/>
  <c r="F69" i="3" l="1"/>
  <c r="I69" i="3"/>
  <c r="J69" i="3"/>
  <c r="M69" i="3"/>
  <c r="N69" i="3" s="1"/>
  <c r="V69" i="3"/>
  <c r="AE69" i="3"/>
  <c r="W69" i="3" l="1"/>
  <c r="L69" i="3"/>
  <c r="AH70" i="3" l="1"/>
  <c r="U69" i="3"/>
  <c r="E70" i="3" s="1"/>
  <c r="H70" i="3" s="1"/>
  <c r="AG70" i="3"/>
  <c r="Y68" i="3"/>
  <c r="D70" i="3" l="1"/>
  <c r="G70" i="3" s="1"/>
  <c r="K70" i="3"/>
  <c r="F70" i="3" l="1"/>
  <c r="I70" i="3"/>
  <c r="J70" i="3"/>
  <c r="M70" i="3"/>
  <c r="N70" i="3" s="1"/>
  <c r="V70" i="3"/>
  <c r="AE70" i="3"/>
  <c r="W70" i="3" l="1"/>
  <c r="L70" i="3"/>
  <c r="AG71" i="3" l="1"/>
  <c r="AH71" i="3"/>
  <c r="U70" i="3"/>
  <c r="E71" i="3" s="1"/>
  <c r="H71" i="3" s="1"/>
  <c r="Y69" i="3"/>
  <c r="D71" i="3" l="1"/>
  <c r="G71" i="3" s="1"/>
  <c r="K71" i="3"/>
  <c r="F71" i="3" l="1"/>
  <c r="I71" i="3"/>
  <c r="J71" i="3"/>
  <c r="M71" i="3"/>
  <c r="N71" i="3" s="1"/>
  <c r="V71" i="3"/>
  <c r="AE71" i="3"/>
  <c r="W71" i="3" l="1"/>
  <c r="L71" i="3"/>
  <c r="AH72" i="3" l="1"/>
  <c r="U71" i="3"/>
  <c r="E72" i="3" s="1"/>
  <c r="H72" i="3" s="1"/>
  <c r="AG72" i="3"/>
  <c r="Y70" i="3"/>
  <c r="D72" i="3" l="1"/>
  <c r="F72" i="3" s="1"/>
  <c r="K72" i="3"/>
  <c r="G72" i="3" l="1"/>
  <c r="M72" i="3" s="1"/>
  <c r="N72" i="3" s="1"/>
  <c r="V72" i="3"/>
  <c r="AE72" i="3"/>
  <c r="I72" i="3" l="1"/>
  <c r="W72" i="3" s="1"/>
  <c r="J72" i="3"/>
  <c r="L72" i="3" s="1"/>
  <c r="U72" i="3" l="1"/>
  <c r="D73" i="3" s="1"/>
  <c r="AG73" i="3"/>
  <c r="AH73" i="3"/>
  <c r="Y71" i="3"/>
  <c r="E73" i="3" l="1"/>
  <c r="H73" i="3" s="1"/>
  <c r="K73" i="3" s="1"/>
  <c r="G73" i="3"/>
  <c r="F73" i="3" l="1"/>
  <c r="I73" i="3"/>
  <c r="J73" i="3"/>
  <c r="M73" i="3"/>
  <c r="N73" i="3" s="1"/>
  <c r="V73" i="3"/>
  <c r="AE73" i="3"/>
  <c r="W73" i="3" l="1"/>
  <c r="L73" i="3"/>
  <c r="AG74" i="3" l="1"/>
  <c r="AH74" i="3"/>
  <c r="U73" i="3"/>
  <c r="D74" i="3" s="1"/>
  <c r="Y72" i="3"/>
  <c r="G74" i="3" l="1"/>
  <c r="E74" i="3"/>
  <c r="H74" i="3" s="1"/>
  <c r="I74" i="3" l="1"/>
  <c r="J74" i="3"/>
  <c r="M74" i="3"/>
  <c r="N74" i="3" s="1"/>
  <c r="K74" i="3"/>
  <c r="F74" i="3"/>
  <c r="V74" i="3" l="1"/>
  <c r="W74" i="3" s="1"/>
  <c r="AE74" i="3"/>
  <c r="L74" i="3"/>
  <c r="AG75" i="3" l="1"/>
  <c r="U74" i="3"/>
  <c r="E75" i="3" s="1"/>
  <c r="H75" i="3" s="1"/>
  <c r="AH75" i="3"/>
  <c r="Y73" i="3"/>
  <c r="K75" i="3" l="1"/>
  <c r="D75" i="3"/>
  <c r="V75" i="3" l="1"/>
  <c r="AE75" i="3"/>
  <c r="F75" i="3"/>
  <c r="G75" i="3"/>
  <c r="I75" i="3" l="1"/>
  <c r="W75" i="3" s="1"/>
  <c r="J75" i="3"/>
  <c r="M75" i="3"/>
  <c r="N75" i="3" s="1"/>
  <c r="L75" i="3" l="1"/>
  <c r="U75" i="3" l="1"/>
  <c r="E76" i="3" s="1"/>
  <c r="H76" i="3" s="1"/>
  <c r="AH76" i="3"/>
  <c r="AG76" i="3"/>
  <c r="Y74" i="3"/>
  <c r="D76" i="3" l="1"/>
  <c r="F76" i="3" s="1"/>
  <c r="K76" i="3"/>
  <c r="G76" i="3" l="1"/>
  <c r="I76" i="3" s="1"/>
  <c r="V76" i="3"/>
  <c r="AE76" i="3"/>
  <c r="J76" i="3" l="1"/>
  <c r="L76" i="3" s="1"/>
  <c r="M76" i="3"/>
  <c r="N76" i="3" s="1"/>
  <c r="W76" i="3"/>
  <c r="U76" i="3" l="1"/>
  <c r="D77" i="3" s="1"/>
  <c r="AH77" i="3"/>
  <c r="AG77" i="3"/>
  <c r="Y75" i="3"/>
  <c r="E77" i="3" l="1"/>
  <c r="H77" i="3" s="1"/>
  <c r="K77" i="3" s="1"/>
  <c r="G77" i="3"/>
  <c r="F77" i="3" l="1"/>
  <c r="I77" i="3"/>
  <c r="J77" i="3"/>
  <c r="M77" i="3"/>
  <c r="N77" i="3" s="1"/>
  <c r="V77" i="3"/>
  <c r="AE77" i="3"/>
  <c r="W77" i="3" l="1"/>
  <c r="L77" i="3"/>
  <c r="AH78" i="3" l="1"/>
  <c r="U77" i="3"/>
  <c r="D78" i="3" s="1"/>
  <c r="AG78" i="3"/>
  <c r="Y76" i="3"/>
  <c r="E78" i="3" l="1"/>
  <c r="H78" i="3" s="1"/>
  <c r="K78" i="3" s="1"/>
  <c r="G78" i="3"/>
  <c r="F78" i="3" l="1"/>
  <c r="I78" i="3"/>
  <c r="J78" i="3"/>
  <c r="M78" i="3"/>
  <c r="N78" i="3" s="1"/>
  <c r="V78" i="3"/>
  <c r="AE78" i="3"/>
  <c r="W78" i="3" l="1"/>
  <c r="L78" i="3"/>
  <c r="U78" i="3" l="1"/>
  <c r="E79" i="3" s="1"/>
  <c r="H79" i="3" s="1"/>
  <c r="AH79" i="3"/>
  <c r="AG79" i="3"/>
  <c r="Y77" i="3"/>
  <c r="D79" i="3" l="1"/>
  <c r="G79" i="3" s="1"/>
  <c r="K79" i="3"/>
  <c r="F79" i="3" l="1"/>
  <c r="I79" i="3"/>
  <c r="J79" i="3"/>
  <c r="M79" i="3"/>
  <c r="N79" i="3" s="1"/>
  <c r="V79" i="3"/>
  <c r="AE79" i="3"/>
  <c r="W79" i="3" l="1"/>
  <c r="L79" i="3"/>
  <c r="AH80" i="3" l="1"/>
  <c r="AG80" i="3"/>
  <c r="U79" i="3"/>
  <c r="E80" i="3" s="1"/>
  <c r="H80" i="3" s="1"/>
  <c r="Y78" i="3"/>
  <c r="D80" i="3" l="1"/>
  <c r="F80" i="3" s="1"/>
  <c r="K80" i="3"/>
  <c r="G80" i="3" l="1"/>
  <c r="I80" i="3" s="1"/>
  <c r="V80" i="3"/>
  <c r="AE80" i="3"/>
  <c r="J80" i="3" l="1"/>
  <c r="L80" i="3" s="1"/>
  <c r="M80" i="3"/>
  <c r="N80" i="3" s="1"/>
  <c r="W80" i="3"/>
  <c r="U80" i="3" l="1"/>
  <c r="E81" i="3" s="1"/>
  <c r="H81" i="3" s="1"/>
  <c r="AG81" i="3"/>
  <c r="AH81" i="3"/>
  <c r="Y79" i="3"/>
  <c r="D81" i="3" l="1"/>
  <c r="G81" i="3" s="1"/>
  <c r="K81" i="3"/>
  <c r="F81" i="3" l="1"/>
  <c r="I81" i="3"/>
  <c r="J81" i="3"/>
  <c r="M81" i="3"/>
  <c r="N81" i="3" s="1"/>
  <c r="V81" i="3"/>
  <c r="AE81" i="3"/>
  <c r="W81" i="3" l="1"/>
  <c r="L81" i="3"/>
  <c r="AH82" i="3" l="1"/>
  <c r="AG82" i="3"/>
  <c r="U81" i="3"/>
  <c r="E82" i="3" s="1"/>
  <c r="H82" i="3" s="1"/>
  <c r="Y80" i="3"/>
  <c r="D82" i="3" l="1"/>
  <c r="G82" i="3" s="1"/>
  <c r="K82" i="3"/>
  <c r="F82" i="3" l="1"/>
  <c r="I82" i="3"/>
  <c r="J82" i="3"/>
  <c r="M82" i="3"/>
  <c r="N82" i="3" s="1"/>
  <c r="V82" i="3"/>
  <c r="AE82" i="3"/>
  <c r="W82" i="3" l="1"/>
  <c r="L82" i="3"/>
  <c r="AG83" i="3" l="1"/>
  <c r="U82" i="3"/>
  <c r="D83" i="3" s="1"/>
  <c r="AH83" i="3"/>
  <c r="Y81" i="3"/>
  <c r="E83" i="3" l="1"/>
  <c r="H83" i="3" s="1"/>
  <c r="K83" i="3" s="1"/>
  <c r="G83" i="3"/>
  <c r="F83" i="3" l="1"/>
  <c r="I83" i="3"/>
  <c r="J83" i="3"/>
  <c r="M83" i="3"/>
  <c r="N83" i="3" s="1"/>
  <c r="V83" i="3"/>
  <c r="AE83" i="3"/>
  <c r="W83" i="3" l="1"/>
  <c r="L83" i="3"/>
  <c r="AG84" i="3" l="1"/>
  <c r="AH84" i="3"/>
  <c r="U83" i="3"/>
  <c r="D84" i="3" s="1"/>
  <c r="Y82" i="3"/>
  <c r="G84" i="3" l="1"/>
  <c r="E84" i="3"/>
  <c r="H84" i="3" s="1"/>
  <c r="K84" i="3" l="1"/>
  <c r="I84" i="3"/>
  <c r="J84" i="3"/>
  <c r="AD84" i="3" s="1"/>
  <c r="M84" i="3"/>
  <c r="N84" i="3" s="1"/>
  <c r="F84" i="3"/>
  <c r="L84" i="3" l="1"/>
  <c r="V84" i="3"/>
  <c r="W84" i="3" s="1"/>
  <c r="AE84" i="3"/>
  <c r="AH85" i="3" l="1"/>
  <c r="AG85" i="3"/>
  <c r="U84" i="3"/>
  <c r="D85" i="3" s="1"/>
  <c r="Y83" i="3"/>
  <c r="E85" i="3" l="1"/>
  <c r="H85" i="3" s="1"/>
  <c r="K85" i="3" s="1"/>
  <c r="G85" i="3"/>
  <c r="F85" i="3" l="1"/>
  <c r="I85" i="3"/>
  <c r="J85" i="3"/>
  <c r="M85" i="3"/>
  <c r="N85" i="3" s="1"/>
  <c r="V85" i="3"/>
  <c r="AE85" i="3"/>
  <c r="W85" i="3" l="1"/>
  <c r="L85" i="3"/>
  <c r="AH86" i="3" l="1"/>
  <c r="AG86" i="3"/>
  <c r="U85" i="3"/>
  <c r="E86" i="3" s="1"/>
  <c r="H86" i="3" s="1"/>
  <c r="Y84" i="3"/>
  <c r="D86" i="3" l="1"/>
  <c r="F86" i="3" s="1"/>
  <c r="K86" i="3"/>
  <c r="G86" i="3" l="1"/>
  <c r="M86" i="3" s="1"/>
  <c r="N86" i="3" s="1"/>
  <c r="V86" i="3"/>
  <c r="AE86" i="3"/>
  <c r="I86" i="3" l="1"/>
  <c r="W86" i="3" s="1"/>
  <c r="J86" i="3"/>
  <c r="L86" i="3" s="1"/>
  <c r="U86" i="3" l="1"/>
  <c r="E87" i="3" s="1"/>
  <c r="H87" i="3" s="1"/>
  <c r="AH87" i="3"/>
  <c r="AG87" i="3"/>
  <c r="Y85" i="3"/>
  <c r="D87" i="3" l="1"/>
  <c r="G87" i="3" s="1"/>
  <c r="K87" i="3"/>
  <c r="F87" i="3" l="1"/>
  <c r="V87" i="3"/>
  <c r="AE87" i="3"/>
  <c r="I87" i="3"/>
  <c r="J87" i="3"/>
  <c r="M87" i="3"/>
  <c r="N87" i="3" s="1"/>
  <c r="L87" i="3" l="1"/>
  <c r="W87" i="3"/>
  <c r="U87" i="3" l="1"/>
  <c r="E88" i="3" s="1"/>
  <c r="H88" i="3" s="1"/>
  <c r="AG88" i="3"/>
  <c r="AH88" i="3"/>
  <c r="Y86" i="3"/>
  <c r="D88" i="3" l="1"/>
  <c r="G88" i="3" s="1"/>
  <c r="K88" i="3"/>
  <c r="F88" i="3" l="1"/>
  <c r="I88" i="3"/>
  <c r="J88" i="3"/>
  <c r="M88" i="3"/>
  <c r="N88" i="3" s="1"/>
  <c r="V88" i="3"/>
  <c r="AE88" i="3"/>
  <c r="W88" i="3" l="1"/>
  <c r="L88" i="3"/>
  <c r="AH89" i="3" l="1"/>
  <c r="U88" i="3"/>
  <c r="E89" i="3" s="1"/>
  <c r="H89" i="3" s="1"/>
  <c r="AG89" i="3"/>
  <c r="Y87" i="3"/>
  <c r="K89" i="3" l="1"/>
  <c r="D89" i="3"/>
  <c r="V89" i="3" l="1"/>
  <c r="AE89" i="3"/>
  <c r="F89" i="3"/>
  <c r="G89" i="3"/>
  <c r="I89" i="3" l="1"/>
  <c r="W89" i="3" s="1"/>
  <c r="J89" i="3"/>
  <c r="M89" i="3"/>
  <c r="N89" i="3" s="1"/>
  <c r="L89" i="3" l="1"/>
  <c r="U89" i="3" l="1"/>
  <c r="D90" i="3" s="1"/>
  <c r="AH90" i="3"/>
  <c r="AG90" i="3"/>
  <c r="Y88" i="3"/>
  <c r="G90" i="3" l="1"/>
  <c r="E90" i="3"/>
  <c r="H90" i="3" s="1"/>
  <c r="F90" i="3" l="1"/>
  <c r="I90" i="3"/>
  <c r="J90" i="3"/>
  <c r="M90" i="3"/>
  <c r="N90" i="3" s="1"/>
  <c r="K90" i="3"/>
  <c r="V90" i="3" l="1"/>
  <c r="W90" i="3" s="1"/>
  <c r="AE90" i="3"/>
  <c r="L90" i="3"/>
  <c r="AG91" i="3" l="1"/>
  <c r="AH91" i="3"/>
  <c r="U90" i="3"/>
  <c r="D91" i="3" s="1"/>
  <c r="Y89" i="3"/>
  <c r="G91" i="3" l="1"/>
  <c r="E91" i="3"/>
  <c r="H91" i="3" s="1"/>
  <c r="F91" i="3" l="1"/>
  <c r="I91" i="3"/>
  <c r="J91" i="3"/>
  <c r="M91" i="3"/>
  <c r="N91" i="3" s="1"/>
  <c r="K91" i="3"/>
  <c r="V91" i="3" l="1"/>
  <c r="W91" i="3" s="1"/>
  <c r="AE91" i="3"/>
  <c r="L91" i="3"/>
  <c r="AH92" i="3" l="1"/>
  <c r="AG92" i="3"/>
  <c r="U91" i="3"/>
  <c r="D92" i="3" s="1"/>
  <c r="Y90" i="3"/>
  <c r="G92" i="3" l="1"/>
  <c r="E92" i="3"/>
  <c r="H92" i="3" s="1"/>
  <c r="F92" i="3" l="1"/>
  <c r="I92" i="3"/>
  <c r="J92" i="3"/>
  <c r="M92" i="3"/>
  <c r="N92" i="3" s="1"/>
  <c r="K92" i="3"/>
  <c r="V92" i="3" l="1"/>
  <c r="W92" i="3" s="1"/>
  <c r="AE92" i="3"/>
  <c r="L92" i="3"/>
  <c r="U92" i="3" l="1"/>
  <c r="D93" i="3" s="1"/>
  <c r="AH93" i="3"/>
  <c r="AG93" i="3"/>
  <c r="Y91" i="3"/>
  <c r="E93" i="3" l="1"/>
  <c r="H93" i="3" s="1"/>
  <c r="K93" i="3" s="1"/>
  <c r="G93" i="3"/>
  <c r="F93" i="3" l="1"/>
  <c r="I93" i="3"/>
  <c r="J93" i="3"/>
  <c r="M93" i="3"/>
  <c r="N93" i="3" s="1"/>
  <c r="V93" i="3"/>
  <c r="AE93" i="3"/>
  <c r="W93" i="3" l="1"/>
  <c r="L93" i="3"/>
  <c r="AG94" i="3" l="1"/>
  <c r="AH94" i="3"/>
  <c r="U93" i="3"/>
  <c r="D94" i="3" s="1"/>
  <c r="Y92" i="3"/>
  <c r="E94" i="3" l="1"/>
  <c r="H94" i="3" s="1"/>
  <c r="K94" i="3" s="1"/>
  <c r="G94" i="3"/>
  <c r="F94" i="3" l="1"/>
  <c r="I94" i="3"/>
  <c r="J94" i="3"/>
  <c r="M94" i="3"/>
  <c r="N94" i="3" s="1"/>
  <c r="V94" i="3"/>
  <c r="AE94" i="3"/>
  <c r="L94" i="3" l="1"/>
  <c r="W94" i="3"/>
  <c r="U94" i="3" l="1"/>
  <c r="D95" i="3" s="1"/>
  <c r="AG95" i="3"/>
  <c r="AH95" i="3"/>
  <c r="Y93" i="3"/>
  <c r="E95" i="3" l="1"/>
  <c r="H95" i="3" s="1"/>
  <c r="K95" i="3" s="1"/>
  <c r="G95" i="3"/>
  <c r="F95" i="3" l="1"/>
  <c r="I95" i="3"/>
  <c r="J95" i="3"/>
  <c r="M95" i="3"/>
  <c r="N95" i="3" s="1"/>
  <c r="V95" i="3"/>
  <c r="AE95" i="3"/>
  <c r="W95" i="3" l="1"/>
  <c r="L95" i="3"/>
  <c r="AG96" i="3" l="1"/>
  <c r="AH96" i="3"/>
  <c r="U95" i="3"/>
  <c r="D96" i="3" s="1"/>
  <c r="Y94" i="3"/>
  <c r="G96" i="3" l="1"/>
  <c r="E96" i="3"/>
  <c r="H96" i="3" s="1"/>
  <c r="F96" i="3" l="1"/>
  <c r="I96" i="3"/>
  <c r="J96" i="3"/>
  <c r="M96" i="3"/>
  <c r="N96" i="3" s="1"/>
  <c r="K96" i="3"/>
  <c r="L96" i="3" l="1"/>
  <c r="V96" i="3"/>
  <c r="W96" i="3" s="1"/>
  <c r="AE96" i="3"/>
  <c r="AG97" i="3" l="1"/>
  <c r="AH97" i="3"/>
  <c r="U96" i="3"/>
  <c r="E97" i="3" s="1"/>
  <c r="H97" i="3" s="1"/>
  <c r="Y95" i="3"/>
  <c r="K97" i="3" l="1"/>
  <c r="D97" i="3"/>
  <c r="V97" i="3" l="1"/>
  <c r="AE97" i="3"/>
  <c r="F97" i="3"/>
  <c r="G97" i="3"/>
  <c r="I97" i="3" l="1"/>
  <c r="W97" i="3" s="1"/>
  <c r="J97" i="3"/>
  <c r="M97" i="3"/>
  <c r="N97" i="3" s="1"/>
  <c r="L97" i="3" l="1"/>
  <c r="U97" i="3" l="1"/>
  <c r="D98" i="3" s="1"/>
  <c r="AH98" i="3"/>
  <c r="AG98" i="3"/>
  <c r="Y96" i="3"/>
  <c r="G98" i="3" l="1"/>
  <c r="E98" i="3"/>
  <c r="H98" i="3" s="1"/>
  <c r="I98" i="3" l="1"/>
  <c r="J98" i="3"/>
  <c r="M98" i="3"/>
  <c r="N98" i="3" s="1"/>
  <c r="F98" i="3"/>
  <c r="K98" i="3"/>
  <c r="L98" i="3" l="1"/>
  <c r="V98" i="3"/>
  <c r="W98" i="3" s="1"/>
  <c r="AE98" i="3"/>
  <c r="AG99" i="3" l="1"/>
  <c r="AH99" i="3"/>
  <c r="U98" i="3"/>
  <c r="D99" i="3" s="1"/>
  <c r="Y97" i="3"/>
  <c r="G99" i="3" l="1"/>
  <c r="E99" i="3"/>
  <c r="H99" i="3" s="1"/>
  <c r="F99" i="3" l="1"/>
  <c r="I99" i="3"/>
  <c r="J99" i="3"/>
  <c r="M99" i="3"/>
  <c r="N99" i="3" s="1"/>
  <c r="K99" i="3"/>
  <c r="V99" i="3" l="1"/>
  <c r="W99" i="3" s="1"/>
  <c r="AE99" i="3"/>
  <c r="L99" i="3"/>
  <c r="U99" i="3" l="1"/>
  <c r="D100" i="3" s="1"/>
  <c r="AH100" i="3"/>
  <c r="AG100" i="3"/>
  <c r="Y98" i="3"/>
  <c r="E100" i="3" l="1"/>
  <c r="H100" i="3" s="1"/>
  <c r="K100" i="3" s="1"/>
  <c r="G100" i="3"/>
  <c r="F100" i="3" l="1"/>
  <c r="V100" i="3"/>
  <c r="AE100" i="3"/>
  <c r="I100" i="3"/>
  <c r="J100" i="3"/>
  <c r="M100" i="3"/>
  <c r="N100" i="3" s="1"/>
  <c r="W100" i="3" l="1"/>
  <c r="L100" i="3"/>
  <c r="AH101" i="3" l="1"/>
  <c r="U100" i="3"/>
  <c r="E101" i="3" s="1"/>
  <c r="H101" i="3" s="1"/>
  <c r="AG101" i="3"/>
  <c r="Y99" i="3"/>
  <c r="K101" i="3" l="1"/>
  <c r="D101" i="3"/>
  <c r="V101" i="3" l="1"/>
  <c r="AE101" i="3"/>
  <c r="F101" i="3"/>
  <c r="G101" i="3"/>
  <c r="I101" i="3" l="1"/>
  <c r="W101" i="3" s="1"/>
  <c r="J101" i="3"/>
  <c r="M101" i="3"/>
  <c r="N101" i="3" s="1"/>
  <c r="L101" i="3" l="1"/>
  <c r="AH102" i="3" l="1"/>
  <c r="AG102" i="3"/>
  <c r="U101" i="3"/>
  <c r="E102" i="3" s="1"/>
  <c r="H102" i="3" s="1"/>
  <c r="Y100" i="3"/>
  <c r="K102" i="3" l="1"/>
  <c r="D102" i="3"/>
  <c r="V102" i="3" l="1"/>
  <c r="AE102" i="3"/>
  <c r="F102" i="3"/>
  <c r="G102" i="3"/>
  <c r="I102" i="3" l="1"/>
  <c r="W102" i="3" s="1"/>
  <c r="J102" i="3"/>
  <c r="M102" i="3"/>
  <c r="N102" i="3" s="1"/>
  <c r="L102" i="3" l="1"/>
  <c r="AG103" i="3" l="1"/>
  <c r="AH103" i="3"/>
  <c r="U102" i="3"/>
  <c r="E103" i="3" s="1"/>
  <c r="H103" i="3" s="1"/>
  <c r="Y101" i="3"/>
  <c r="K103" i="3" l="1"/>
  <c r="D103" i="3"/>
  <c r="V103" i="3" l="1"/>
  <c r="AE103" i="3"/>
  <c r="F103" i="3"/>
  <c r="G103" i="3"/>
  <c r="I103" i="3" l="1"/>
  <c r="W103" i="3" s="1"/>
  <c r="J103" i="3"/>
  <c r="M103" i="3"/>
  <c r="N103" i="3" s="1"/>
  <c r="L103" i="3" l="1"/>
  <c r="AG104" i="3" l="1"/>
  <c r="AH104" i="3"/>
  <c r="U103" i="3"/>
  <c r="E104" i="3" s="1"/>
  <c r="H104" i="3" s="1"/>
  <c r="Y102" i="3"/>
  <c r="K104" i="3" l="1"/>
  <c r="A105" i="3" s="1"/>
  <c r="B105" i="3" s="1"/>
  <c r="D104" i="3"/>
  <c r="AA105" i="3" l="1"/>
  <c r="P105" i="3"/>
  <c r="Q105" i="3" s="1"/>
  <c r="R105" i="3" s="1"/>
  <c r="S105" i="3" s="1"/>
  <c r="AD105" i="3"/>
  <c r="Z105" i="3"/>
  <c r="AC105" i="3"/>
  <c r="V104" i="3"/>
  <c r="AE104" i="3"/>
  <c r="F104" i="3"/>
  <c r="G104" i="3"/>
  <c r="T105" i="3" l="1"/>
  <c r="I104" i="3"/>
  <c r="W104" i="3" s="1"/>
  <c r="J104" i="3"/>
  <c r="M104" i="3"/>
  <c r="N104" i="3" s="1"/>
  <c r="L104" i="3" l="1"/>
  <c r="AD104" i="3"/>
  <c r="U104" i="3" l="1"/>
  <c r="E105" i="3" s="1"/>
  <c r="H105" i="3" s="1"/>
  <c r="AG105" i="3"/>
  <c r="AH105" i="3"/>
  <c r="Y103" i="3"/>
  <c r="D105" i="3" l="1"/>
  <c r="G105" i="3" s="1"/>
  <c r="K105" i="3"/>
  <c r="A106" i="3" s="1"/>
  <c r="B106" i="3" s="1"/>
  <c r="Z106" i="3" l="1"/>
  <c r="AC106" i="3"/>
  <c r="AA106" i="3"/>
  <c r="AD106" i="3"/>
  <c r="P106" i="3"/>
  <c r="Q106" i="3" s="1"/>
  <c r="R106" i="3" s="1"/>
  <c r="S106" i="3" s="1"/>
  <c r="F105" i="3"/>
  <c r="V105" i="3"/>
  <c r="AE105" i="3"/>
  <c r="I105" i="3"/>
  <c r="J105" i="3"/>
  <c r="M105" i="3"/>
  <c r="N105" i="3" s="1"/>
  <c r="T106" i="3" l="1"/>
  <c r="W105" i="3"/>
  <c r="L105" i="3"/>
  <c r="AH106" i="3" l="1"/>
  <c r="AG106" i="3"/>
  <c r="U105" i="3"/>
  <c r="D106" i="3" s="1"/>
  <c r="Y104" i="3"/>
  <c r="E106" i="3" l="1"/>
  <c r="H106" i="3" s="1"/>
  <c r="K106" i="3" s="1"/>
  <c r="A107" i="3" s="1"/>
  <c r="B107" i="3" s="1"/>
  <c r="G106" i="3"/>
  <c r="Z107" i="3" l="1"/>
  <c r="AA107" i="3"/>
  <c r="AC107" i="3"/>
  <c r="P107" i="3"/>
  <c r="Q107" i="3" s="1"/>
  <c r="R107" i="3" s="1"/>
  <c r="S107" i="3" s="1"/>
  <c r="AD107" i="3"/>
  <c r="F106" i="3"/>
  <c r="V106" i="3"/>
  <c r="AE106" i="3"/>
  <c r="I106" i="3"/>
  <c r="J106" i="3"/>
  <c r="M106" i="3"/>
  <c r="N106" i="3" s="1"/>
  <c r="T107" i="3" l="1"/>
  <c r="W106" i="3"/>
  <c r="L106" i="3"/>
  <c r="AG107" i="3" l="1"/>
  <c r="AH107" i="3"/>
  <c r="U106" i="3"/>
  <c r="E107" i="3" s="1"/>
  <c r="H107" i="3" s="1"/>
  <c r="Y105" i="3"/>
  <c r="K107" i="3" l="1"/>
  <c r="A108" i="3" s="1"/>
  <c r="B108" i="3" s="1"/>
  <c r="D107" i="3"/>
  <c r="AA108" i="3" l="1"/>
  <c r="AC108" i="3"/>
  <c r="AD108" i="3"/>
  <c r="Z108" i="3"/>
  <c r="P108" i="3"/>
  <c r="Q108" i="3" s="1"/>
  <c r="R108" i="3" s="1"/>
  <c r="S108" i="3" s="1"/>
  <c r="V107" i="3"/>
  <c r="AE107" i="3"/>
  <c r="F107" i="3"/>
  <c r="G107" i="3"/>
  <c r="T108" i="3" l="1"/>
  <c r="I107" i="3"/>
  <c r="W107" i="3" s="1"/>
  <c r="J107" i="3"/>
  <c r="M107" i="3"/>
  <c r="N107" i="3" s="1"/>
  <c r="L107" i="3" l="1"/>
  <c r="AH108" i="3" l="1"/>
  <c r="U107" i="3"/>
  <c r="E108" i="3" s="1"/>
  <c r="H108" i="3" s="1"/>
  <c r="AG108" i="3"/>
  <c r="Y106" i="3"/>
  <c r="D108" i="3" l="1"/>
  <c r="G108" i="3" s="1"/>
  <c r="K108" i="3"/>
  <c r="A109" i="3" s="1"/>
  <c r="B109" i="3" s="1"/>
  <c r="P109" i="3" l="1"/>
  <c r="Q109" i="3" s="1"/>
  <c r="R109" i="3" s="1"/>
  <c r="S109" i="3" s="1"/>
  <c r="AA109" i="3"/>
  <c r="Z109" i="3"/>
  <c r="AD109" i="3"/>
  <c r="AC109" i="3"/>
  <c r="F108" i="3"/>
  <c r="I108" i="3"/>
  <c r="J108" i="3"/>
  <c r="M108" i="3"/>
  <c r="N108" i="3" s="1"/>
  <c r="V108" i="3"/>
  <c r="AE108" i="3"/>
  <c r="T109" i="3" l="1"/>
  <c r="W108" i="3"/>
  <c r="L108" i="3"/>
  <c r="AG109" i="3" l="1"/>
  <c r="U108" i="3"/>
  <c r="D109" i="3" s="1"/>
  <c r="AH109" i="3"/>
  <c r="Y107" i="3"/>
  <c r="E109" i="3" l="1"/>
  <c r="H109" i="3" s="1"/>
  <c r="K109" i="3" s="1"/>
  <c r="A110" i="3" s="1"/>
  <c r="B110" i="3" s="1"/>
  <c r="G109" i="3"/>
  <c r="AD110" i="3" l="1"/>
  <c r="P110" i="3"/>
  <c r="Q110" i="3" s="1"/>
  <c r="R110" i="3" s="1"/>
  <c r="S110" i="3" s="1"/>
  <c r="AA110" i="3"/>
  <c r="Z110" i="3"/>
  <c r="AC110" i="3"/>
  <c r="F109" i="3"/>
  <c r="V109" i="3"/>
  <c r="AE109" i="3"/>
  <c r="I109" i="3"/>
  <c r="J109" i="3"/>
  <c r="M109" i="3"/>
  <c r="N109" i="3" s="1"/>
  <c r="T110" i="3" l="1"/>
  <c r="L109" i="3"/>
  <c r="W109" i="3"/>
  <c r="AH110" i="3" l="1"/>
  <c r="AG110" i="3"/>
  <c r="U109" i="3"/>
  <c r="D110" i="3" s="1"/>
  <c r="Y108" i="3"/>
  <c r="E110" i="3" l="1"/>
  <c r="H110" i="3" s="1"/>
  <c r="K110" i="3" s="1"/>
  <c r="A111" i="3" s="1"/>
  <c r="B111" i="3" s="1"/>
  <c r="G110" i="3"/>
  <c r="AA111" i="3" l="1"/>
  <c r="AC111" i="3"/>
  <c r="P111" i="3"/>
  <c r="Q111" i="3" s="1"/>
  <c r="R111" i="3" s="1"/>
  <c r="S111" i="3" s="1"/>
  <c r="Z111" i="3"/>
  <c r="AD111" i="3"/>
  <c r="F110" i="3"/>
  <c r="I110" i="3"/>
  <c r="J110" i="3"/>
  <c r="M110" i="3"/>
  <c r="N110" i="3" s="1"/>
  <c r="V110" i="3"/>
  <c r="AE110" i="3"/>
  <c r="T111" i="3" l="1"/>
  <c r="W110" i="3"/>
  <c r="L110" i="3"/>
  <c r="AH111" i="3" l="1"/>
  <c r="U110" i="3"/>
  <c r="E111" i="3" s="1"/>
  <c r="H111" i="3" s="1"/>
  <c r="AG111" i="3"/>
  <c r="Y109" i="3"/>
  <c r="D111" i="3" l="1"/>
  <c r="G111" i="3" s="1"/>
  <c r="K111" i="3"/>
  <c r="A112" i="3" s="1"/>
  <c r="B112" i="3" s="1"/>
  <c r="AA112" i="3" l="1"/>
  <c r="AC112" i="3"/>
  <c r="P112" i="3"/>
  <c r="Q112" i="3" s="1"/>
  <c r="R112" i="3" s="1"/>
  <c r="S112" i="3" s="1"/>
  <c r="Z112" i="3"/>
  <c r="F111" i="3"/>
  <c r="I111" i="3"/>
  <c r="J111" i="3"/>
  <c r="M111" i="3"/>
  <c r="N111" i="3" s="1"/>
  <c r="V111" i="3"/>
  <c r="AE111" i="3"/>
  <c r="T112" i="3" l="1"/>
  <c r="W111" i="3"/>
  <c r="L111" i="3"/>
  <c r="AH112" i="3" l="1"/>
  <c r="U111" i="3"/>
  <c r="D112" i="3" s="1"/>
  <c r="AG112" i="3"/>
  <c r="Y110" i="3"/>
  <c r="E112" i="3" l="1"/>
  <c r="H112" i="3" s="1"/>
  <c r="K112" i="3" s="1"/>
  <c r="A113" i="3" s="1"/>
  <c r="B113" i="3" s="1"/>
  <c r="G112" i="3"/>
  <c r="AC113" i="3" l="1"/>
  <c r="AA113" i="3"/>
  <c r="Z113" i="3"/>
  <c r="P113" i="3"/>
  <c r="Q113" i="3" s="1"/>
  <c r="R113" i="3" s="1"/>
  <c r="S113" i="3" s="1"/>
  <c r="AD113" i="3"/>
  <c r="F112" i="3"/>
  <c r="V112" i="3"/>
  <c r="AE112" i="3"/>
  <c r="I112" i="3"/>
  <c r="J112" i="3"/>
  <c r="AD112" i="3" s="1"/>
  <c r="M112" i="3"/>
  <c r="N112" i="3" s="1"/>
  <c r="T113" i="3" l="1"/>
  <c r="W112" i="3"/>
  <c r="L112" i="3"/>
  <c r="AG113" i="3" l="1"/>
  <c r="U112" i="3"/>
  <c r="E113" i="3" s="1"/>
  <c r="H113" i="3" s="1"/>
  <c r="AH113" i="3"/>
  <c r="Y111" i="3"/>
  <c r="D113" i="3" l="1"/>
  <c r="G113" i="3" s="1"/>
  <c r="K113" i="3"/>
  <c r="A114" i="3" s="1"/>
  <c r="B114" i="3" s="1"/>
  <c r="Z114" i="3" l="1"/>
  <c r="AC114" i="3"/>
  <c r="AA114" i="3"/>
  <c r="P114" i="3"/>
  <c r="Q114" i="3" s="1"/>
  <c r="R114" i="3" s="1"/>
  <c r="S114" i="3" s="1"/>
  <c r="F113" i="3"/>
  <c r="V113" i="3"/>
  <c r="AE113" i="3"/>
  <c r="I113" i="3"/>
  <c r="J113" i="3"/>
  <c r="M113" i="3"/>
  <c r="N113" i="3" s="1"/>
  <c r="T114" i="3" l="1"/>
  <c r="W113" i="3"/>
  <c r="L113" i="3"/>
  <c r="AH114" i="3" l="1"/>
  <c r="U113" i="3"/>
  <c r="D114" i="3" s="1"/>
  <c r="AG114" i="3"/>
  <c r="Y112" i="3"/>
  <c r="E114" i="3" l="1"/>
  <c r="H114" i="3" s="1"/>
  <c r="K114" i="3" s="1"/>
  <c r="A115" i="3" s="1"/>
  <c r="B115" i="3" s="1"/>
  <c r="G114" i="3"/>
  <c r="AA115" i="3" l="1"/>
  <c r="AD115" i="3"/>
  <c r="P115" i="3"/>
  <c r="Q115" i="3" s="1"/>
  <c r="R115" i="3" s="1"/>
  <c r="S115" i="3" s="1"/>
  <c r="Z115" i="3"/>
  <c r="AC115" i="3"/>
  <c r="F114" i="3"/>
  <c r="I114" i="3"/>
  <c r="J114" i="3"/>
  <c r="AD114" i="3" s="1"/>
  <c r="M114" i="3"/>
  <c r="N114" i="3" s="1"/>
  <c r="V114" i="3"/>
  <c r="AE114" i="3"/>
  <c r="T115" i="3" l="1"/>
  <c r="W114" i="3"/>
  <c r="L114" i="3"/>
  <c r="U114" i="3" l="1"/>
  <c r="D115" i="3" s="1"/>
  <c r="AH115" i="3"/>
  <c r="AG115" i="3"/>
  <c r="Y113" i="3"/>
  <c r="G115" i="3" l="1"/>
  <c r="E115" i="3"/>
  <c r="H115" i="3" s="1"/>
  <c r="F115" i="3" l="1"/>
  <c r="I115" i="3"/>
  <c r="J115" i="3"/>
  <c r="M115" i="3"/>
  <c r="N115" i="3" s="1"/>
  <c r="K115" i="3"/>
  <c r="A116" i="3" s="1"/>
  <c r="B116" i="3" s="1"/>
  <c r="AD116" i="3" l="1"/>
  <c r="AA116" i="3"/>
  <c r="AC116" i="3"/>
  <c r="Z116" i="3"/>
  <c r="P116" i="3"/>
  <c r="Q116" i="3" s="1"/>
  <c r="R116" i="3" s="1"/>
  <c r="S116" i="3" s="1"/>
  <c r="V115" i="3"/>
  <c r="W115" i="3" s="1"/>
  <c r="AE115" i="3"/>
  <c r="L115" i="3"/>
  <c r="T116" i="3" l="1"/>
  <c r="AH116" i="3" s="1"/>
  <c r="U115" i="3"/>
  <c r="Y114" i="3"/>
  <c r="AG116" i="3" l="1"/>
  <c r="E116" i="3"/>
  <c r="H116" i="3" s="1"/>
  <c r="K116" i="3" s="1"/>
  <c r="A117" i="3" s="1"/>
  <c r="B117" i="3" s="1"/>
  <c r="D116" i="3"/>
  <c r="P117" i="3" l="1"/>
  <c r="Q117" i="3" s="1"/>
  <c r="R117" i="3" s="1"/>
  <c r="S117" i="3" s="1"/>
  <c r="AC117" i="3"/>
  <c r="AD117" i="3"/>
  <c r="AA117" i="3"/>
  <c r="Z117" i="3"/>
  <c r="V116" i="3"/>
  <c r="AE116" i="3"/>
  <c r="F116" i="3"/>
  <c r="G116" i="3"/>
  <c r="T117" i="3" l="1"/>
  <c r="I116" i="3"/>
  <c r="W116" i="3" s="1"/>
  <c r="J116" i="3"/>
  <c r="M116" i="3"/>
  <c r="N116" i="3" s="1"/>
  <c r="L116" i="3" l="1"/>
  <c r="U116" i="3" l="1"/>
  <c r="D117" i="3" s="1"/>
  <c r="AH117" i="3"/>
  <c r="AG117" i="3"/>
  <c r="Y115" i="3"/>
  <c r="E117" i="3" l="1"/>
  <c r="H117" i="3" s="1"/>
  <c r="K117" i="3" s="1"/>
  <c r="A118" i="3" s="1"/>
  <c r="B118" i="3" s="1"/>
  <c r="G117" i="3"/>
  <c r="P118" i="3" l="1"/>
  <c r="Q118" i="3" s="1"/>
  <c r="R118" i="3" s="1"/>
  <c r="S118" i="3" s="1"/>
  <c r="Z118" i="3"/>
  <c r="AA118" i="3"/>
  <c r="AC118" i="3"/>
  <c r="AD118" i="3"/>
  <c r="F117" i="3"/>
  <c r="I117" i="3"/>
  <c r="J117" i="3"/>
  <c r="M117" i="3"/>
  <c r="N117" i="3" s="1"/>
  <c r="V117" i="3"/>
  <c r="AE117" i="3"/>
  <c r="T118" i="3" l="1"/>
  <c r="W117" i="3"/>
  <c r="L117" i="3"/>
  <c r="AG118" i="3" l="1"/>
  <c r="U117" i="3"/>
  <c r="D118" i="3" s="1"/>
  <c r="AH118" i="3"/>
  <c r="Y116" i="3"/>
  <c r="E118" i="3" l="1"/>
  <c r="H118" i="3" s="1"/>
  <c r="K118" i="3" s="1"/>
  <c r="A119" i="3" s="1"/>
  <c r="B119" i="3" s="1"/>
  <c r="G118" i="3"/>
  <c r="AD119" i="3" l="1"/>
  <c r="Z119" i="3"/>
  <c r="AA119" i="3"/>
  <c r="P119" i="3"/>
  <c r="Q119" i="3" s="1"/>
  <c r="R119" i="3" s="1"/>
  <c r="S119" i="3" s="1"/>
  <c r="AC119" i="3"/>
  <c r="F118" i="3"/>
  <c r="I118" i="3"/>
  <c r="J118" i="3"/>
  <c r="M118" i="3"/>
  <c r="N118" i="3" s="1"/>
  <c r="V118" i="3"/>
  <c r="AE118" i="3"/>
  <c r="T119" i="3" l="1"/>
  <c r="L118" i="3"/>
  <c r="W118" i="3"/>
  <c r="U118" i="3" l="1"/>
  <c r="E119" i="3" s="1"/>
  <c r="H119" i="3" s="1"/>
  <c r="AG119" i="3"/>
  <c r="AH119" i="3"/>
  <c r="Y117" i="3"/>
  <c r="D119" i="3" l="1"/>
  <c r="F119" i="3" s="1"/>
  <c r="K119" i="3"/>
  <c r="A120" i="3" s="1"/>
  <c r="B120" i="3" s="1"/>
  <c r="P120" i="3" l="1"/>
  <c r="Q120" i="3" s="1"/>
  <c r="R120" i="3" s="1"/>
  <c r="S120" i="3" s="1"/>
  <c r="Z120" i="3"/>
  <c r="AA120" i="3"/>
  <c r="AC120" i="3"/>
  <c r="AD120" i="3"/>
  <c r="G119" i="3"/>
  <c r="M119" i="3" s="1"/>
  <c r="N119" i="3" s="1"/>
  <c r="V119" i="3"/>
  <c r="AE119" i="3"/>
  <c r="T120" i="3" l="1"/>
  <c r="I119" i="3"/>
  <c r="W119" i="3" s="1"/>
  <c r="J119" i="3"/>
  <c r="L119" i="3" s="1"/>
  <c r="AH120" i="3" l="1"/>
  <c r="U119" i="3"/>
  <c r="D120" i="3" s="1"/>
  <c r="AG120" i="3"/>
  <c r="Y118" i="3"/>
  <c r="E120" i="3" l="1"/>
  <c r="H120" i="3" s="1"/>
  <c r="K120" i="3" s="1"/>
  <c r="A121" i="3" s="1"/>
  <c r="B121" i="3" s="1"/>
  <c r="G120" i="3"/>
  <c r="P121" i="3" l="1"/>
  <c r="Q121" i="3" s="1"/>
  <c r="R121" i="3" s="1"/>
  <c r="S121" i="3" s="1"/>
  <c r="AC121" i="3"/>
  <c r="AA121" i="3"/>
  <c r="Z121" i="3"/>
  <c r="AD121" i="3"/>
  <c r="F120" i="3"/>
  <c r="I120" i="3"/>
  <c r="J120" i="3"/>
  <c r="M120" i="3"/>
  <c r="N120" i="3" s="1"/>
  <c r="V120" i="3"/>
  <c r="AE120" i="3"/>
  <c r="T121" i="3" l="1"/>
  <c r="W120" i="3"/>
  <c r="L120" i="3"/>
  <c r="U120" i="3" l="1"/>
  <c r="E121" i="3" s="1"/>
  <c r="H121" i="3" s="1"/>
  <c r="AH121" i="3"/>
  <c r="AG121" i="3"/>
  <c r="Y119" i="3"/>
  <c r="D121" i="3" l="1"/>
  <c r="G121" i="3" s="1"/>
  <c r="K121" i="3"/>
  <c r="A122" i="3" s="1"/>
  <c r="B122" i="3" s="1"/>
  <c r="AA122" i="3" l="1"/>
  <c r="Z122" i="3"/>
  <c r="P122" i="3"/>
  <c r="Q122" i="3" s="1"/>
  <c r="R122" i="3" s="1"/>
  <c r="S122" i="3" s="1"/>
  <c r="AC122" i="3"/>
  <c r="F121" i="3"/>
  <c r="I121" i="3"/>
  <c r="J121" i="3"/>
  <c r="M121" i="3"/>
  <c r="N121" i="3" s="1"/>
  <c r="V121" i="3"/>
  <c r="AE121" i="3"/>
  <c r="T122" i="3" l="1"/>
  <c r="L121" i="3"/>
  <c r="W121" i="3"/>
  <c r="U121" i="3" l="1"/>
  <c r="D122" i="3" s="1"/>
  <c r="AG122" i="3"/>
  <c r="AH122" i="3"/>
  <c r="Y120" i="3"/>
  <c r="G122" i="3" l="1"/>
  <c r="E122" i="3"/>
  <c r="H122" i="3" s="1"/>
  <c r="F122" i="3" l="1"/>
  <c r="K122" i="3"/>
  <c r="A123" i="3" s="1"/>
  <c r="B123" i="3" s="1"/>
  <c r="I122" i="3"/>
  <c r="J122" i="3"/>
  <c r="AD122" i="3" s="1"/>
  <c r="M122" i="3"/>
  <c r="N122" i="3" s="1"/>
  <c r="P123" i="3" l="1"/>
  <c r="Q123" i="3" s="1"/>
  <c r="R123" i="3" s="1"/>
  <c r="S123" i="3" s="1"/>
  <c r="Z123" i="3"/>
  <c r="AC123" i="3"/>
  <c r="AD123" i="3"/>
  <c r="AA123" i="3"/>
  <c r="L122" i="3"/>
  <c r="V122" i="3"/>
  <c r="W122" i="3" s="1"/>
  <c r="AE122" i="3"/>
  <c r="T123" i="3" l="1"/>
  <c r="AG123" i="3" s="1"/>
  <c r="U122" i="3"/>
  <c r="Y121" i="3"/>
  <c r="AH123" i="3" l="1"/>
  <c r="D123" i="3"/>
  <c r="G123" i="3" s="1"/>
  <c r="E123" i="3"/>
  <c r="H123" i="3" s="1"/>
  <c r="I123" i="3" l="1"/>
  <c r="J123" i="3"/>
  <c r="M123" i="3"/>
  <c r="N123" i="3" s="1"/>
  <c r="K123" i="3"/>
  <c r="A124" i="3" s="1"/>
  <c r="B124" i="3" s="1"/>
  <c r="F123" i="3"/>
  <c r="AC124" i="3" l="1"/>
  <c r="AA124" i="3"/>
  <c r="Z124" i="3"/>
  <c r="P124" i="3"/>
  <c r="Q124" i="3" s="1"/>
  <c r="R124" i="3" s="1"/>
  <c r="S124" i="3" s="1"/>
  <c r="V123" i="3"/>
  <c r="W123" i="3" s="1"/>
  <c r="AE123" i="3"/>
  <c r="L123" i="3"/>
  <c r="T124" i="3" l="1"/>
  <c r="AG124" i="3" s="1"/>
  <c r="U123" i="3"/>
  <c r="Y122" i="3"/>
  <c r="AH124" i="3" l="1"/>
  <c r="D124" i="3"/>
  <c r="G124" i="3" s="1"/>
  <c r="E124" i="3"/>
  <c r="H124" i="3" s="1"/>
  <c r="K124" i="3" s="1"/>
  <c r="A125" i="3" s="1"/>
  <c r="B125" i="3" s="1"/>
  <c r="Z125" i="3" l="1"/>
  <c r="AD125" i="3"/>
  <c r="AC125" i="3"/>
  <c r="AA125" i="3"/>
  <c r="P125" i="3"/>
  <c r="Q125" i="3" s="1"/>
  <c r="R125" i="3" s="1"/>
  <c r="S125" i="3" s="1"/>
  <c r="F124" i="3"/>
  <c r="I124" i="3"/>
  <c r="J124" i="3"/>
  <c r="AD124" i="3" s="1"/>
  <c r="M124" i="3"/>
  <c r="N124" i="3" s="1"/>
  <c r="V124" i="3"/>
  <c r="AE124" i="3"/>
  <c r="T125" i="3" l="1"/>
  <c r="W124" i="3"/>
  <c r="L124" i="3"/>
  <c r="U124" i="3" l="1"/>
  <c r="E125" i="3" s="1"/>
  <c r="H125" i="3" s="1"/>
  <c r="AH125" i="3"/>
  <c r="AG125" i="3"/>
  <c r="Y123" i="3"/>
  <c r="K125" i="3" l="1"/>
  <c r="A126" i="3" s="1"/>
  <c r="B126" i="3" s="1"/>
  <c r="D125" i="3"/>
  <c r="AA126" i="3" l="1"/>
  <c r="P126" i="3"/>
  <c r="Q126" i="3" s="1"/>
  <c r="R126" i="3" s="1"/>
  <c r="S126" i="3" s="1"/>
  <c r="Z126" i="3"/>
  <c r="AD126" i="3"/>
  <c r="AC126" i="3"/>
  <c r="V125" i="3"/>
  <c r="AE125" i="3"/>
  <c r="F125" i="3"/>
  <c r="G125" i="3"/>
  <c r="T126" i="3" l="1"/>
  <c r="I125" i="3"/>
  <c r="W125" i="3" s="1"/>
  <c r="J125" i="3"/>
  <c r="M125" i="3"/>
  <c r="N125" i="3" s="1"/>
  <c r="L125" i="3" l="1"/>
  <c r="AG126" i="3" l="1"/>
  <c r="AH126" i="3"/>
  <c r="U125" i="3"/>
  <c r="D126" i="3" s="1"/>
  <c r="Y124" i="3"/>
  <c r="E126" i="3" l="1"/>
  <c r="H126" i="3" s="1"/>
  <c r="K126" i="3" s="1"/>
  <c r="A127" i="3" s="1"/>
  <c r="B127" i="3" s="1"/>
  <c r="G126" i="3"/>
  <c r="AC127" i="3" l="1"/>
  <c r="P127" i="3"/>
  <c r="Q127" i="3" s="1"/>
  <c r="R127" i="3" s="1"/>
  <c r="S127" i="3" s="1"/>
  <c r="AA127" i="3"/>
  <c r="Z127" i="3"/>
  <c r="AD127" i="3"/>
  <c r="F126" i="3"/>
  <c r="I126" i="3"/>
  <c r="J126" i="3"/>
  <c r="M126" i="3"/>
  <c r="N126" i="3" s="1"/>
  <c r="V126" i="3"/>
  <c r="AE126" i="3"/>
  <c r="T127" i="3" l="1"/>
  <c r="W126" i="3"/>
  <c r="L126" i="3"/>
  <c r="U126" i="3" l="1"/>
  <c r="E127" i="3" s="1"/>
  <c r="H127" i="3" s="1"/>
  <c r="AH127" i="3"/>
  <c r="AG127" i="3"/>
  <c r="Y125" i="3"/>
  <c r="D127" i="3" l="1"/>
  <c r="G127" i="3" s="1"/>
  <c r="K127" i="3"/>
  <c r="A128" i="3" s="1"/>
  <c r="B128" i="3" s="1"/>
  <c r="Z128" i="3" l="1"/>
  <c r="AC128" i="3"/>
  <c r="AD128" i="3"/>
  <c r="P128" i="3"/>
  <c r="Q128" i="3" s="1"/>
  <c r="R128" i="3" s="1"/>
  <c r="S128" i="3" s="1"/>
  <c r="AA128" i="3"/>
  <c r="F127" i="3"/>
  <c r="I127" i="3"/>
  <c r="J127" i="3"/>
  <c r="M127" i="3"/>
  <c r="N127" i="3" s="1"/>
  <c r="V127" i="3"/>
  <c r="AE127" i="3"/>
  <c r="T128" i="3" l="1"/>
  <c r="W127" i="3"/>
  <c r="L127" i="3"/>
  <c r="AH128" i="3" l="1"/>
  <c r="U127" i="3"/>
  <c r="E128" i="3" s="1"/>
  <c r="H128" i="3" s="1"/>
  <c r="AG128" i="3"/>
  <c r="Y126" i="3"/>
  <c r="D128" i="3" l="1"/>
  <c r="G128" i="3" s="1"/>
  <c r="K128" i="3"/>
  <c r="A129" i="3" s="1"/>
  <c r="B129" i="3" s="1"/>
  <c r="AA129" i="3" l="1"/>
  <c r="AC129" i="3"/>
  <c r="Z129" i="3"/>
  <c r="AD129" i="3"/>
  <c r="P129" i="3"/>
  <c r="Q129" i="3" s="1"/>
  <c r="R129" i="3" s="1"/>
  <c r="S129" i="3" s="1"/>
  <c r="F128" i="3"/>
  <c r="I128" i="3"/>
  <c r="J128" i="3"/>
  <c r="M128" i="3"/>
  <c r="N128" i="3" s="1"/>
  <c r="V128" i="3"/>
  <c r="AE128" i="3"/>
  <c r="T129" i="3" l="1"/>
  <c r="W128" i="3"/>
  <c r="L128" i="3"/>
  <c r="AH129" i="3" l="1"/>
  <c r="U128" i="3"/>
  <c r="D129" i="3" s="1"/>
  <c r="AG129" i="3"/>
  <c r="Y127" i="3"/>
  <c r="G129" i="3" l="1"/>
  <c r="E129" i="3"/>
  <c r="H129" i="3" s="1"/>
  <c r="F129" i="3" l="1"/>
  <c r="I129" i="3"/>
  <c r="J129" i="3"/>
  <c r="M129" i="3"/>
  <c r="N129" i="3" s="1"/>
  <c r="K129" i="3"/>
  <c r="A130" i="3" s="1"/>
  <c r="B130" i="3" s="1"/>
  <c r="AD130" i="3" l="1"/>
  <c r="P130" i="3"/>
  <c r="Q130" i="3" s="1"/>
  <c r="R130" i="3" s="1"/>
  <c r="S130" i="3" s="1"/>
  <c r="AA130" i="3"/>
  <c r="Z130" i="3"/>
  <c r="AC130" i="3"/>
  <c r="V129" i="3"/>
  <c r="W129" i="3" s="1"/>
  <c r="AE129" i="3"/>
  <c r="L129" i="3"/>
  <c r="T130" i="3" l="1"/>
  <c r="AH130" i="3" s="1"/>
  <c r="U129" i="3"/>
  <c r="Y128" i="3"/>
  <c r="AG130" i="3" l="1"/>
  <c r="E130" i="3"/>
  <c r="H130" i="3" s="1"/>
  <c r="K130" i="3" s="1"/>
  <c r="A131" i="3" s="1"/>
  <c r="B131" i="3" s="1"/>
  <c r="D130" i="3"/>
  <c r="G130" i="3" s="1"/>
  <c r="AC131" i="3" l="1"/>
  <c r="Z131" i="3"/>
  <c r="AA131" i="3"/>
  <c r="P131" i="3"/>
  <c r="Q131" i="3" s="1"/>
  <c r="R131" i="3" s="1"/>
  <c r="S131" i="3" s="1"/>
  <c r="AD131" i="3"/>
  <c r="F130" i="3"/>
  <c r="V130" i="3"/>
  <c r="AE130" i="3"/>
  <c r="I130" i="3"/>
  <c r="J130" i="3"/>
  <c r="M130" i="3"/>
  <c r="N130" i="3" s="1"/>
  <c r="T131" i="3" l="1"/>
  <c r="L130" i="3"/>
  <c r="W130" i="3"/>
  <c r="U130" i="3" l="1"/>
  <c r="E131" i="3" s="1"/>
  <c r="H131" i="3" s="1"/>
  <c r="AH131" i="3"/>
  <c r="AG131" i="3"/>
  <c r="Y129" i="3"/>
  <c r="D131" i="3" l="1"/>
  <c r="F131" i="3" s="1"/>
  <c r="K131" i="3"/>
  <c r="A132" i="3" s="1"/>
  <c r="B132" i="3" s="1"/>
  <c r="P132" i="3" l="1"/>
  <c r="Q132" i="3" s="1"/>
  <c r="R132" i="3" s="1"/>
  <c r="S132" i="3" s="1"/>
  <c r="Z132" i="3"/>
  <c r="AA132" i="3"/>
  <c r="AC132" i="3"/>
  <c r="G131" i="3"/>
  <c r="M131" i="3" s="1"/>
  <c r="N131" i="3" s="1"/>
  <c r="V131" i="3"/>
  <c r="AE131" i="3"/>
  <c r="T132" i="3" l="1"/>
  <c r="J131" i="3"/>
  <c r="L131" i="3" s="1"/>
  <c r="I131" i="3"/>
  <c r="W131" i="3" s="1"/>
  <c r="U131" i="3" l="1"/>
  <c r="E132" i="3" s="1"/>
  <c r="H132" i="3" s="1"/>
  <c r="AH132" i="3"/>
  <c r="AG132" i="3"/>
  <c r="Y130" i="3"/>
  <c r="K132" i="3" l="1"/>
  <c r="A133" i="3" s="1"/>
  <c r="B133" i="3" s="1"/>
  <c r="D132" i="3"/>
  <c r="P133" i="3" l="1"/>
  <c r="Q133" i="3" s="1"/>
  <c r="R133" i="3" s="1"/>
  <c r="S133" i="3" s="1"/>
  <c r="Z133" i="3"/>
  <c r="AC133" i="3"/>
  <c r="AD133" i="3"/>
  <c r="AA133" i="3"/>
  <c r="V132" i="3"/>
  <c r="AE132" i="3"/>
  <c r="F132" i="3"/>
  <c r="G132" i="3"/>
  <c r="T133" i="3" l="1"/>
  <c r="I132" i="3"/>
  <c r="W132" i="3" s="1"/>
  <c r="J132" i="3"/>
  <c r="AD132" i="3" s="1"/>
  <c r="M132" i="3"/>
  <c r="N132" i="3" s="1"/>
  <c r="L132" i="3" l="1"/>
  <c r="U132" i="3" l="1"/>
  <c r="D133" i="3" s="1"/>
  <c r="AH133" i="3"/>
  <c r="AG133" i="3"/>
  <c r="Y131" i="3"/>
  <c r="E133" i="3" l="1"/>
  <c r="H133" i="3" s="1"/>
  <c r="K133" i="3" s="1"/>
  <c r="A134" i="3" s="1"/>
  <c r="B134" i="3" s="1"/>
  <c r="G133" i="3"/>
  <c r="P134" i="3" l="1"/>
  <c r="Q134" i="3" s="1"/>
  <c r="R134" i="3" s="1"/>
  <c r="S134" i="3" s="1"/>
  <c r="AC134" i="3"/>
  <c r="AA134" i="3"/>
  <c r="Z134" i="3"/>
  <c r="F133" i="3"/>
  <c r="V133" i="3"/>
  <c r="AE133" i="3"/>
  <c r="I133" i="3"/>
  <c r="J133" i="3"/>
  <c r="M133" i="3"/>
  <c r="N133" i="3" s="1"/>
  <c r="T134" i="3" l="1"/>
  <c r="W133" i="3"/>
  <c r="L133" i="3"/>
  <c r="AG134" i="3" l="1"/>
  <c r="U133" i="3"/>
  <c r="D134" i="3" s="1"/>
  <c r="AH134" i="3"/>
  <c r="Y132" i="3"/>
  <c r="E134" i="3" l="1"/>
  <c r="H134" i="3" s="1"/>
  <c r="K134" i="3" s="1"/>
  <c r="A135" i="3" s="1"/>
  <c r="B135" i="3" s="1"/>
  <c r="G134" i="3"/>
  <c r="P135" i="3" l="1"/>
  <c r="Q135" i="3" s="1"/>
  <c r="R135" i="3" s="1"/>
  <c r="S135" i="3" s="1"/>
  <c r="AA135" i="3"/>
  <c r="AC135" i="3"/>
  <c r="Z135" i="3"/>
  <c r="AD135" i="3"/>
  <c r="F134" i="3"/>
  <c r="I134" i="3"/>
  <c r="J134" i="3"/>
  <c r="AD134" i="3" s="1"/>
  <c r="M134" i="3"/>
  <c r="N134" i="3" s="1"/>
  <c r="V134" i="3"/>
  <c r="AE134" i="3"/>
  <c r="T135" i="3" l="1"/>
  <c r="W134" i="3"/>
  <c r="L134" i="3"/>
  <c r="U134" i="3" l="1"/>
  <c r="E135" i="3" s="1"/>
  <c r="H135" i="3" s="1"/>
  <c r="AH135" i="3"/>
  <c r="AG135" i="3"/>
  <c r="Y133" i="3"/>
  <c r="K135" i="3" l="1"/>
  <c r="A136" i="3" s="1"/>
  <c r="B136" i="3" s="1"/>
  <c r="D135" i="3"/>
  <c r="P136" i="3" l="1"/>
  <c r="Q136" i="3" s="1"/>
  <c r="R136" i="3" s="1"/>
  <c r="S136" i="3" s="1"/>
  <c r="Z136" i="3"/>
  <c r="AD136" i="3"/>
  <c r="AC136" i="3"/>
  <c r="AA136" i="3"/>
  <c r="V135" i="3"/>
  <c r="AE135" i="3"/>
  <c r="F135" i="3"/>
  <c r="G135" i="3"/>
  <c r="T136" i="3" l="1"/>
  <c r="I135" i="3"/>
  <c r="W135" i="3" s="1"/>
  <c r="J135" i="3"/>
  <c r="M135" i="3"/>
  <c r="N135" i="3" s="1"/>
  <c r="L135" i="3" l="1"/>
  <c r="AH136" i="3" l="1"/>
  <c r="U135" i="3"/>
  <c r="D136" i="3" s="1"/>
  <c r="AG136" i="3"/>
  <c r="Y134" i="3"/>
  <c r="E136" i="3" l="1"/>
  <c r="H136" i="3" s="1"/>
  <c r="K136" i="3" s="1"/>
  <c r="A137" i="3" s="1"/>
  <c r="B137" i="3" s="1"/>
  <c r="G136" i="3"/>
  <c r="Z137" i="3" l="1"/>
  <c r="P137" i="3"/>
  <c r="Q137" i="3" s="1"/>
  <c r="R137" i="3" s="1"/>
  <c r="S137" i="3" s="1"/>
  <c r="AD137" i="3"/>
  <c r="AC137" i="3"/>
  <c r="AA137" i="3"/>
  <c r="F136" i="3"/>
  <c r="I136" i="3"/>
  <c r="J136" i="3"/>
  <c r="M136" i="3"/>
  <c r="N136" i="3" s="1"/>
  <c r="V136" i="3"/>
  <c r="AE136" i="3"/>
  <c r="T137" i="3" l="1"/>
  <c r="W136" i="3"/>
  <c r="L136" i="3"/>
  <c r="U136" i="3" l="1"/>
  <c r="D137" i="3" s="1"/>
  <c r="AH137" i="3"/>
  <c r="AG137" i="3"/>
  <c r="Y135" i="3"/>
  <c r="E137" i="3" l="1"/>
  <c r="H137" i="3" s="1"/>
  <c r="K137" i="3" s="1"/>
  <c r="A138" i="3" s="1"/>
  <c r="B138" i="3" s="1"/>
  <c r="G137" i="3"/>
  <c r="AC138" i="3" l="1"/>
  <c r="AA138" i="3"/>
  <c r="AD138" i="3"/>
  <c r="Z138" i="3"/>
  <c r="P138" i="3"/>
  <c r="Q138" i="3" s="1"/>
  <c r="R138" i="3" s="1"/>
  <c r="S138" i="3" s="1"/>
  <c r="F137" i="3"/>
  <c r="I137" i="3"/>
  <c r="J137" i="3"/>
  <c r="M137" i="3"/>
  <c r="N137" i="3" s="1"/>
  <c r="V137" i="3"/>
  <c r="AE137" i="3"/>
  <c r="T138" i="3" l="1"/>
  <c r="W137" i="3"/>
  <c r="L137" i="3"/>
  <c r="AH138" i="3" l="1"/>
  <c r="U137" i="3"/>
  <c r="E138" i="3" s="1"/>
  <c r="H138" i="3" s="1"/>
  <c r="AG138" i="3"/>
  <c r="Y136" i="3"/>
  <c r="D138" i="3" l="1"/>
  <c r="F138" i="3" s="1"/>
  <c r="K138" i="3"/>
  <c r="A139" i="3" s="1"/>
  <c r="B139" i="3" s="1"/>
  <c r="AD139" i="3" l="1"/>
  <c r="AC139" i="3"/>
  <c r="Z139" i="3"/>
  <c r="AA139" i="3"/>
  <c r="P139" i="3"/>
  <c r="Q139" i="3" s="1"/>
  <c r="R139" i="3" s="1"/>
  <c r="S139" i="3" s="1"/>
  <c r="G138" i="3"/>
  <c r="M138" i="3" s="1"/>
  <c r="N138" i="3" s="1"/>
  <c r="V138" i="3"/>
  <c r="AE138" i="3"/>
  <c r="T139" i="3" l="1"/>
  <c r="I138" i="3"/>
  <c r="W138" i="3" s="1"/>
  <c r="J138" i="3"/>
  <c r="L138" i="3" s="1"/>
  <c r="U138" i="3" l="1"/>
  <c r="E139" i="3" s="1"/>
  <c r="H139" i="3" s="1"/>
  <c r="AG139" i="3"/>
  <c r="AH139" i="3"/>
  <c r="Y137" i="3"/>
  <c r="D139" i="3" l="1"/>
  <c r="G139" i="3" s="1"/>
  <c r="K139" i="3"/>
  <c r="A140" i="3" s="1"/>
  <c r="B140" i="3" s="1"/>
  <c r="AD140" i="3" l="1"/>
  <c r="AA140" i="3"/>
  <c r="AC140" i="3"/>
  <c r="Z140" i="3"/>
  <c r="P140" i="3"/>
  <c r="Q140" i="3" s="1"/>
  <c r="R140" i="3" s="1"/>
  <c r="S140" i="3" s="1"/>
  <c r="F139" i="3"/>
  <c r="V139" i="3"/>
  <c r="AE139" i="3"/>
  <c r="I139" i="3"/>
  <c r="J139" i="3"/>
  <c r="M139" i="3"/>
  <c r="N139" i="3" s="1"/>
  <c r="T140" i="3" l="1"/>
  <c r="W139" i="3"/>
  <c r="L139" i="3"/>
  <c r="AG140" i="3" l="1"/>
  <c r="U139" i="3"/>
  <c r="E140" i="3" s="1"/>
  <c r="H140" i="3" s="1"/>
  <c r="AH140" i="3"/>
  <c r="Y138" i="3"/>
  <c r="D140" i="3" l="1"/>
  <c r="G140" i="3" s="1"/>
  <c r="K140" i="3"/>
  <c r="A141" i="3" s="1"/>
  <c r="B141" i="3" s="1"/>
  <c r="P141" i="3" l="1"/>
  <c r="Q141" i="3" s="1"/>
  <c r="R141" i="3" s="1"/>
  <c r="S141" i="3" s="1"/>
  <c r="AC141" i="3"/>
  <c r="Z141" i="3"/>
  <c r="AA141" i="3"/>
  <c r="AD141" i="3"/>
  <c r="F140" i="3"/>
  <c r="V140" i="3"/>
  <c r="AE140" i="3"/>
  <c r="I140" i="3"/>
  <c r="J140" i="3"/>
  <c r="M140" i="3"/>
  <c r="N140" i="3" s="1"/>
  <c r="T141" i="3" l="1"/>
  <c r="W140" i="3"/>
  <c r="L140" i="3"/>
  <c r="AG141" i="3" l="1"/>
  <c r="U140" i="3"/>
  <c r="D141" i="3" s="1"/>
  <c r="AH141" i="3"/>
  <c r="Y139" i="3"/>
  <c r="E141" i="3" l="1"/>
  <c r="H141" i="3" s="1"/>
  <c r="K141" i="3" s="1"/>
  <c r="A142" i="3" s="1"/>
  <c r="B142" i="3" s="1"/>
  <c r="G141" i="3"/>
  <c r="AA142" i="3" l="1"/>
  <c r="AC142" i="3"/>
  <c r="Z142" i="3"/>
  <c r="P142" i="3"/>
  <c r="Q142" i="3" s="1"/>
  <c r="R142" i="3" s="1"/>
  <c r="S142" i="3" s="1"/>
  <c r="F141" i="3"/>
  <c r="I141" i="3"/>
  <c r="J141" i="3"/>
  <c r="M141" i="3"/>
  <c r="N141" i="3" s="1"/>
  <c r="V141" i="3"/>
  <c r="AE141" i="3"/>
  <c r="T142" i="3" l="1"/>
  <c r="W141" i="3"/>
  <c r="L141" i="3"/>
  <c r="U141" i="3" l="1"/>
  <c r="D142" i="3" s="1"/>
  <c r="AH142" i="3"/>
  <c r="AG142" i="3"/>
  <c r="Y140" i="3"/>
  <c r="E142" i="3" l="1"/>
  <c r="H142" i="3" s="1"/>
  <c r="K142" i="3" s="1"/>
  <c r="A143" i="3" s="1"/>
  <c r="B143" i="3" s="1"/>
  <c r="G142" i="3"/>
  <c r="P143" i="3" l="1"/>
  <c r="Q143" i="3" s="1"/>
  <c r="R143" i="3" s="1"/>
  <c r="S143" i="3" s="1"/>
  <c r="AC143" i="3"/>
  <c r="AA143" i="3"/>
  <c r="Z143" i="3"/>
  <c r="AD143" i="3"/>
  <c r="F142" i="3"/>
  <c r="V142" i="3"/>
  <c r="AE142" i="3"/>
  <c r="I142" i="3"/>
  <c r="J142" i="3"/>
  <c r="AD142" i="3" s="1"/>
  <c r="M142" i="3"/>
  <c r="N142" i="3" s="1"/>
  <c r="T143" i="3" l="1"/>
  <c r="W142" i="3"/>
  <c r="L142" i="3"/>
  <c r="U142" i="3" l="1"/>
  <c r="E143" i="3" s="1"/>
  <c r="H143" i="3" s="1"/>
  <c r="AG143" i="3"/>
  <c r="AH143" i="3"/>
  <c r="Y141" i="3"/>
  <c r="D143" i="3" l="1"/>
  <c r="F143" i="3" s="1"/>
  <c r="K143" i="3"/>
  <c r="A144" i="3" s="1"/>
  <c r="B144" i="3" s="1"/>
  <c r="Z144" i="3" l="1"/>
  <c r="AA144" i="3"/>
  <c r="P144" i="3"/>
  <c r="Q144" i="3" s="1"/>
  <c r="R144" i="3" s="1"/>
  <c r="S144" i="3" s="1"/>
  <c r="AC144" i="3"/>
  <c r="G143" i="3"/>
  <c r="M143" i="3" s="1"/>
  <c r="N143" i="3" s="1"/>
  <c r="V143" i="3"/>
  <c r="AE143" i="3"/>
  <c r="T144" i="3" l="1"/>
  <c r="J143" i="3"/>
  <c r="L143" i="3" s="1"/>
  <c r="I143" i="3"/>
  <c r="W143" i="3" s="1"/>
  <c r="U143" i="3" l="1"/>
  <c r="D144" i="3" s="1"/>
  <c r="AG144" i="3"/>
  <c r="AH144" i="3"/>
  <c r="Y142" i="3"/>
  <c r="E144" i="3" l="1"/>
  <c r="H144" i="3" s="1"/>
  <c r="K144" i="3" s="1"/>
  <c r="A145" i="3" s="1"/>
  <c r="B145" i="3" s="1"/>
  <c r="G144" i="3"/>
  <c r="P145" i="3" l="1"/>
  <c r="Q145" i="3" s="1"/>
  <c r="R145" i="3" s="1"/>
  <c r="S145" i="3" s="1"/>
  <c r="Z145" i="3"/>
  <c r="AA145" i="3"/>
  <c r="AC145" i="3"/>
  <c r="AD145" i="3"/>
  <c r="F144" i="3"/>
  <c r="V144" i="3"/>
  <c r="AE144" i="3"/>
  <c r="I144" i="3"/>
  <c r="J144" i="3"/>
  <c r="AD144" i="3" s="1"/>
  <c r="M144" i="3"/>
  <c r="N144" i="3" s="1"/>
  <c r="T145" i="3" l="1"/>
  <c r="W144" i="3"/>
  <c r="L144" i="3"/>
  <c r="AH145" i="3" l="1"/>
  <c r="AG145" i="3"/>
  <c r="U144" i="3"/>
  <c r="D145" i="3" s="1"/>
  <c r="Y143" i="3"/>
  <c r="E145" i="3" l="1"/>
  <c r="H145" i="3" s="1"/>
  <c r="K145" i="3" s="1"/>
  <c r="A146" i="3" s="1"/>
  <c r="B146" i="3" s="1"/>
  <c r="G145" i="3"/>
  <c r="AA146" i="3" l="1"/>
  <c r="AD146" i="3"/>
  <c r="AC146" i="3"/>
  <c r="Z146" i="3"/>
  <c r="P146" i="3"/>
  <c r="Q146" i="3" s="1"/>
  <c r="R146" i="3" s="1"/>
  <c r="S146" i="3" s="1"/>
  <c r="F145" i="3"/>
  <c r="I145" i="3"/>
  <c r="J145" i="3"/>
  <c r="M145" i="3"/>
  <c r="N145" i="3" s="1"/>
  <c r="V145" i="3"/>
  <c r="AE145" i="3"/>
  <c r="T146" i="3" l="1"/>
  <c r="W145" i="3"/>
  <c r="L145" i="3"/>
  <c r="U145" i="3" l="1"/>
  <c r="D146" i="3" s="1"/>
  <c r="AH146" i="3"/>
  <c r="AG146" i="3"/>
  <c r="Y144" i="3"/>
  <c r="E146" i="3" l="1"/>
  <c r="H146" i="3" s="1"/>
  <c r="K146" i="3" s="1"/>
  <c r="A147" i="3" s="1"/>
  <c r="B147" i="3" s="1"/>
  <c r="G146" i="3"/>
  <c r="Z147" i="3" l="1"/>
  <c r="AC147" i="3"/>
  <c r="AA147" i="3"/>
  <c r="P147" i="3"/>
  <c r="Q147" i="3" s="1"/>
  <c r="R147" i="3" s="1"/>
  <c r="S147" i="3" s="1"/>
  <c r="AD147" i="3"/>
  <c r="F146" i="3"/>
  <c r="I146" i="3"/>
  <c r="J146" i="3"/>
  <c r="M146" i="3"/>
  <c r="N146" i="3" s="1"/>
  <c r="V146" i="3"/>
  <c r="AE146" i="3"/>
  <c r="T147" i="3" l="1"/>
  <c r="W146" i="3"/>
  <c r="L146" i="3"/>
  <c r="U146" i="3" l="1"/>
  <c r="D147" i="3" s="1"/>
  <c r="AG147" i="3"/>
  <c r="AH147" i="3"/>
  <c r="Y145" i="3"/>
  <c r="E147" i="3" l="1"/>
  <c r="H147" i="3" s="1"/>
  <c r="K147" i="3" s="1"/>
  <c r="A148" i="3" s="1"/>
  <c r="B148" i="3" s="1"/>
  <c r="G147" i="3"/>
  <c r="P148" i="3" l="1"/>
  <c r="Q148" i="3" s="1"/>
  <c r="R148" i="3" s="1"/>
  <c r="S148" i="3" s="1"/>
  <c r="Z148" i="3"/>
  <c r="AD148" i="3"/>
  <c r="AC148" i="3"/>
  <c r="AA148" i="3"/>
  <c r="F147" i="3"/>
  <c r="V147" i="3"/>
  <c r="AE147" i="3"/>
  <c r="I147" i="3"/>
  <c r="J147" i="3"/>
  <c r="M147" i="3"/>
  <c r="N147" i="3" s="1"/>
  <c r="T148" i="3" l="1"/>
  <c r="W147" i="3"/>
  <c r="L147" i="3"/>
  <c r="AG148" i="3" l="1"/>
  <c r="U147" i="3"/>
  <c r="E148" i="3" s="1"/>
  <c r="H148" i="3" s="1"/>
  <c r="AH148" i="3"/>
  <c r="Y146" i="3"/>
  <c r="K148" i="3" l="1"/>
  <c r="A149" i="3" s="1"/>
  <c r="B149" i="3" s="1"/>
  <c r="D148" i="3"/>
  <c r="P149" i="3" l="1"/>
  <c r="Q149" i="3" s="1"/>
  <c r="R149" i="3" s="1"/>
  <c r="S149" i="3" s="1"/>
  <c r="AD149" i="3"/>
  <c r="AC149" i="3"/>
  <c r="AA149" i="3"/>
  <c r="Z149" i="3"/>
  <c r="V148" i="3"/>
  <c r="AE148" i="3"/>
  <c r="F148" i="3"/>
  <c r="G148" i="3"/>
  <c r="T149" i="3" l="1"/>
  <c r="I148" i="3"/>
  <c r="W148" i="3" s="1"/>
  <c r="J148" i="3"/>
  <c r="M148" i="3"/>
  <c r="N148" i="3" s="1"/>
  <c r="L148" i="3" l="1"/>
  <c r="AG149" i="3" l="1"/>
  <c r="U148" i="3"/>
  <c r="D149" i="3" s="1"/>
  <c r="AH149" i="3"/>
  <c r="Y147" i="3"/>
  <c r="E149" i="3" l="1"/>
  <c r="H149" i="3" s="1"/>
  <c r="K149" i="3" s="1"/>
  <c r="A150" i="3" s="1"/>
  <c r="B150" i="3" s="1"/>
  <c r="G149" i="3"/>
  <c r="P150" i="3" l="1"/>
  <c r="Q150" i="3" s="1"/>
  <c r="R150" i="3" s="1"/>
  <c r="S150" i="3" s="1"/>
  <c r="Z150" i="3"/>
  <c r="AD150" i="3"/>
  <c r="AA150" i="3"/>
  <c r="AC150" i="3"/>
  <c r="F149" i="3"/>
  <c r="I149" i="3"/>
  <c r="J149" i="3"/>
  <c r="M149" i="3"/>
  <c r="N149" i="3" s="1"/>
  <c r="V149" i="3"/>
  <c r="AE149" i="3"/>
  <c r="T150" i="3" l="1"/>
  <c r="W149" i="3"/>
  <c r="L149" i="3"/>
  <c r="AH150" i="3" l="1"/>
  <c r="U149" i="3"/>
  <c r="D150" i="3" s="1"/>
  <c r="AG150" i="3"/>
  <c r="Y148" i="3"/>
  <c r="E150" i="3" l="1"/>
  <c r="H150" i="3" s="1"/>
  <c r="K150" i="3" s="1"/>
  <c r="A151" i="3" s="1"/>
  <c r="B151" i="3" s="1"/>
  <c r="G150" i="3"/>
  <c r="P151" i="3" l="1"/>
  <c r="Q151" i="3" s="1"/>
  <c r="R151" i="3" s="1"/>
  <c r="S151" i="3" s="1"/>
  <c r="AC151" i="3"/>
  <c r="AD151" i="3"/>
  <c r="Z151" i="3"/>
  <c r="AA151" i="3"/>
  <c r="F150" i="3"/>
  <c r="I150" i="3"/>
  <c r="J150" i="3"/>
  <c r="M150" i="3"/>
  <c r="N150" i="3" s="1"/>
  <c r="V150" i="3"/>
  <c r="AE150" i="3"/>
  <c r="T151" i="3" l="1"/>
  <c r="W150" i="3"/>
  <c r="L150" i="3"/>
  <c r="AH151" i="3" l="1"/>
  <c r="U150" i="3"/>
  <c r="E151" i="3" s="1"/>
  <c r="H151" i="3" s="1"/>
  <c r="AG151" i="3"/>
  <c r="Y149" i="3"/>
  <c r="D151" i="3" l="1"/>
  <c r="G151" i="3" s="1"/>
  <c r="K151" i="3"/>
  <c r="A152" i="3" s="1"/>
  <c r="B152" i="3" s="1"/>
  <c r="AC152" i="3" l="1"/>
  <c r="AA152" i="3"/>
  <c r="P152" i="3"/>
  <c r="Q152" i="3" s="1"/>
  <c r="R152" i="3" s="1"/>
  <c r="S152" i="3" s="1"/>
  <c r="Z152" i="3"/>
  <c r="F151" i="3"/>
  <c r="I151" i="3"/>
  <c r="J151" i="3"/>
  <c r="M151" i="3"/>
  <c r="N151" i="3" s="1"/>
  <c r="V151" i="3"/>
  <c r="AE151" i="3"/>
  <c r="T152" i="3" l="1"/>
  <c r="W151" i="3"/>
  <c r="L151" i="3"/>
  <c r="AH152" i="3" l="1"/>
  <c r="AG152" i="3"/>
  <c r="U151" i="3"/>
  <c r="E152" i="3" s="1"/>
  <c r="H152" i="3" s="1"/>
  <c r="Y150" i="3"/>
  <c r="D152" i="3" l="1"/>
  <c r="G152" i="3" s="1"/>
  <c r="K152" i="3"/>
  <c r="A153" i="3" s="1"/>
  <c r="B153" i="3" s="1"/>
  <c r="AD153" i="3" l="1"/>
  <c r="P153" i="3"/>
  <c r="Q153" i="3" s="1"/>
  <c r="R153" i="3" s="1"/>
  <c r="S153" i="3" s="1"/>
  <c r="AA153" i="3"/>
  <c r="AC153" i="3"/>
  <c r="Z153" i="3"/>
  <c r="F152" i="3"/>
  <c r="V152" i="3"/>
  <c r="AE152" i="3"/>
  <c r="I152" i="3"/>
  <c r="J152" i="3"/>
  <c r="AD152" i="3" s="1"/>
  <c r="M152" i="3"/>
  <c r="N152" i="3" s="1"/>
  <c r="T153" i="3" l="1"/>
  <c r="W152" i="3"/>
  <c r="L152" i="3"/>
  <c r="AH153" i="3" l="1"/>
  <c r="U152" i="3"/>
  <c r="D153" i="3" s="1"/>
  <c r="AG153" i="3"/>
  <c r="Y151" i="3"/>
  <c r="G153" i="3" l="1"/>
  <c r="E153" i="3"/>
  <c r="H153" i="3" s="1"/>
  <c r="K153" i="3" l="1"/>
  <c r="A154" i="3" s="1"/>
  <c r="B154" i="3" s="1"/>
  <c r="I153" i="3"/>
  <c r="J153" i="3"/>
  <c r="M153" i="3"/>
  <c r="N153" i="3" s="1"/>
  <c r="F153" i="3"/>
  <c r="P154" i="3" l="1"/>
  <c r="Q154" i="3" s="1"/>
  <c r="R154" i="3" s="1"/>
  <c r="S154" i="3" s="1"/>
  <c r="Z154" i="3"/>
  <c r="AC154" i="3"/>
  <c r="AA154" i="3"/>
  <c r="V153" i="3"/>
  <c r="W153" i="3" s="1"/>
  <c r="AE153" i="3"/>
  <c r="L153" i="3"/>
  <c r="T154" i="3" l="1"/>
  <c r="AG154" i="3" s="1"/>
  <c r="U153" i="3"/>
  <c r="Y152" i="3"/>
  <c r="AH154" i="3" l="1"/>
  <c r="D154" i="3"/>
  <c r="G154" i="3" s="1"/>
  <c r="E154" i="3"/>
  <c r="H154" i="3" s="1"/>
  <c r="K154" i="3" s="1"/>
  <c r="A155" i="3" s="1"/>
  <c r="B155" i="3" s="1"/>
  <c r="AC155" i="3" l="1"/>
  <c r="P155" i="3"/>
  <c r="Q155" i="3" s="1"/>
  <c r="R155" i="3" s="1"/>
  <c r="S155" i="3" s="1"/>
  <c r="AA155" i="3"/>
  <c r="Z155" i="3"/>
  <c r="F154" i="3"/>
  <c r="I154" i="3"/>
  <c r="J154" i="3"/>
  <c r="AD154" i="3" s="1"/>
  <c r="M154" i="3"/>
  <c r="N154" i="3" s="1"/>
  <c r="V154" i="3"/>
  <c r="AE154" i="3"/>
  <c r="T155" i="3" l="1"/>
  <c r="L154" i="3"/>
  <c r="W154" i="3"/>
  <c r="U154" i="3" l="1"/>
  <c r="E155" i="3" s="1"/>
  <c r="H155" i="3" s="1"/>
  <c r="AH155" i="3"/>
  <c r="AG155" i="3"/>
  <c r="Y153" i="3"/>
  <c r="D155" i="3" l="1"/>
  <c r="G155" i="3" s="1"/>
  <c r="K155" i="3"/>
  <c r="A156" i="3" s="1"/>
  <c r="B156" i="3" s="1"/>
  <c r="AA156" i="3" l="1"/>
  <c r="Z156" i="3"/>
  <c r="AC156" i="3"/>
  <c r="P156" i="3"/>
  <c r="Q156" i="3" s="1"/>
  <c r="R156" i="3" s="1"/>
  <c r="S156" i="3" s="1"/>
  <c r="F155" i="3"/>
  <c r="V155" i="3"/>
  <c r="AE155" i="3"/>
  <c r="I155" i="3"/>
  <c r="J155" i="3"/>
  <c r="AD155" i="3" s="1"/>
  <c r="M155" i="3"/>
  <c r="N155" i="3" s="1"/>
  <c r="T156" i="3" l="1"/>
  <c r="W155" i="3"/>
  <c r="L155" i="3"/>
  <c r="AG156" i="3" l="1"/>
  <c r="U155" i="3"/>
  <c r="D156" i="3" s="1"/>
  <c r="AH156" i="3"/>
  <c r="Y154" i="3"/>
  <c r="E156" i="3" l="1"/>
  <c r="H156" i="3" s="1"/>
  <c r="K156" i="3" s="1"/>
  <c r="A157" i="3" s="1"/>
  <c r="B157" i="3" s="1"/>
  <c r="G156" i="3"/>
  <c r="P157" i="3" l="1"/>
  <c r="Q157" i="3" s="1"/>
  <c r="R157" i="3" s="1"/>
  <c r="S157" i="3" s="1"/>
  <c r="Z157" i="3"/>
  <c r="AA157" i="3"/>
  <c r="AC157" i="3"/>
  <c r="F156" i="3"/>
  <c r="V156" i="3"/>
  <c r="AE156" i="3"/>
  <c r="I156" i="3"/>
  <c r="J156" i="3"/>
  <c r="AD156" i="3" s="1"/>
  <c r="M156" i="3"/>
  <c r="N156" i="3" s="1"/>
  <c r="T157" i="3" l="1"/>
  <c r="W156" i="3"/>
  <c r="L156" i="3"/>
  <c r="U156" i="3" l="1"/>
  <c r="E157" i="3" s="1"/>
  <c r="H157" i="3" s="1"/>
  <c r="AH157" i="3"/>
  <c r="AG157" i="3"/>
  <c r="Y155" i="3"/>
  <c r="D157" i="3" l="1"/>
  <c r="G157" i="3" s="1"/>
  <c r="K157" i="3"/>
  <c r="A158" i="3" s="1"/>
  <c r="B158" i="3" s="1"/>
  <c r="AA158" i="3" l="1"/>
  <c r="AC158" i="3"/>
  <c r="Z158" i="3"/>
  <c r="P158" i="3"/>
  <c r="Q158" i="3" s="1"/>
  <c r="R158" i="3" s="1"/>
  <c r="S158" i="3" s="1"/>
  <c r="F157" i="3"/>
  <c r="I157" i="3"/>
  <c r="J157" i="3"/>
  <c r="AD157" i="3" s="1"/>
  <c r="M157" i="3"/>
  <c r="N157" i="3" s="1"/>
  <c r="V157" i="3"/>
  <c r="AE157" i="3"/>
  <c r="T158" i="3" l="1"/>
  <c r="W157" i="3"/>
  <c r="L157" i="3"/>
  <c r="U157" i="3" l="1"/>
  <c r="E158" i="3" s="1"/>
  <c r="H158" i="3" s="1"/>
  <c r="AH158" i="3"/>
  <c r="AG158" i="3"/>
  <c r="Y156" i="3"/>
  <c r="D158" i="3" l="1"/>
  <c r="F158" i="3" s="1"/>
  <c r="K158" i="3"/>
  <c r="A159" i="3" s="1"/>
  <c r="B159" i="3" s="1"/>
  <c r="AC159" i="3" l="1"/>
  <c r="Z159" i="3"/>
  <c r="AA159" i="3"/>
  <c r="P159" i="3"/>
  <c r="Q159" i="3" s="1"/>
  <c r="R159" i="3" s="1"/>
  <c r="S159" i="3" s="1"/>
  <c r="G158" i="3"/>
  <c r="I158" i="3" s="1"/>
  <c r="V158" i="3"/>
  <c r="AE158" i="3"/>
  <c r="T159" i="3" l="1"/>
  <c r="M158" i="3"/>
  <c r="N158" i="3" s="1"/>
  <c r="J158" i="3"/>
  <c r="W158" i="3"/>
  <c r="L158" i="3" l="1"/>
  <c r="U158" i="3" s="1"/>
  <c r="E159" i="3" s="1"/>
  <c r="H159" i="3" s="1"/>
  <c r="AD158" i="3"/>
  <c r="Y157" i="3" l="1"/>
  <c r="AH159" i="3"/>
  <c r="AG159" i="3"/>
  <c r="D159" i="3"/>
  <c r="F159" i="3" s="1"/>
  <c r="K159" i="3"/>
  <c r="A160" i="3" s="1"/>
  <c r="B160" i="3" s="1"/>
  <c r="AA160" i="3" l="1"/>
  <c r="P160" i="3"/>
  <c r="Q160" i="3" s="1"/>
  <c r="R160" i="3" s="1"/>
  <c r="S160" i="3" s="1"/>
  <c r="Z160" i="3"/>
  <c r="AC160" i="3"/>
  <c r="G159" i="3"/>
  <c r="M159" i="3" s="1"/>
  <c r="N159" i="3" s="1"/>
  <c r="V159" i="3"/>
  <c r="AE159" i="3"/>
  <c r="T160" i="3" l="1"/>
  <c r="I159" i="3"/>
  <c r="W159" i="3" s="1"/>
  <c r="J159" i="3"/>
  <c r="L159" i="3" l="1"/>
  <c r="AH160" i="3" s="1"/>
  <c r="AD159" i="3"/>
  <c r="Y158" i="3" l="1"/>
  <c r="AG160" i="3"/>
  <c r="U159" i="3"/>
  <c r="E160" i="3" s="1"/>
  <c r="H160" i="3" s="1"/>
  <c r="K160" i="3" s="1"/>
  <c r="A161" i="3" s="1"/>
  <c r="B161" i="3" s="1"/>
  <c r="D160" i="3" l="1"/>
  <c r="G160" i="3" s="1"/>
  <c r="I160" i="3" s="1"/>
  <c r="Z161" i="3"/>
  <c r="AA161" i="3"/>
  <c r="P161" i="3"/>
  <c r="Q161" i="3" s="1"/>
  <c r="R161" i="3" s="1"/>
  <c r="S161" i="3" s="1"/>
  <c r="AC161" i="3"/>
  <c r="V160" i="3"/>
  <c r="AE160" i="3"/>
  <c r="M160" i="3" l="1"/>
  <c r="N160" i="3" s="1"/>
  <c r="F160" i="3"/>
  <c r="J160" i="3"/>
  <c r="AD160" i="3" s="1"/>
  <c r="T161" i="3"/>
  <c r="W160" i="3"/>
  <c r="L160" i="3" l="1"/>
  <c r="AG161" i="3" s="1"/>
  <c r="Y159" i="3" l="1"/>
  <c r="U160" i="3"/>
  <c r="E161" i="3" s="1"/>
  <c r="H161" i="3" s="1"/>
  <c r="K161" i="3" s="1"/>
  <c r="A162" i="3" s="1"/>
  <c r="B162" i="3" s="1"/>
  <c r="AH161" i="3"/>
  <c r="D161" i="3" l="1"/>
  <c r="G161" i="3" s="1"/>
  <c r="I161" i="3" s="1"/>
  <c r="Z162" i="3"/>
  <c r="P162" i="3"/>
  <c r="Q162" i="3" s="1"/>
  <c r="R162" i="3" s="1"/>
  <c r="S162" i="3" s="1"/>
  <c r="AC162" i="3"/>
  <c r="AA162" i="3"/>
  <c r="V161" i="3"/>
  <c r="AE161" i="3"/>
  <c r="M161" i="3" l="1"/>
  <c r="N161" i="3" s="1"/>
  <c r="J161" i="3"/>
  <c r="AD161" i="3" s="1"/>
  <c r="F161" i="3"/>
  <c r="T162" i="3"/>
  <c r="W161" i="3"/>
  <c r="L161" i="3" l="1"/>
  <c r="U161" i="3" s="1"/>
  <c r="D162" i="3" s="1"/>
  <c r="Y160" i="3" l="1"/>
  <c r="AH162" i="3"/>
  <c r="AG162" i="3"/>
  <c r="G162" i="3"/>
  <c r="E162" i="3"/>
  <c r="H162" i="3" s="1"/>
  <c r="F162" i="3" l="1"/>
  <c r="I162" i="3"/>
  <c r="J162" i="3"/>
  <c r="AD162" i="3" s="1"/>
  <c r="M162" i="3"/>
  <c r="N162" i="3" s="1"/>
  <c r="K162" i="3"/>
  <c r="A163" i="3" s="1"/>
  <c r="B163" i="3" s="1"/>
  <c r="AC163" i="3" l="1"/>
  <c r="Z163" i="3"/>
  <c r="P163" i="3"/>
  <c r="Q163" i="3" s="1"/>
  <c r="R163" i="3" s="1"/>
  <c r="S163" i="3" s="1"/>
  <c r="AA163" i="3"/>
  <c r="V162" i="3"/>
  <c r="W162" i="3" s="1"/>
  <c r="AE162" i="3"/>
  <c r="L162" i="3"/>
  <c r="T163" i="3" l="1"/>
  <c r="AH163" i="3" s="1"/>
  <c r="U162" i="3"/>
  <c r="Y161" i="3"/>
  <c r="AG163" i="3" l="1"/>
  <c r="D163" i="3"/>
  <c r="G163" i="3" s="1"/>
  <c r="E163" i="3"/>
  <c r="H163" i="3" s="1"/>
  <c r="K163" i="3" s="1"/>
  <c r="A164" i="3" s="1"/>
  <c r="B164" i="3" s="1"/>
  <c r="AA164" i="3" l="1"/>
  <c r="Z164" i="3"/>
  <c r="AC164" i="3"/>
  <c r="P164" i="3"/>
  <c r="Q164" i="3" s="1"/>
  <c r="R164" i="3" s="1"/>
  <c r="S164" i="3" s="1"/>
  <c r="F163" i="3"/>
  <c r="V163" i="3"/>
  <c r="AE163" i="3"/>
  <c r="I163" i="3"/>
  <c r="J163" i="3"/>
  <c r="AD163" i="3" s="1"/>
  <c r="M163" i="3"/>
  <c r="N163" i="3" s="1"/>
  <c r="T164" i="3" l="1"/>
  <c r="W163" i="3"/>
  <c r="L163" i="3"/>
  <c r="AH164" i="3" l="1"/>
  <c r="U163" i="3"/>
  <c r="D164" i="3" s="1"/>
  <c r="AG164" i="3"/>
  <c r="Y162" i="3"/>
  <c r="E164" i="3" l="1"/>
  <c r="H164" i="3" s="1"/>
  <c r="K164" i="3" s="1"/>
  <c r="A165" i="3" s="1"/>
  <c r="B165" i="3" s="1"/>
  <c r="G164" i="3"/>
  <c r="AA165" i="3" l="1"/>
  <c r="AC165" i="3"/>
  <c r="Z165" i="3"/>
  <c r="P165" i="3"/>
  <c r="Q165" i="3" s="1"/>
  <c r="R165" i="3" s="1"/>
  <c r="S165" i="3" s="1"/>
  <c r="AD165" i="3"/>
  <c r="F164" i="3"/>
  <c r="I164" i="3"/>
  <c r="J164" i="3"/>
  <c r="AD164" i="3" s="1"/>
  <c r="M164" i="3"/>
  <c r="N164" i="3" s="1"/>
  <c r="V164" i="3"/>
  <c r="AE164" i="3"/>
  <c r="T165" i="3" l="1"/>
  <c r="W164" i="3"/>
  <c r="L164" i="3"/>
  <c r="U164" i="3" l="1"/>
  <c r="D165" i="3" s="1"/>
  <c r="AG165" i="3"/>
  <c r="AH165" i="3"/>
  <c r="Y163" i="3"/>
  <c r="E165" i="3" l="1"/>
  <c r="H165" i="3" s="1"/>
  <c r="K165" i="3" s="1"/>
  <c r="A166" i="3" s="1"/>
  <c r="B166" i="3" s="1"/>
  <c r="G165" i="3"/>
  <c r="AA166" i="3" l="1"/>
  <c r="P166" i="3"/>
  <c r="Q166" i="3" s="1"/>
  <c r="R166" i="3" s="1"/>
  <c r="S166" i="3" s="1"/>
  <c r="AD166" i="3"/>
  <c r="Z166" i="3"/>
  <c r="AC166" i="3"/>
  <c r="F165" i="3"/>
  <c r="V165" i="3"/>
  <c r="AE165" i="3"/>
  <c r="I165" i="3"/>
  <c r="J165" i="3"/>
  <c r="M165" i="3"/>
  <c r="N165" i="3" s="1"/>
  <c r="T166" i="3" l="1"/>
  <c r="L165" i="3"/>
  <c r="W165" i="3"/>
  <c r="AH166" i="3" l="1"/>
  <c r="U165" i="3"/>
  <c r="E166" i="3" s="1"/>
  <c r="H166" i="3" s="1"/>
  <c r="AG166" i="3"/>
  <c r="Y164" i="3"/>
  <c r="D166" i="3" l="1"/>
  <c r="G166" i="3" s="1"/>
  <c r="K166" i="3"/>
  <c r="A167" i="3" s="1"/>
  <c r="B167" i="3" s="1"/>
  <c r="P167" i="3" l="1"/>
  <c r="Q167" i="3" s="1"/>
  <c r="R167" i="3" s="1"/>
  <c r="S167" i="3" s="1"/>
  <c r="AA167" i="3"/>
  <c r="Z167" i="3"/>
  <c r="AD167" i="3"/>
  <c r="AC167" i="3"/>
  <c r="F166" i="3"/>
  <c r="I166" i="3"/>
  <c r="J166" i="3"/>
  <c r="M166" i="3"/>
  <c r="N166" i="3" s="1"/>
  <c r="V166" i="3"/>
  <c r="AE166" i="3"/>
  <c r="T167" i="3" l="1"/>
  <c r="W166" i="3"/>
  <c r="L166" i="3"/>
  <c r="AH167" i="3" l="1"/>
  <c r="AG167" i="3"/>
  <c r="U166" i="3"/>
  <c r="E167" i="3" s="1"/>
  <c r="H167" i="3" s="1"/>
  <c r="Y165" i="3"/>
  <c r="K167" i="3" l="1"/>
  <c r="A168" i="3" s="1"/>
  <c r="B168" i="3" s="1"/>
  <c r="D167" i="3"/>
  <c r="Z168" i="3" l="1"/>
  <c r="AD168" i="3"/>
  <c r="AC168" i="3"/>
  <c r="AA168" i="3"/>
  <c r="P168" i="3"/>
  <c r="Q168" i="3" s="1"/>
  <c r="R168" i="3" s="1"/>
  <c r="S168" i="3" s="1"/>
  <c r="V167" i="3"/>
  <c r="AE167" i="3"/>
  <c r="F167" i="3"/>
  <c r="G167" i="3"/>
  <c r="T168" i="3" l="1"/>
  <c r="I167" i="3"/>
  <c r="W167" i="3" s="1"/>
  <c r="J167" i="3"/>
  <c r="M167" i="3"/>
  <c r="N167" i="3" s="1"/>
  <c r="L167" i="3" l="1"/>
  <c r="AH168" i="3" l="1"/>
  <c r="U167" i="3"/>
  <c r="E168" i="3" s="1"/>
  <c r="H168" i="3" s="1"/>
  <c r="AG168" i="3"/>
  <c r="Y166" i="3"/>
  <c r="D168" i="3" l="1"/>
  <c r="F168" i="3" s="1"/>
  <c r="K168" i="3"/>
  <c r="A169" i="3" s="1"/>
  <c r="B169" i="3" s="1"/>
  <c r="AD169" i="3" l="1"/>
  <c r="Z169" i="3"/>
  <c r="AA169" i="3"/>
  <c r="AC169" i="3"/>
  <c r="P169" i="3"/>
  <c r="Q169" i="3" s="1"/>
  <c r="R169" i="3" s="1"/>
  <c r="S169" i="3" s="1"/>
  <c r="G168" i="3"/>
  <c r="I168" i="3" s="1"/>
  <c r="V168" i="3"/>
  <c r="AE168" i="3"/>
  <c r="T169" i="3" l="1"/>
  <c r="M168" i="3"/>
  <c r="N168" i="3" s="1"/>
  <c r="J168" i="3"/>
  <c r="L168" i="3" s="1"/>
  <c r="W168" i="3"/>
  <c r="U168" i="3" l="1"/>
  <c r="E169" i="3" s="1"/>
  <c r="H169" i="3" s="1"/>
  <c r="AH169" i="3"/>
  <c r="AG169" i="3"/>
  <c r="Y167" i="3"/>
  <c r="D169" i="3" l="1"/>
  <c r="F169" i="3" s="1"/>
  <c r="K169" i="3"/>
  <c r="A170" i="3" s="1"/>
  <c r="B170" i="3" s="1"/>
  <c r="AA170" i="3" l="1"/>
  <c r="AC170" i="3"/>
  <c r="P170" i="3"/>
  <c r="Q170" i="3" s="1"/>
  <c r="R170" i="3" s="1"/>
  <c r="S170" i="3" s="1"/>
  <c r="AD170" i="3"/>
  <c r="Z170" i="3"/>
  <c r="G169" i="3"/>
  <c r="I169" i="3" s="1"/>
  <c r="V169" i="3"/>
  <c r="AE169" i="3"/>
  <c r="T170" i="3" l="1"/>
  <c r="M169" i="3"/>
  <c r="N169" i="3" s="1"/>
  <c r="J169" i="3"/>
  <c r="L169" i="3" s="1"/>
  <c r="W169" i="3"/>
  <c r="AH170" i="3" l="1"/>
  <c r="U169" i="3"/>
  <c r="E170" i="3" s="1"/>
  <c r="H170" i="3" s="1"/>
  <c r="AG170" i="3"/>
  <c r="Y168" i="3"/>
  <c r="D170" i="3" l="1"/>
  <c r="G170" i="3" s="1"/>
  <c r="K170" i="3"/>
  <c r="A171" i="3" s="1"/>
  <c r="B171" i="3" s="1"/>
  <c r="AD171" i="3" l="1"/>
  <c r="Z171" i="3"/>
  <c r="AA171" i="3"/>
  <c r="AC171" i="3"/>
  <c r="P171" i="3"/>
  <c r="Q171" i="3" s="1"/>
  <c r="R171" i="3" s="1"/>
  <c r="S171" i="3" s="1"/>
  <c r="F170" i="3"/>
  <c r="I170" i="3"/>
  <c r="J170" i="3"/>
  <c r="M170" i="3"/>
  <c r="N170" i="3" s="1"/>
  <c r="V170" i="3"/>
  <c r="AE170" i="3"/>
  <c r="T171" i="3" l="1"/>
  <c r="W170" i="3"/>
  <c r="L170" i="3"/>
  <c r="AG171" i="3" l="1"/>
  <c r="U170" i="3"/>
  <c r="E171" i="3" s="1"/>
  <c r="H171" i="3" s="1"/>
  <c r="AH171" i="3"/>
  <c r="Y169" i="3"/>
  <c r="K171" i="3" l="1"/>
  <c r="A172" i="3" s="1"/>
  <c r="B172" i="3" s="1"/>
  <c r="D171" i="3"/>
  <c r="P172" i="3" l="1"/>
  <c r="Q172" i="3" s="1"/>
  <c r="R172" i="3" s="1"/>
  <c r="S172" i="3" s="1"/>
  <c r="AC172" i="3"/>
  <c r="AA172" i="3"/>
  <c r="Z172" i="3"/>
  <c r="F171" i="3"/>
  <c r="G171" i="3"/>
  <c r="V171" i="3"/>
  <c r="AE171" i="3"/>
  <c r="T172" i="3" l="1"/>
  <c r="I171" i="3"/>
  <c r="W171" i="3" s="1"/>
  <c r="J171" i="3"/>
  <c r="M171" i="3"/>
  <c r="N171" i="3" s="1"/>
  <c r="L171" i="3" l="1"/>
  <c r="U171" i="3" l="1"/>
  <c r="E172" i="3" s="1"/>
  <c r="H172" i="3" s="1"/>
  <c r="AH172" i="3"/>
  <c r="AG172" i="3"/>
  <c r="Y170" i="3"/>
  <c r="K172" i="3" l="1"/>
  <c r="A173" i="3" s="1"/>
  <c r="B173" i="3" s="1"/>
  <c r="D172" i="3"/>
  <c r="P173" i="3" l="1"/>
  <c r="Q173" i="3" s="1"/>
  <c r="R173" i="3" s="1"/>
  <c r="S173" i="3" s="1"/>
  <c r="AD173" i="3"/>
  <c r="AC173" i="3"/>
  <c r="Z173" i="3"/>
  <c r="AA173" i="3"/>
  <c r="V172" i="3"/>
  <c r="AE172" i="3"/>
  <c r="F172" i="3"/>
  <c r="G172" i="3"/>
  <c r="T173" i="3" l="1"/>
  <c r="I172" i="3"/>
  <c r="W172" i="3" s="1"/>
  <c r="J172" i="3"/>
  <c r="AD172" i="3" s="1"/>
  <c r="M172" i="3"/>
  <c r="N172" i="3" s="1"/>
  <c r="L172" i="3" l="1"/>
  <c r="U172" i="3" l="1"/>
  <c r="E173" i="3" s="1"/>
  <c r="H173" i="3" s="1"/>
  <c r="AH173" i="3"/>
  <c r="AG173" i="3"/>
  <c r="Y171" i="3"/>
  <c r="D173" i="3" l="1"/>
  <c r="G173" i="3" s="1"/>
  <c r="K173" i="3"/>
  <c r="A174" i="3" s="1"/>
  <c r="B174" i="3" s="1"/>
  <c r="AD174" i="3" l="1"/>
  <c r="P174" i="3"/>
  <c r="Q174" i="3" s="1"/>
  <c r="R174" i="3" s="1"/>
  <c r="S174" i="3" s="1"/>
  <c r="AA174" i="3"/>
  <c r="AC174" i="3"/>
  <c r="Z174" i="3"/>
  <c r="F173" i="3"/>
  <c r="I173" i="3"/>
  <c r="J173" i="3"/>
  <c r="M173" i="3"/>
  <c r="N173" i="3" s="1"/>
  <c r="V173" i="3"/>
  <c r="AE173" i="3"/>
  <c r="T174" i="3" l="1"/>
  <c r="L173" i="3"/>
  <c r="W173" i="3"/>
  <c r="U173" i="3" l="1"/>
  <c r="E174" i="3" s="1"/>
  <c r="H174" i="3" s="1"/>
  <c r="AG174" i="3"/>
  <c r="AH174" i="3"/>
  <c r="Y172" i="3"/>
  <c r="D174" i="3" l="1"/>
  <c r="G174" i="3" s="1"/>
  <c r="K174" i="3"/>
  <c r="A175" i="3" s="1"/>
  <c r="B175" i="3" s="1"/>
  <c r="AC175" i="3" l="1"/>
  <c r="AA175" i="3"/>
  <c r="Z175" i="3"/>
  <c r="P175" i="3"/>
  <c r="Q175" i="3" s="1"/>
  <c r="R175" i="3" s="1"/>
  <c r="S175" i="3" s="1"/>
  <c r="AD175" i="3"/>
  <c r="F174" i="3"/>
  <c r="V174" i="3"/>
  <c r="AE174" i="3"/>
  <c r="I174" i="3"/>
  <c r="J174" i="3"/>
  <c r="M174" i="3"/>
  <c r="N174" i="3" s="1"/>
  <c r="T175" i="3" l="1"/>
  <c r="W174" i="3"/>
  <c r="L174" i="3"/>
  <c r="U174" i="3" l="1"/>
  <c r="D175" i="3" s="1"/>
  <c r="AG175" i="3"/>
  <c r="AH175" i="3"/>
  <c r="Y173" i="3"/>
  <c r="E175" i="3" l="1"/>
  <c r="H175" i="3" s="1"/>
  <c r="K175" i="3" s="1"/>
  <c r="A176" i="3" s="1"/>
  <c r="B176" i="3" s="1"/>
  <c r="G175" i="3"/>
  <c r="P176" i="3" l="1"/>
  <c r="Q176" i="3" s="1"/>
  <c r="R176" i="3" s="1"/>
  <c r="S176" i="3" s="1"/>
  <c r="Z176" i="3"/>
  <c r="AA176" i="3"/>
  <c r="AC176" i="3"/>
  <c r="AD176" i="3"/>
  <c r="F175" i="3"/>
  <c r="I175" i="3"/>
  <c r="J175" i="3"/>
  <c r="M175" i="3"/>
  <c r="N175" i="3" s="1"/>
  <c r="V175" i="3"/>
  <c r="AE175" i="3"/>
  <c r="T176" i="3" l="1"/>
  <c r="W175" i="3"/>
  <c r="L175" i="3"/>
  <c r="U175" i="3" l="1"/>
  <c r="E176" i="3" s="1"/>
  <c r="H176" i="3" s="1"/>
  <c r="AG176" i="3"/>
  <c r="AH176" i="3"/>
  <c r="Y174" i="3"/>
  <c r="D176" i="3" l="1"/>
  <c r="G176" i="3" s="1"/>
  <c r="K176" i="3"/>
  <c r="A177" i="3" s="1"/>
  <c r="B177" i="3" s="1"/>
  <c r="Z177" i="3" l="1"/>
  <c r="AC177" i="3"/>
  <c r="AD177" i="3"/>
  <c r="P177" i="3"/>
  <c r="Q177" i="3" s="1"/>
  <c r="R177" i="3" s="1"/>
  <c r="S177" i="3" s="1"/>
  <c r="AA177" i="3"/>
  <c r="F176" i="3"/>
  <c r="I176" i="3"/>
  <c r="J176" i="3"/>
  <c r="M176" i="3"/>
  <c r="N176" i="3" s="1"/>
  <c r="V176" i="3"/>
  <c r="AE176" i="3"/>
  <c r="T177" i="3" l="1"/>
  <c r="W176" i="3"/>
  <c r="L176" i="3"/>
  <c r="AH177" i="3" l="1"/>
  <c r="U176" i="3"/>
  <c r="D177" i="3" s="1"/>
  <c r="AG177" i="3"/>
  <c r="Y175" i="3"/>
  <c r="G177" i="3" l="1"/>
  <c r="E177" i="3"/>
  <c r="H177" i="3" s="1"/>
  <c r="F177" i="3" l="1"/>
  <c r="I177" i="3"/>
  <c r="J177" i="3"/>
  <c r="M177" i="3"/>
  <c r="N177" i="3" s="1"/>
  <c r="K177" i="3"/>
  <c r="A178" i="3" s="1"/>
  <c r="B178" i="3" s="1"/>
  <c r="AA178" i="3" l="1"/>
  <c r="Z178" i="3"/>
  <c r="AC178" i="3"/>
  <c r="P178" i="3"/>
  <c r="Q178" i="3" s="1"/>
  <c r="R178" i="3" s="1"/>
  <c r="S178" i="3" s="1"/>
  <c r="AD178" i="3"/>
  <c r="V177" i="3"/>
  <c r="W177" i="3" s="1"/>
  <c r="AE177" i="3"/>
  <c r="L177" i="3"/>
  <c r="T178" i="3" l="1"/>
  <c r="AH178" i="3" s="1"/>
  <c r="U177" i="3"/>
  <c r="Y176" i="3"/>
  <c r="E178" i="3" l="1"/>
  <c r="H178" i="3" s="1"/>
  <c r="K178" i="3" s="1"/>
  <c r="A179" i="3" s="1"/>
  <c r="B179" i="3" s="1"/>
  <c r="AG178" i="3"/>
  <c r="D178" i="3"/>
  <c r="G178" i="3" s="1"/>
  <c r="Z179" i="3" l="1"/>
  <c r="AD179" i="3"/>
  <c r="AC179" i="3"/>
  <c r="AA179" i="3"/>
  <c r="P179" i="3"/>
  <c r="Q179" i="3" s="1"/>
  <c r="R179" i="3" s="1"/>
  <c r="S179" i="3" s="1"/>
  <c r="F178" i="3"/>
  <c r="I178" i="3"/>
  <c r="J178" i="3"/>
  <c r="M178" i="3"/>
  <c r="N178" i="3" s="1"/>
  <c r="V178" i="3"/>
  <c r="AE178" i="3"/>
  <c r="T179" i="3" l="1"/>
  <c r="W178" i="3"/>
  <c r="L178" i="3"/>
  <c r="U178" i="3" l="1"/>
  <c r="E179" i="3" s="1"/>
  <c r="H179" i="3" s="1"/>
  <c r="AG179" i="3"/>
  <c r="AH179" i="3"/>
  <c r="Y177" i="3"/>
  <c r="D179" i="3" l="1"/>
  <c r="G179" i="3" s="1"/>
  <c r="K179" i="3"/>
  <c r="A180" i="3" s="1"/>
  <c r="B180" i="3" s="1"/>
  <c r="AC180" i="3" l="1"/>
  <c r="AA180" i="3"/>
  <c r="AD180" i="3"/>
  <c r="P180" i="3"/>
  <c r="Q180" i="3" s="1"/>
  <c r="R180" i="3" s="1"/>
  <c r="S180" i="3" s="1"/>
  <c r="Z180" i="3"/>
  <c r="F179" i="3"/>
  <c r="V179" i="3"/>
  <c r="AE179" i="3"/>
  <c r="I179" i="3"/>
  <c r="J179" i="3"/>
  <c r="M179" i="3"/>
  <c r="N179" i="3" s="1"/>
  <c r="T180" i="3" l="1"/>
  <c r="W179" i="3"/>
  <c r="L179" i="3"/>
  <c r="AG180" i="3" l="1"/>
  <c r="U179" i="3"/>
  <c r="D180" i="3" s="1"/>
  <c r="AH180" i="3"/>
  <c r="Y178" i="3"/>
  <c r="E180" i="3" l="1"/>
  <c r="H180" i="3" s="1"/>
  <c r="K180" i="3" s="1"/>
  <c r="A181" i="3" s="1"/>
  <c r="B181" i="3" s="1"/>
  <c r="G180" i="3"/>
  <c r="AA181" i="3" l="1"/>
  <c r="AC181" i="3"/>
  <c r="P181" i="3"/>
  <c r="Q181" i="3" s="1"/>
  <c r="R181" i="3" s="1"/>
  <c r="S181" i="3" s="1"/>
  <c r="AD181" i="3"/>
  <c r="Z181" i="3"/>
  <c r="F180" i="3"/>
  <c r="I180" i="3"/>
  <c r="J180" i="3"/>
  <c r="M180" i="3"/>
  <c r="N180" i="3" s="1"/>
  <c r="V180" i="3"/>
  <c r="AE180" i="3"/>
  <c r="T181" i="3" l="1"/>
  <c r="L180" i="3"/>
  <c r="W180" i="3"/>
  <c r="U180" i="3" l="1"/>
  <c r="E181" i="3" s="1"/>
  <c r="H181" i="3" s="1"/>
  <c r="AH181" i="3"/>
  <c r="AG181" i="3"/>
  <c r="Y179" i="3"/>
  <c r="D181" i="3" l="1"/>
  <c r="G181" i="3" s="1"/>
  <c r="K181" i="3"/>
  <c r="A182" i="3" s="1"/>
  <c r="B182" i="3" s="1"/>
  <c r="AA182" i="3" l="1"/>
  <c r="P182" i="3"/>
  <c r="Q182" i="3" s="1"/>
  <c r="R182" i="3" s="1"/>
  <c r="S182" i="3" s="1"/>
  <c r="Z182" i="3"/>
  <c r="AC182" i="3"/>
  <c r="F181" i="3"/>
  <c r="I181" i="3"/>
  <c r="J181" i="3"/>
  <c r="M181" i="3"/>
  <c r="N181" i="3" s="1"/>
  <c r="V181" i="3"/>
  <c r="AE181" i="3"/>
  <c r="T182" i="3" l="1"/>
  <c r="W181" i="3"/>
  <c r="L181" i="3"/>
  <c r="AH182" i="3" l="1"/>
  <c r="U181" i="3"/>
  <c r="E182" i="3" s="1"/>
  <c r="H182" i="3" s="1"/>
  <c r="AG182" i="3"/>
  <c r="Y180" i="3"/>
  <c r="K182" i="3" l="1"/>
  <c r="A183" i="3" s="1"/>
  <c r="B183" i="3" s="1"/>
  <c r="D182" i="3"/>
  <c r="AA183" i="3" l="1"/>
  <c r="AD183" i="3"/>
  <c r="P183" i="3"/>
  <c r="Q183" i="3" s="1"/>
  <c r="R183" i="3" s="1"/>
  <c r="S183" i="3" s="1"/>
  <c r="AC183" i="3"/>
  <c r="Z183" i="3"/>
  <c r="V182" i="3"/>
  <c r="AE182" i="3"/>
  <c r="F182" i="3"/>
  <c r="G182" i="3"/>
  <c r="T183" i="3" l="1"/>
  <c r="I182" i="3"/>
  <c r="W182" i="3" s="1"/>
  <c r="J182" i="3"/>
  <c r="AD182" i="3" s="1"/>
  <c r="M182" i="3"/>
  <c r="N182" i="3" s="1"/>
  <c r="L182" i="3" l="1"/>
  <c r="U182" i="3" l="1"/>
  <c r="E183" i="3" s="1"/>
  <c r="H183" i="3" s="1"/>
  <c r="AH183" i="3"/>
  <c r="AG183" i="3"/>
  <c r="Y181" i="3"/>
  <c r="D183" i="3" l="1"/>
  <c r="G183" i="3" s="1"/>
  <c r="K183" i="3"/>
  <c r="A184" i="3" s="1"/>
  <c r="B184" i="3" s="1"/>
  <c r="Z184" i="3" l="1"/>
  <c r="P184" i="3"/>
  <c r="Q184" i="3" s="1"/>
  <c r="R184" i="3" s="1"/>
  <c r="S184" i="3" s="1"/>
  <c r="AC184" i="3"/>
  <c r="AA184" i="3"/>
  <c r="F183" i="3"/>
  <c r="I183" i="3"/>
  <c r="J183" i="3"/>
  <c r="M183" i="3"/>
  <c r="N183" i="3" s="1"/>
  <c r="V183" i="3"/>
  <c r="AE183" i="3"/>
  <c r="T184" i="3" l="1"/>
  <c r="W183" i="3"/>
  <c r="L183" i="3"/>
  <c r="U183" i="3" l="1"/>
  <c r="D184" i="3" s="1"/>
  <c r="AG184" i="3"/>
  <c r="AH184" i="3"/>
  <c r="Y182" i="3"/>
  <c r="G184" i="3" l="1"/>
  <c r="E184" i="3"/>
  <c r="H184" i="3" s="1"/>
  <c r="K184" i="3" l="1"/>
  <c r="A185" i="3" s="1"/>
  <c r="B185" i="3" s="1"/>
  <c r="I184" i="3"/>
  <c r="J184" i="3"/>
  <c r="AD184" i="3" s="1"/>
  <c r="M184" i="3"/>
  <c r="N184" i="3" s="1"/>
  <c r="F184" i="3"/>
  <c r="AD185" i="3" l="1"/>
  <c r="AC185" i="3"/>
  <c r="AA185" i="3"/>
  <c r="P185" i="3"/>
  <c r="Q185" i="3" s="1"/>
  <c r="R185" i="3" s="1"/>
  <c r="S185" i="3" s="1"/>
  <c r="Z185" i="3"/>
  <c r="V184" i="3"/>
  <c r="W184" i="3" s="1"/>
  <c r="AE184" i="3"/>
  <c r="L184" i="3"/>
  <c r="T185" i="3" l="1"/>
  <c r="AH185" i="3" s="1"/>
  <c r="U184" i="3"/>
  <c r="Y183" i="3"/>
  <c r="D185" i="3" l="1"/>
  <c r="G185" i="3" s="1"/>
  <c r="AG185" i="3"/>
  <c r="E185" i="3"/>
  <c r="H185" i="3" s="1"/>
  <c r="K185" i="3" s="1"/>
  <c r="A186" i="3" s="1"/>
  <c r="B186" i="3" s="1"/>
  <c r="Z186" i="3" l="1"/>
  <c r="P186" i="3"/>
  <c r="Q186" i="3" s="1"/>
  <c r="R186" i="3" s="1"/>
  <c r="S186" i="3" s="1"/>
  <c r="AA186" i="3"/>
  <c r="AC186" i="3"/>
  <c r="AD186" i="3"/>
  <c r="F185" i="3"/>
  <c r="I185" i="3"/>
  <c r="J185" i="3"/>
  <c r="M185" i="3"/>
  <c r="N185" i="3" s="1"/>
  <c r="V185" i="3"/>
  <c r="AE185" i="3"/>
  <c r="T186" i="3" l="1"/>
  <c r="W185" i="3"/>
  <c r="L185" i="3"/>
  <c r="U185" i="3" l="1"/>
  <c r="E186" i="3" s="1"/>
  <c r="H186" i="3" s="1"/>
  <c r="AH186" i="3"/>
  <c r="AG186" i="3"/>
  <c r="Y184" i="3"/>
  <c r="D186" i="3" l="1"/>
  <c r="G186" i="3" s="1"/>
  <c r="K186" i="3"/>
  <c r="A187" i="3" s="1"/>
  <c r="B187" i="3" s="1"/>
  <c r="AD187" i="3" l="1"/>
  <c r="AA187" i="3"/>
  <c r="AC187" i="3"/>
  <c r="P187" i="3"/>
  <c r="Q187" i="3" s="1"/>
  <c r="R187" i="3" s="1"/>
  <c r="S187" i="3" s="1"/>
  <c r="Z187" i="3"/>
  <c r="F186" i="3"/>
  <c r="V186" i="3"/>
  <c r="AE186" i="3"/>
  <c r="I186" i="3"/>
  <c r="J186" i="3"/>
  <c r="M186" i="3"/>
  <c r="N186" i="3" s="1"/>
  <c r="T187" i="3" l="1"/>
  <c r="L186" i="3"/>
  <c r="W186" i="3"/>
  <c r="AG187" i="3" l="1"/>
  <c r="AH187" i="3"/>
  <c r="U186" i="3"/>
  <c r="D187" i="3" s="1"/>
  <c r="Y185" i="3"/>
  <c r="G187" i="3" l="1"/>
  <c r="E187" i="3"/>
  <c r="H187" i="3" s="1"/>
  <c r="I187" i="3" l="1"/>
  <c r="J187" i="3"/>
  <c r="M187" i="3"/>
  <c r="N187" i="3" s="1"/>
  <c r="F187" i="3"/>
  <c r="K187" i="3"/>
  <c r="A188" i="3" s="1"/>
  <c r="B188" i="3" s="1"/>
  <c r="Z188" i="3" l="1"/>
  <c r="P188" i="3"/>
  <c r="Q188" i="3" s="1"/>
  <c r="R188" i="3" s="1"/>
  <c r="S188" i="3" s="1"/>
  <c r="AC188" i="3"/>
  <c r="AA188" i="3"/>
  <c r="AD188" i="3"/>
  <c r="L187" i="3"/>
  <c r="V187" i="3"/>
  <c r="W187" i="3" s="1"/>
  <c r="AE187" i="3"/>
  <c r="T188" i="3" l="1"/>
  <c r="AG188" i="3" s="1"/>
  <c r="U187" i="3"/>
  <c r="Y186" i="3"/>
  <c r="AH188" i="3" l="1"/>
  <c r="E188" i="3"/>
  <c r="H188" i="3" s="1"/>
  <c r="K188" i="3" s="1"/>
  <c r="A189" i="3" s="1"/>
  <c r="B189" i="3" s="1"/>
  <c r="D188" i="3"/>
  <c r="G188" i="3" s="1"/>
  <c r="Z189" i="3" l="1"/>
  <c r="AC189" i="3"/>
  <c r="AD189" i="3"/>
  <c r="P189" i="3"/>
  <c r="Q189" i="3" s="1"/>
  <c r="R189" i="3" s="1"/>
  <c r="S189" i="3" s="1"/>
  <c r="AA189" i="3"/>
  <c r="F188" i="3"/>
  <c r="I188" i="3"/>
  <c r="J188" i="3"/>
  <c r="M188" i="3"/>
  <c r="N188" i="3" s="1"/>
  <c r="V188" i="3"/>
  <c r="AE188" i="3"/>
  <c r="T189" i="3" l="1"/>
  <c r="W188" i="3"/>
  <c r="L188" i="3"/>
  <c r="U188" i="3" l="1"/>
  <c r="E189" i="3" s="1"/>
  <c r="H189" i="3" s="1"/>
  <c r="AH189" i="3"/>
  <c r="AG189" i="3"/>
  <c r="Y187" i="3"/>
  <c r="D189" i="3" l="1"/>
  <c r="G189" i="3" s="1"/>
  <c r="K189" i="3"/>
  <c r="A190" i="3" s="1"/>
  <c r="B190" i="3" s="1"/>
  <c r="AC190" i="3" l="1"/>
  <c r="Z190" i="3"/>
  <c r="AD190" i="3"/>
  <c r="AA190" i="3"/>
  <c r="P190" i="3"/>
  <c r="Q190" i="3" s="1"/>
  <c r="R190" i="3" s="1"/>
  <c r="S190" i="3" s="1"/>
  <c r="F189" i="3"/>
  <c r="I189" i="3"/>
  <c r="J189" i="3"/>
  <c r="M189" i="3"/>
  <c r="N189" i="3" s="1"/>
  <c r="V189" i="3"/>
  <c r="AE189" i="3"/>
  <c r="T190" i="3" l="1"/>
  <c r="W189" i="3"/>
  <c r="L189" i="3"/>
  <c r="AH190" i="3" l="1"/>
  <c r="U189" i="3"/>
  <c r="D190" i="3" s="1"/>
  <c r="AG190" i="3"/>
  <c r="Y188" i="3"/>
  <c r="G190" i="3" l="1"/>
  <c r="E190" i="3"/>
  <c r="H190" i="3" s="1"/>
  <c r="K190" i="3" l="1"/>
  <c r="A191" i="3" s="1"/>
  <c r="B191" i="3" s="1"/>
  <c r="I190" i="3"/>
  <c r="J190" i="3"/>
  <c r="M190" i="3"/>
  <c r="N190" i="3" s="1"/>
  <c r="F190" i="3"/>
  <c r="P191" i="3" l="1"/>
  <c r="Q191" i="3" s="1"/>
  <c r="R191" i="3" s="1"/>
  <c r="S191" i="3" s="1"/>
  <c r="AA191" i="3"/>
  <c r="AC191" i="3"/>
  <c r="AD191" i="3"/>
  <c r="Z191" i="3"/>
  <c r="L190" i="3"/>
  <c r="V190" i="3"/>
  <c r="W190" i="3" s="1"/>
  <c r="AE190" i="3"/>
  <c r="T191" i="3" l="1"/>
  <c r="AG191" i="3" s="1"/>
  <c r="U190" i="3"/>
  <c r="Y189" i="3"/>
  <c r="AH191" i="3" l="1"/>
  <c r="E191" i="3"/>
  <c r="H191" i="3" s="1"/>
  <c r="K191" i="3" s="1"/>
  <c r="A192" i="3" s="1"/>
  <c r="B192" i="3" s="1"/>
  <c r="D191" i="3"/>
  <c r="P192" i="3" l="1"/>
  <c r="Q192" i="3" s="1"/>
  <c r="R192" i="3" s="1"/>
  <c r="S192" i="3" s="1"/>
  <c r="Z192" i="3"/>
  <c r="AA192" i="3"/>
  <c r="AC192" i="3"/>
  <c r="V191" i="3"/>
  <c r="AE191" i="3"/>
  <c r="F191" i="3"/>
  <c r="G191" i="3"/>
  <c r="T192" i="3" l="1"/>
  <c r="I191" i="3"/>
  <c r="W191" i="3" s="1"/>
  <c r="J191" i="3"/>
  <c r="M191" i="3"/>
  <c r="N191" i="3" s="1"/>
  <c r="L191" i="3" l="1"/>
  <c r="AG192" i="3" l="1"/>
  <c r="U191" i="3"/>
  <c r="E192" i="3" s="1"/>
  <c r="H192" i="3" s="1"/>
  <c r="AH192" i="3"/>
  <c r="Y190" i="3"/>
  <c r="D192" i="3" l="1"/>
  <c r="G192" i="3" s="1"/>
  <c r="K192" i="3"/>
  <c r="A193" i="3" s="1"/>
  <c r="B193" i="3" s="1"/>
  <c r="AC193" i="3" l="1"/>
  <c r="AA193" i="3"/>
  <c r="AD193" i="3"/>
  <c r="P193" i="3"/>
  <c r="Q193" i="3" s="1"/>
  <c r="R193" i="3" s="1"/>
  <c r="S193" i="3" s="1"/>
  <c r="Z193" i="3"/>
  <c r="F192" i="3"/>
  <c r="I192" i="3"/>
  <c r="J192" i="3"/>
  <c r="AD192" i="3" s="1"/>
  <c r="M192" i="3"/>
  <c r="N192" i="3" s="1"/>
  <c r="V192" i="3"/>
  <c r="AE192" i="3"/>
  <c r="T193" i="3" l="1"/>
  <c r="W192" i="3"/>
  <c r="L192" i="3"/>
  <c r="U192" i="3" l="1"/>
  <c r="D193" i="3" s="1"/>
  <c r="AG193" i="3"/>
  <c r="AH193" i="3"/>
  <c r="Y191" i="3"/>
  <c r="G193" i="3" l="1"/>
  <c r="E193" i="3"/>
  <c r="H193" i="3" s="1"/>
  <c r="K193" i="3" l="1"/>
  <c r="A194" i="3" s="1"/>
  <c r="B194" i="3" s="1"/>
  <c r="I193" i="3"/>
  <c r="J193" i="3"/>
  <c r="M193" i="3"/>
  <c r="N193" i="3" s="1"/>
  <c r="F193" i="3"/>
  <c r="AD194" i="3" l="1"/>
  <c r="P194" i="3"/>
  <c r="Q194" i="3" s="1"/>
  <c r="R194" i="3" s="1"/>
  <c r="S194" i="3" s="1"/>
  <c r="AA194" i="3"/>
  <c r="AC194" i="3"/>
  <c r="Z194" i="3"/>
  <c r="L193" i="3"/>
  <c r="V193" i="3"/>
  <c r="W193" i="3" s="1"/>
  <c r="AE193" i="3"/>
  <c r="T194" i="3" l="1"/>
  <c r="AH194" i="3" s="1"/>
  <c r="U193" i="3"/>
  <c r="Y192" i="3"/>
  <c r="AG194" i="3" l="1"/>
  <c r="D194" i="3"/>
  <c r="G194" i="3" s="1"/>
  <c r="E194" i="3"/>
  <c r="H194" i="3" s="1"/>
  <c r="K194" i="3" s="1"/>
  <c r="A195" i="3" s="1"/>
  <c r="B195" i="3" s="1"/>
  <c r="P195" i="3" l="1"/>
  <c r="Q195" i="3" s="1"/>
  <c r="R195" i="3" s="1"/>
  <c r="S195" i="3" s="1"/>
  <c r="AD195" i="3"/>
  <c r="Z195" i="3"/>
  <c r="AA195" i="3"/>
  <c r="AC195" i="3"/>
  <c r="F194" i="3"/>
  <c r="V194" i="3"/>
  <c r="AE194" i="3"/>
  <c r="I194" i="3"/>
  <c r="J194" i="3"/>
  <c r="M194" i="3"/>
  <c r="N194" i="3" s="1"/>
  <c r="T195" i="3" l="1"/>
  <c r="W194" i="3"/>
  <c r="L194" i="3"/>
  <c r="U194" i="3" l="1"/>
  <c r="D195" i="3" s="1"/>
  <c r="AH195" i="3"/>
  <c r="AG195" i="3"/>
  <c r="Y193" i="3"/>
  <c r="E195" i="3" l="1"/>
  <c r="H195" i="3" s="1"/>
  <c r="K195" i="3" s="1"/>
  <c r="A196" i="3" s="1"/>
  <c r="B196" i="3" s="1"/>
  <c r="G195" i="3"/>
  <c r="P196" i="3" l="1"/>
  <c r="Q196" i="3" s="1"/>
  <c r="R196" i="3" s="1"/>
  <c r="S196" i="3" s="1"/>
  <c r="Z196" i="3"/>
  <c r="AC196" i="3"/>
  <c r="AD196" i="3"/>
  <c r="AA196" i="3"/>
  <c r="F195" i="3"/>
  <c r="V195" i="3"/>
  <c r="AE195" i="3"/>
  <c r="I195" i="3"/>
  <c r="J195" i="3"/>
  <c r="M195" i="3"/>
  <c r="N195" i="3" s="1"/>
  <c r="T196" i="3" l="1"/>
  <c r="W195" i="3"/>
  <c r="L195" i="3"/>
  <c r="AH196" i="3" l="1"/>
  <c r="U195" i="3"/>
  <c r="D196" i="3" s="1"/>
  <c r="AG196" i="3"/>
  <c r="Y194" i="3"/>
  <c r="E196" i="3" l="1"/>
  <c r="H196" i="3" s="1"/>
  <c r="K196" i="3" s="1"/>
  <c r="A197" i="3" s="1"/>
  <c r="B197" i="3" s="1"/>
  <c r="G196" i="3"/>
  <c r="AD197" i="3" l="1"/>
  <c r="AA197" i="3"/>
  <c r="Z197" i="3"/>
  <c r="AC197" i="3"/>
  <c r="P197" i="3"/>
  <c r="Q197" i="3" s="1"/>
  <c r="R197" i="3" s="1"/>
  <c r="S197" i="3" s="1"/>
  <c r="F196" i="3"/>
  <c r="I196" i="3"/>
  <c r="J196" i="3"/>
  <c r="M196" i="3"/>
  <c r="N196" i="3" s="1"/>
  <c r="V196" i="3"/>
  <c r="AE196" i="3"/>
  <c r="T197" i="3" l="1"/>
  <c r="L196" i="3"/>
  <c r="W196" i="3"/>
  <c r="U196" i="3" l="1"/>
  <c r="E197" i="3" s="1"/>
  <c r="H197" i="3" s="1"/>
  <c r="AG197" i="3"/>
  <c r="AH197" i="3"/>
  <c r="Y195" i="3"/>
  <c r="D197" i="3" l="1"/>
  <c r="G197" i="3" s="1"/>
  <c r="K197" i="3"/>
  <c r="A198" i="3" s="1"/>
  <c r="B198" i="3" s="1"/>
  <c r="P198" i="3" l="1"/>
  <c r="Q198" i="3" s="1"/>
  <c r="R198" i="3" s="1"/>
  <c r="S198" i="3" s="1"/>
  <c r="AA198" i="3"/>
  <c r="Z198" i="3"/>
  <c r="AC198" i="3"/>
  <c r="AD198" i="3"/>
  <c r="F197" i="3"/>
  <c r="I197" i="3"/>
  <c r="J197" i="3"/>
  <c r="M197" i="3"/>
  <c r="N197" i="3" s="1"/>
  <c r="V197" i="3"/>
  <c r="AE197" i="3"/>
  <c r="T198" i="3" l="1"/>
  <c r="W197" i="3"/>
  <c r="L197" i="3"/>
  <c r="AG198" i="3" l="1"/>
  <c r="AH198" i="3"/>
  <c r="U197" i="3"/>
  <c r="E198" i="3" s="1"/>
  <c r="H198" i="3" s="1"/>
  <c r="Y196" i="3"/>
  <c r="K198" i="3" l="1"/>
  <c r="A199" i="3" s="1"/>
  <c r="B199" i="3" s="1"/>
  <c r="D198" i="3"/>
  <c r="AD199" i="3" l="1"/>
  <c r="P199" i="3"/>
  <c r="Q199" i="3" s="1"/>
  <c r="R199" i="3" s="1"/>
  <c r="S199" i="3" s="1"/>
  <c r="AC199" i="3"/>
  <c r="AA199" i="3"/>
  <c r="Z199" i="3"/>
  <c r="V198" i="3"/>
  <c r="AE198" i="3"/>
  <c r="F198" i="3"/>
  <c r="G198" i="3"/>
  <c r="T199" i="3" l="1"/>
  <c r="I198" i="3"/>
  <c r="W198" i="3" s="1"/>
  <c r="J198" i="3"/>
  <c r="M198" i="3"/>
  <c r="N198" i="3" s="1"/>
  <c r="L198" i="3" l="1"/>
  <c r="AG199" i="3" l="1"/>
  <c r="U198" i="3"/>
  <c r="E199" i="3" s="1"/>
  <c r="H199" i="3" s="1"/>
  <c r="AH199" i="3"/>
  <c r="Y197" i="3"/>
  <c r="K199" i="3" l="1"/>
  <c r="A200" i="3" s="1"/>
  <c r="B200" i="3" s="1"/>
  <c r="D199" i="3"/>
  <c r="AA200" i="3" l="1"/>
  <c r="AC200" i="3"/>
  <c r="Z200" i="3"/>
  <c r="P200" i="3"/>
  <c r="Q200" i="3" s="1"/>
  <c r="R200" i="3" s="1"/>
  <c r="S200" i="3" s="1"/>
  <c r="AD200" i="3"/>
  <c r="V199" i="3"/>
  <c r="AE199" i="3"/>
  <c r="F199" i="3"/>
  <c r="G199" i="3"/>
  <c r="T200" i="3" l="1"/>
  <c r="I199" i="3"/>
  <c r="W199" i="3" s="1"/>
  <c r="J199" i="3"/>
  <c r="M199" i="3"/>
  <c r="N199" i="3" s="1"/>
  <c r="L199" i="3" l="1"/>
  <c r="AH200" i="3" l="1"/>
  <c r="AG200" i="3"/>
  <c r="U199" i="3"/>
  <c r="E200" i="3" s="1"/>
  <c r="H200" i="3" s="1"/>
  <c r="Y198" i="3"/>
  <c r="K200" i="3" l="1"/>
  <c r="A201" i="3" s="1"/>
  <c r="B201" i="3" s="1"/>
  <c r="D200" i="3"/>
  <c r="AC201" i="3" l="1"/>
  <c r="AD201" i="3"/>
  <c r="P201" i="3"/>
  <c r="Q201" i="3" s="1"/>
  <c r="R201" i="3" s="1"/>
  <c r="S201" i="3" s="1"/>
  <c r="AA201" i="3"/>
  <c r="Z201" i="3"/>
  <c r="V200" i="3"/>
  <c r="AE200" i="3"/>
  <c r="F200" i="3"/>
  <c r="G200" i="3"/>
  <c r="T201" i="3" l="1"/>
  <c r="I200" i="3"/>
  <c r="W200" i="3" s="1"/>
  <c r="J200" i="3"/>
  <c r="M200" i="3"/>
  <c r="N200" i="3" s="1"/>
  <c r="L200" i="3" l="1"/>
  <c r="AG201" i="3" l="1"/>
  <c r="U200" i="3"/>
  <c r="E201" i="3" s="1"/>
  <c r="H201" i="3" s="1"/>
  <c r="AH201" i="3"/>
  <c r="Y199" i="3"/>
  <c r="D201" i="3" l="1"/>
  <c r="G201" i="3" s="1"/>
  <c r="K201" i="3"/>
  <c r="A202" i="3" s="1"/>
  <c r="B202" i="3" s="1"/>
  <c r="AA202" i="3" l="1"/>
  <c r="AC202" i="3"/>
  <c r="Z202" i="3"/>
  <c r="P202" i="3"/>
  <c r="Q202" i="3" s="1"/>
  <c r="R202" i="3" s="1"/>
  <c r="S202" i="3" s="1"/>
  <c r="F201" i="3"/>
  <c r="I201" i="3"/>
  <c r="J201" i="3"/>
  <c r="M201" i="3"/>
  <c r="N201" i="3" s="1"/>
  <c r="V201" i="3"/>
  <c r="AE201" i="3"/>
  <c r="T202" i="3" l="1"/>
  <c r="W201" i="3"/>
  <c r="L201" i="3"/>
  <c r="U201" i="3" l="1"/>
  <c r="E202" i="3" s="1"/>
  <c r="H202" i="3" s="1"/>
  <c r="AG202" i="3"/>
  <c r="AH202" i="3"/>
  <c r="Y200" i="3"/>
  <c r="D202" i="3" l="1"/>
  <c r="G202" i="3" s="1"/>
  <c r="K202" i="3"/>
  <c r="A203" i="3" s="1"/>
  <c r="B203" i="3" s="1"/>
  <c r="Z203" i="3" l="1"/>
  <c r="P203" i="3"/>
  <c r="Q203" i="3" s="1"/>
  <c r="R203" i="3" s="1"/>
  <c r="S203" i="3" s="1"/>
  <c r="AD203" i="3"/>
  <c r="AC203" i="3"/>
  <c r="AA203" i="3"/>
  <c r="F202" i="3"/>
  <c r="V202" i="3"/>
  <c r="AE202" i="3"/>
  <c r="I202" i="3"/>
  <c r="J202" i="3"/>
  <c r="AD202" i="3" s="1"/>
  <c r="M202" i="3"/>
  <c r="N202" i="3" s="1"/>
  <c r="T203" i="3" l="1"/>
  <c r="W202" i="3"/>
  <c r="L202" i="3"/>
  <c r="U202" i="3" l="1"/>
  <c r="E203" i="3" s="1"/>
  <c r="H203" i="3" s="1"/>
  <c r="AH203" i="3"/>
  <c r="AG203" i="3"/>
  <c r="Y201" i="3"/>
  <c r="D203" i="3" l="1"/>
  <c r="G203" i="3" s="1"/>
  <c r="K203" i="3"/>
  <c r="A204" i="3" s="1"/>
  <c r="B204" i="3" s="1"/>
  <c r="Z204" i="3" l="1"/>
  <c r="AC204" i="3"/>
  <c r="AA204" i="3"/>
  <c r="P204" i="3"/>
  <c r="Q204" i="3" s="1"/>
  <c r="R204" i="3" s="1"/>
  <c r="S204" i="3" s="1"/>
  <c r="T204" i="3" s="1"/>
  <c r="F203" i="3"/>
  <c r="I203" i="3"/>
  <c r="J203" i="3"/>
  <c r="M203" i="3"/>
  <c r="N203" i="3" s="1"/>
  <c r="V203" i="3"/>
  <c r="AE203" i="3"/>
  <c r="W203" i="3" l="1"/>
  <c r="L203" i="3"/>
  <c r="U203" i="3" l="1"/>
  <c r="E204" i="3" s="1"/>
  <c r="H204" i="3" s="1"/>
  <c r="AH204" i="3"/>
  <c r="AG204" i="3"/>
  <c r="Y202" i="3"/>
  <c r="D204" i="3" l="1"/>
  <c r="G204" i="3" s="1"/>
  <c r="K204" i="3"/>
  <c r="F204" i="3" l="1"/>
  <c r="I204" i="3"/>
  <c r="J204" i="3"/>
  <c r="M204" i="3"/>
  <c r="N204" i="3" s="1"/>
  <c r="V204" i="3"/>
  <c r="A205" i="3"/>
  <c r="B205" i="3" s="1"/>
  <c r="AE204" i="3"/>
  <c r="W204" i="3" l="1"/>
  <c r="L204" i="3"/>
  <c r="AD204" i="3"/>
  <c r="AC205" i="3"/>
  <c r="P205" i="3"/>
  <c r="Q205" i="3" s="1"/>
  <c r="R205" i="3" s="1"/>
  <c r="S205" i="3" s="1"/>
  <c r="Z205" i="3"/>
  <c r="AA205" i="3"/>
  <c r="AD205" i="3"/>
  <c r="U204" i="3" l="1"/>
  <c r="Y203" i="3"/>
  <c r="T205" i="3"/>
  <c r="AH205" i="3" s="1"/>
  <c r="E205" i="3" l="1"/>
  <c r="H205" i="3" s="1"/>
  <c r="D205" i="3"/>
  <c r="AG205" i="3"/>
  <c r="K205" i="3" l="1"/>
  <c r="F205" i="3"/>
  <c r="G205" i="3"/>
  <c r="V205" i="3" l="1"/>
  <c r="A206" i="3"/>
  <c r="B206" i="3" s="1"/>
  <c r="AE205" i="3"/>
  <c r="I205" i="3"/>
  <c r="J205" i="3"/>
  <c r="M205" i="3"/>
  <c r="N205" i="3" s="1"/>
  <c r="W205" i="3" l="1"/>
  <c r="L205" i="3"/>
  <c r="AC206" i="3"/>
  <c r="P206" i="3"/>
  <c r="Q206" i="3" s="1"/>
  <c r="R206" i="3" s="1"/>
  <c r="S206" i="3" s="1"/>
  <c r="Z206" i="3"/>
  <c r="AA206" i="3"/>
  <c r="AD206" i="3"/>
  <c r="T206" i="3" l="1"/>
  <c r="AH206" i="3" s="1"/>
  <c r="U205" i="3"/>
  <c r="Y204" i="3"/>
  <c r="AG206" i="3" l="1"/>
  <c r="D206" i="3"/>
  <c r="E206" i="3"/>
  <c r="H206" i="3" s="1"/>
  <c r="F206" i="3" l="1"/>
  <c r="G206" i="3"/>
  <c r="K206" i="3"/>
  <c r="I206" i="3" l="1"/>
  <c r="J206" i="3"/>
  <c r="M206" i="3"/>
  <c r="N206" i="3" s="1"/>
  <c r="V206" i="3"/>
  <c r="A207" i="3"/>
  <c r="B207" i="3" s="1"/>
  <c r="AE206" i="3"/>
  <c r="W206" i="3" l="1"/>
  <c r="L206" i="3"/>
  <c r="P207" i="3"/>
  <c r="Q207" i="3" s="1"/>
  <c r="R207" i="3" s="1"/>
  <c r="S207" i="3" s="1"/>
  <c r="AC207" i="3"/>
  <c r="Z207" i="3"/>
  <c r="AA207" i="3"/>
  <c r="T207" i="3" l="1"/>
  <c r="U206" i="3"/>
  <c r="Y205" i="3"/>
  <c r="D207" i="3" l="1"/>
  <c r="G207" i="3" s="1"/>
  <c r="AH207" i="3"/>
  <c r="E207" i="3"/>
  <c r="H207" i="3" s="1"/>
  <c r="AG207" i="3"/>
  <c r="F207" i="3" l="1"/>
  <c r="I207" i="3"/>
  <c r="J207" i="3"/>
  <c r="AD207" i="3" s="1"/>
  <c r="M207" i="3"/>
  <c r="N207" i="3" s="1"/>
  <c r="K207" i="3"/>
  <c r="V207" i="3" l="1"/>
  <c r="W207" i="3" s="1"/>
  <c r="AE207" i="3"/>
  <c r="A208" i="3"/>
  <c r="B208" i="3" s="1"/>
  <c r="L207" i="3"/>
  <c r="Z208" i="3" l="1"/>
  <c r="AC208" i="3"/>
  <c r="AA208" i="3"/>
  <c r="P208" i="3"/>
  <c r="Q208" i="3" s="1"/>
  <c r="R208" i="3" s="1"/>
  <c r="S208" i="3" s="1"/>
  <c r="U207" i="3"/>
  <c r="Y206" i="3"/>
  <c r="T208" i="3" l="1"/>
  <c r="AG208" i="3" s="1"/>
  <c r="AH208" i="3" l="1"/>
  <c r="D208" i="3"/>
  <c r="G208" i="3" s="1"/>
  <c r="E208" i="3"/>
  <c r="H208" i="3" s="1"/>
  <c r="K208" i="3" s="1"/>
  <c r="F208" i="3" l="1"/>
  <c r="I208" i="3"/>
  <c r="J208" i="3"/>
  <c r="AD208" i="3" s="1"/>
  <c r="M208" i="3"/>
  <c r="N208" i="3" s="1"/>
  <c r="V208" i="3"/>
  <c r="A209" i="3"/>
  <c r="B209" i="3" s="1"/>
  <c r="AE208" i="3"/>
  <c r="W208" i="3" l="1"/>
  <c r="L208" i="3"/>
  <c r="P209" i="3"/>
  <c r="Q209" i="3" s="1"/>
  <c r="R209" i="3" s="1"/>
  <c r="S209" i="3" s="1"/>
  <c r="AC209" i="3"/>
  <c r="AD209" i="3"/>
  <c r="AA209" i="3"/>
  <c r="Z209" i="3"/>
  <c r="U208" i="3" l="1"/>
  <c r="Y207" i="3"/>
  <c r="T209" i="3"/>
  <c r="AH209" i="3" s="1"/>
  <c r="AG209" i="3" l="1"/>
  <c r="D209" i="3"/>
  <c r="G209" i="3" s="1"/>
  <c r="E209" i="3"/>
  <c r="H209" i="3" s="1"/>
  <c r="F209" i="3" l="1"/>
  <c r="K209" i="3"/>
  <c r="I209" i="3"/>
  <c r="J209" i="3"/>
  <c r="M209" i="3"/>
  <c r="N209" i="3" s="1"/>
  <c r="L209" i="3" l="1"/>
  <c r="V209" i="3"/>
  <c r="W209" i="3" s="1"/>
  <c r="A210" i="3"/>
  <c r="B210" i="3" s="1"/>
  <c r="AE209" i="3"/>
  <c r="AC210" i="3" l="1"/>
  <c r="Z210" i="3"/>
  <c r="P210" i="3"/>
  <c r="Q210" i="3" s="1"/>
  <c r="R210" i="3" s="1"/>
  <c r="S210" i="3" s="1"/>
  <c r="AA210" i="3"/>
  <c r="AD210" i="3"/>
  <c r="U209" i="3"/>
  <c r="Y208" i="3"/>
  <c r="T210" i="3" l="1"/>
  <c r="AG210" i="3" s="1"/>
  <c r="AH210" i="3" l="1"/>
  <c r="D210" i="3"/>
  <c r="E210" i="3"/>
  <c r="H210" i="3" s="1"/>
  <c r="F210" i="3" l="1"/>
  <c r="G210" i="3"/>
  <c r="K210" i="3"/>
  <c r="V210" i="3" l="1"/>
  <c r="AE210" i="3"/>
  <c r="A211" i="3"/>
  <c r="B211" i="3" s="1"/>
  <c r="I210" i="3"/>
  <c r="J210" i="3"/>
  <c r="M210" i="3"/>
  <c r="N210" i="3" s="1"/>
  <c r="W210" i="3" l="1"/>
  <c r="AC211" i="3"/>
  <c r="Z211" i="3"/>
  <c r="P211" i="3"/>
  <c r="Q211" i="3" s="1"/>
  <c r="R211" i="3" s="1"/>
  <c r="S211" i="3" s="1"/>
  <c r="AA211" i="3"/>
  <c r="AD211" i="3"/>
  <c r="L210" i="3"/>
  <c r="T211" i="3" l="1"/>
  <c r="AG211" i="3" s="1"/>
  <c r="U210" i="3"/>
  <c r="Y209" i="3"/>
  <c r="E211" i="3" l="1"/>
  <c r="H211" i="3" s="1"/>
  <c r="D211" i="3"/>
  <c r="AH211" i="3"/>
  <c r="K211" i="3" l="1"/>
  <c r="F211" i="3"/>
  <c r="G211" i="3"/>
  <c r="I211" i="3" l="1"/>
  <c r="J211" i="3"/>
  <c r="M211" i="3"/>
  <c r="N211" i="3" s="1"/>
  <c r="V211" i="3"/>
  <c r="AE211" i="3"/>
  <c r="A212" i="3"/>
  <c r="B212" i="3" s="1"/>
  <c r="W211" i="3" l="1"/>
  <c r="AA212" i="3"/>
  <c r="Z212" i="3"/>
  <c r="P212" i="3"/>
  <c r="Q212" i="3" s="1"/>
  <c r="R212" i="3" s="1"/>
  <c r="S212" i="3" s="1"/>
  <c r="AC212" i="3"/>
  <c r="L211" i="3"/>
  <c r="U211" i="3" l="1"/>
  <c r="Y210" i="3"/>
  <c r="T212" i="3"/>
  <c r="E212" i="3" l="1"/>
  <c r="H212" i="3" s="1"/>
  <c r="K212" i="3" s="1"/>
  <c r="AH212" i="3"/>
  <c r="AG212" i="3"/>
  <c r="D212" i="3"/>
  <c r="F212" i="3" l="1"/>
  <c r="G212" i="3"/>
  <c r="V212" i="3"/>
  <c r="A213" i="3"/>
  <c r="B213" i="3" s="1"/>
  <c r="AE212" i="3"/>
  <c r="AD213" i="3" l="1"/>
  <c r="AC213" i="3"/>
  <c r="P213" i="3"/>
  <c r="Q213" i="3" s="1"/>
  <c r="R213" i="3" s="1"/>
  <c r="S213" i="3" s="1"/>
  <c r="AA213" i="3"/>
  <c r="Z213" i="3"/>
  <c r="I212" i="3"/>
  <c r="W212" i="3" s="1"/>
  <c r="J212" i="3"/>
  <c r="AD212" i="3" s="1"/>
  <c r="M212" i="3"/>
  <c r="N212" i="3" s="1"/>
  <c r="T213" i="3" l="1"/>
  <c r="L212" i="3"/>
  <c r="U212" i="3" l="1"/>
  <c r="E213" i="3" s="1"/>
  <c r="H213" i="3" s="1"/>
  <c r="AH213" i="3"/>
  <c r="AG213" i="3"/>
  <c r="Y211" i="3"/>
  <c r="D213" i="3" l="1"/>
  <c r="G213" i="3" s="1"/>
  <c r="K213" i="3"/>
  <c r="F213" i="3" l="1"/>
  <c r="I213" i="3"/>
  <c r="J213" i="3"/>
  <c r="M213" i="3"/>
  <c r="N213" i="3" s="1"/>
  <c r="V213" i="3"/>
  <c r="A214" i="3"/>
  <c r="B214" i="3" s="1"/>
  <c r="AE213" i="3"/>
  <c r="W213" i="3" l="1"/>
  <c r="L213" i="3"/>
  <c r="P214" i="3"/>
  <c r="Q214" i="3" s="1"/>
  <c r="R214" i="3" s="1"/>
  <c r="S214" i="3" s="1"/>
  <c r="AC214" i="3"/>
  <c r="AA214" i="3"/>
  <c r="Z214" i="3"/>
  <c r="U213" i="3" l="1"/>
  <c r="Y212" i="3"/>
  <c r="T214" i="3"/>
  <c r="D214" i="3" l="1"/>
  <c r="G214" i="3" s="1"/>
  <c r="E214" i="3"/>
  <c r="H214" i="3" s="1"/>
  <c r="AG214" i="3"/>
  <c r="AH214" i="3"/>
  <c r="F214" i="3" l="1"/>
  <c r="I214" i="3"/>
  <c r="J214" i="3"/>
  <c r="M214" i="3"/>
  <c r="N214" i="3" s="1"/>
  <c r="K214" i="3"/>
  <c r="AE214" i="3" s="1"/>
  <c r="V214" i="3" l="1"/>
  <c r="W214" i="3" s="1"/>
  <c r="A215" i="3"/>
  <c r="B215" i="3" s="1"/>
  <c r="L214" i="3"/>
  <c r="AD214" i="3"/>
  <c r="U214" i="3" l="1"/>
  <c r="Y213" i="3"/>
  <c r="AC215" i="3"/>
  <c r="AD215" i="3"/>
  <c r="Z215" i="3"/>
  <c r="P215" i="3"/>
  <c r="Q215" i="3" s="1"/>
  <c r="R215" i="3" s="1"/>
  <c r="S215" i="3" s="1"/>
  <c r="AA215" i="3"/>
  <c r="T215" i="3" l="1"/>
  <c r="AH215" i="3" s="1"/>
  <c r="D215" i="3" l="1"/>
  <c r="G215" i="3" s="1"/>
  <c r="E215" i="3"/>
  <c r="H215" i="3" s="1"/>
  <c r="K215" i="3" s="1"/>
  <c r="AE215" i="3" s="1"/>
  <c r="AG215" i="3"/>
  <c r="F215" i="3" l="1"/>
  <c r="V215" i="3"/>
  <c r="A216" i="3"/>
  <c r="B216" i="3" s="1"/>
  <c r="I215" i="3"/>
  <c r="J215" i="3"/>
  <c r="M215" i="3"/>
  <c r="N215" i="3" s="1"/>
  <c r="W215" i="3" l="1"/>
  <c r="L215" i="3"/>
  <c r="P216" i="3"/>
  <c r="Q216" i="3" s="1"/>
  <c r="R216" i="3" s="1"/>
  <c r="S216" i="3" s="1"/>
  <c r="Z216" i="3"/>
  <c r="AC216" i="3"/>
  <c r="AD216" i="3"/>
  <c r="AA216" i="3"/>
  <c r="U215" i="3" l="1"/>
  <c r="Y214" i="3"/>
  <c r="T216" i="3"/>
  <c r="AH216" i="3" s="1"/>
  <c r="D216" i="3" l="1"/>
  <c r="G216" i="3" s="1"/>
  <c r="AG216" i="3"/>
  <c r="E216" i="3"/>
  <c r="H216" i="3" s="1"/>
  <c r="K216" i="3" l="1"/>
  <c r="AE216" i="3" s="1"/>
  <c r="I216" i="3"/>
  <c r="J216" i="3"/>
  <c r="M216" i="3"/>
  <c r="N216" i="3" s="1"/>
  <c r="F216" i="3"/>
  <c r="V216" i="3" l="1"/>
  <c r="W216" i="3" s="1"/>
  <c r="A217" i="3"/>
  <c r="B217" i="3" s="1"/>
  <c r="L216" i="3"/>
  <c r="U216" i="3" l="1"/>
  <c r="Y215" i="3"/>
  <c r="P217" i="3"/>
  <c r="Q217" i="3" s="1"/>
  <c r="R217" i="3" s="1"/>
  <c r="S217" i="3" s="1"/>
  <c r="AC217" i="3"/>
  <c r="AA217" i="3"/>
  <c r="Z217" i="3"/>
  <c r="T217" i="3" l="1"/>
  <c r="D217" i="3" s="1"/>
  <c r="G217" i="3" l="1"/>
  <c r="AG217" i="3"/>
  <c r="AH217" i="3"/>
  <c r="E217" i="3"/>
  <c r="H217" i="3" s="1"/>
  <c r="I217" i="3" l="1"/>
  <c r="J217" i="3"/>
  <c r="AD217" i="3" s="1"/>
  <c r="M217" i="3"/>
  <c r="N217" i="3" s="1"/>
  <c r="K217" i="3"/>
  <c r="AE217" i="3" s="1"/>
  <c r="F217" i="3"/>
  <c r="V217" i="3" l="1"/>
  <c r="W217" i="3" s="1"/>
  <c r="A218" i="3"/>
  <c r="B218" i="3" s="1"/>
  <c r="L217" i="3"/>
  <c r="U217" i="3" l="1"/>
  <c r="Y216" i="3"/>
  <c r="AC218" i="3"/>
  <c r="AA218" i="3"/>
  <c r="Z218" i="3"/>
  <c r="P218" i="3"/>
  <c r="Q218" i="3" s="1"/>
  <c r="R218" i="3" s="1"/>
  <c r="S218" i="3" s="1"/>
  <c r="T218" i="3" l="1"/>
  <c r="AG218" i="3" s="1"/>
  <c r="AH218" i="3" l="1"/>
  <c r="E218" i="3"/>
  <c r="H218" i="3" s="1"/>
  <c r="K218" i="3" s="1"/>
  <c r="AE218" i="3" s="1"/>
  <c r="D218" i="3"/>
  <c r="G218" i="3" s="1"/>
  <c r="F218" i="3" l="1"/>
  <c r="I218" i="3"/>
  <c r="J218" i="3"/>
  <c r="AD218" i="3" s="1"/>
  <c r="M218" i="3"/>
  <c r="N218" i="3" s="1"/>
  <c r="V218" i="3"/>
  <c r="A219" i="3"/>
  <c r="B219" i="3" s="1"/>
  <c r="W218" i="3" l="1"/>
  <c r="L218" i="3"/>
  <c r="P219" i="3"/>
  <c r="Q219" i="3" s="1"/>
  <c r="R219" i="3" s="1"/>
  <c r="S219" i="3" s="1"/>
  <c r="AD219" i="3"/>
  <c r="AC219" i="3"/>
  <c r="AA219" i="3"/>
  <c r="Z219" i="3"/>
  <c r="U218" i="3" l="1"/>
  <c r="Y217" i="3"/>
  <c r="T219" i="3"/>
  <c r="AG219" i="3" s="1"/>
  <c r="D219" i="3" l="1"/>
  <c r="E219" i="3"/>
  <c r="H219" i="3" s="1"/>
  <c r="AH219" i="3"/>
  <c r="F219" i="3" l="1"/>
  <c r="G219" i="3"/>
  <c r="K219" i="3"/>
  <c r="AE219" i="3" s="1"/>
  <c r="I219" i="3" l="1"/>
  <c r="J219" i="3"/>
  <c r="M219" i="3"/>
  <c r="N219" i="3" s="1"/>
  <c r="V219" i="3"/>
  <c r="A220" i="3"/>
  <c r="B220" i="3" s="1"/>
  <c r="W219" i="3" l="1"/>
  <c r="L219" i="3"/>
  <c r="AC220" i="3"/>
  <c r="AD220" i="3"/>
  <c r="Z220" i="3"/>
  <c r="P220" i="3"/>
  <c r="Q220" i="3" s="1"/>
  <c r="R220" i="3" s="1"/>
  <c r="S220" i="3" s="1"/>
  <c r="AA220" i="3"/>
  <c r="U219" i="3" l="1"/>
  <c r="Y218" i="3"/>
  <c r="T220" i="3"/>
  <c r="E220" i="3" l="1"/>
  <c r="H220" i="3" s="1"/>
  <c r="K220" i="3" s="1"/>
  <c r="AE220" i="3" s="1"/>
  <c r="D220" i="3"/>
  <c r="G220" i="3" s="1"/>
  <c r="AG220" i="3"/>
  <c r="AH220" i="3"/>
  <c r="F220" i="3" l="1"/>
  <c r="I220" i="3"/>
  <c r="J220" i="3"/>
  <c r="M220" i="3"/>
  <c r="N220" i="3" s="1"/>
  <c r="V220" i="3"/>
  <c r="A221" i="3"/>
  <c r="B221" i="3" s="1"/>
  <c r="W220" i="3" l="1"/>
  <c r="L220" i="3"/>
  <c r="AA221" i="3"/>
  <c r="AC221" i="3"/>
  <c r="AD221" i="3"/>
  <c r="P221" i="3"/>
  <c r="Q221" i="3" s="1"/>
  <c r="R221" i="3" s="1"/>
  <c r="S221" i="3" s="1"/>
  <c r="Z221" i="3"/>
  <c r="T221" i="3" l="1"/>
  <c r="U220" i="3"/>
  <c r="Y219" i="3"/>
  <c r="D221" i="3" l="1"/>
  <c r="G221" i="3" s="1"/>
  <c r="AH221" i="3"/>
  <c r="AG221" i="3"/>
  <c r="E221" i="3"/>
  <c r="H221" i="3" s="1"/>
  <c r="K221" i="3" l="1"/>
  <c r="AE221" i="3" s="1"/>
  <c r="I221" i="3"/>
  <c r="J221" i="3"/>
  <c r="M221" i="3"/>
  <c r="N221" i="3" s="1"/>
  <c r="F221" i="3"/>
  <c r="L221" i="3" l="1"/>
  <c r="V221" i="3"/>
  <c r="W221" i="3" s="1"/>
  <c r="A222" i="3"/>
  <c r="B222" i="3" s="1"/>
  <c r="P222" i="3" l="1"/>
  <c r="Q222" i="3" s="1"/>
  <c r="R222" i="3" s="1"/>
  <c r="S222" i="3" s="1"/>
  <c r="AC222" i="3"/>
  <c r="Z222" i="3"/>
  <c r="AA222" i="3"/>
  <c r="U221" i="3"/>
  <c r="Y220" i="3"/>
  <c r="T222" i="3" l="1"/>
  <c r="AH222" i="3" s="1"/>
  <c r="E222" i="3" l="1"/>
  <c r="H222" i="3" s="1"/>
  <c r="AG222" i="3"/>
  <c r="D222" i="3"/>
  <c r="F222" i="3" l="1"/>
  <c r="G222" i="3"/>
  <c r="K222" i="3"/>
  <c r="AE222" i="3" s="1"/>
  <c r="I222" i="3" l="1"/>
  <c r="J222" i="3"/>
  <c r="AD222" i="3" s="1"/>
  <c r="M222" i="3"/>
  <c r="N222" i="3" s="1"/>
  <c r="V222" i="3"/>
  <c r="A223" i="3"/>
  <c r="B223" i="3" s="1"/>
  <c r="W222" i="3" l="1"/>
  <c r="L222" i="3"/>
  <c r="P223" i="3"/>
  <c r="Q223" i="3" s="1"/>
  <c r="R223" i="3" s="1"/>
  <c r="S223" i="3" s="1"/>
  <c r="Z223" i="3"/>
  <c r="AC223" i="3"/>
  <c r="AD223" i="3"/>
  <c r="AA223" i="3"/>
  <c r="U222" i="3" l="1"/>
  <c r="Y221" i="3"/>
  <c r="T223" i="3"/>
  <c r="D223" i="3" l="1"/>
  <c r="G223" i="3" s="1"/>
  <c r="AG223" i="3"/>
  <c r="AH223" i="3"/>
  <c r="E223" i="3"/>
  <c r="H223" i="3" s="1"/>
  <c r="K223" i="3" s="1"/>
  <c r="AE223" i="3" s="1"/>
  <c r="F223" i="3" l="1"/>
  <c r="I223" i="3"/>
  <c r="J223" i="3"/>
  <c r="M223" i="3"/>
  <c r="N223" i="3" s="1"/>
  <c r="V223" i="3"/>
  <c r="A224" i="3"/>
  <c r="B224" i="3" s="1"/>
  <c r="W223" i="3" l="1"/>
  <c r="L223" i="3"/>
  <c r="Z224" i="3"/>
  <c r="P224" i="3"/>
  <c r="Q224" i="3" s="1"/>
  <c r="R224" i="3" s="1"/>
  <c r="S224" i="3" s="1"/>
  <c r="AC224" i="3"/>
  <c r="AA224" i="3"/>
  <c r="U223" i="3" l="1"/>
  <c r="Y222" i="3"/>
  <c r="T224" i="3"/>
  <c r="D224" i="3" l="1"/>
  <c r="G224" i="3" s="1"/>
  <c r="AG224" i="3"/>
  <c r="AH224" i="3"/>
  <c r="E224" i="3"/>
  <c r="H224" i="3" s="1"/>
  <c r="K224" i="3" s="1"/>
  <c r="AE224" i="3" s="1"/>
  <c r="F224" i="3" l="1"/>
  <c r="I224" i="3"/>
  <c r="J224" i="3"/>
  <c r="M224" i="3"/>
  <c r="N224" i="3" s="1"/>
  <c r="V224" i="3"/>
  <c r="A225" i="3"/>
  <c r="B225" i="3" s="1"/>
  <c r="W224" i="3" l="1"/>
  <c r="L224" i="3"/>
  <c r="AD224" i="3"/>
  <c r="AC225" i="3"/>
  <c r="P225" i="3"/>
  <c r="Q225" i="3" s="1"/>
  <c r="R225" i="3" s="1"/>
  <c r="S225" i="3" s="1"/>
  <c r="AA225" i="3"/>
  <c r="Z225" i="3"/>
  <c r="U224" i="3" l="1"/>
  <c r="Y223" i="3"/>
  <c r="T225" i="3"/>
  <c r="AG225" i="3" s="1"/>
  <c r="AH225" i="3" l="1"/>
  <c r="E225" i="3"/>
  <c r="H225" i="3" s="1"/>
  <c r="D225" i="3"/>
  <c r="K225" i="3" l="1"/>
  <c r="AE225" i="3" s="1"/>
  <c r="F225" i="3"/>
  <c r="G225" i="3"/>
  <c r="I225" i="3" l="1"/>
  <c r="J225" i="3"/>
  <c r="AD225" i="3" s="1"/>
  <c r="M225" i="3"/>
  <c r="N225" i="3" s="1"/>
  <c r="V225" i="3"/>
  <c r="A226" i="3"/>
  <c r="B226" i="3" s="1"/>
  <c r="W225" i="3" l="1"/>
  <c r="L225" i="3"/>
  <c r="Z226" i="3"/>
  <c r="AA226" i="3"/>
  <c r="P226" i="3"/>
  <c r="Q226" i="3" s="1"/>
  <c r="R226" i="3" s="1"/>
  <c r="S226" i="3" s="1"/>
  <c r="AC226" i="3"/>
  <c r="U225" i="3" l="1"/>
  <c r="Y224" i="3"/>
  <c r="T226" i="3"/>
  <c r="D226" i="3" l="1"/>
  <c r="G226" i="3" s="1"/>
  <c r="AH226" i="3"/>
  <c r="AG226" i="3"/>
  <c r="E226" i="3"/>
  <c r="H226" i="3" s="1"/>
  <c r="F226" i="3" l="1"/>
  <c r="I226" i="3"/>
  <c r="J226" i="3"/>
  <c r="AD226" i="3" s="1"/>
  <c r="M226" i="3"/>
  <c r="N226" i="3" s="1"/>
  <c r="K226" i="3"/>
  <c r="AE226" i="3" s="1"/>
  <c r="V226" i="3" l="1"/>
  <c r="W226" i="3" s="1"/>
  <c r="A227" i="3"/>
  <c r="B227" i="3" s="1"/>
  <c r="L226" i="3"/>
  <c r="U226" i="3" l="1"/>
  <c r="Y225" i="3"/>
  <c r="P227" i="3"/>
  <c r="Q227" i="3" s="1"/>
  <c r="R227" i="3" s="1"/>
  <c r="S227" i="3" s="1"/>
  <c r="AA227" i="3"/>
  <c r="Z227" i="3"/>
  <c r="AC227" i="3"/>
  <c r="T227" i="3" l="1"/>
  <c r="D227" i="3" s="1"/>
  <c r="E227" i="3" l="1"/>
  <c r="H227" i="3" s="1"/>
  <c r="K227" i="3" s="1"/>
  <c r="AE227" i="3" s="1"/>
  <c r="AH227" i="3"/>
  <c r="AG227" i="3"/>
  <c r="G227" i="3"/>
  <c r="F227" i="3" l="1"/>
  <c r="V227" i="3"/>
  <c r="A228" i="3"/>
  <c r="B228" i="3" s="1"/>
  <c r="I227" i="3"/>
  <c r="J227" i="3"/>
  <c r="AD227" i="3" s="1"/>
  <c r="M227" i="3"/>
  <c r="N227" i="3" s="1"/>
  <c r="L227" i="3" l="1"/>
  <c r="W227" i="3"/>
  <c r="AA228" i="3"/>
  <c r="Z228" i="3"/>
  <c r="P228" i="3"/>
  <c r="Q228" i="3" s="1"/>
  <c r="R228" i="3" s="1"/>
  <c r="S228" i="3" s="1"/>
  <c r="AC228" i="3"/>
  <c r="T228" i="3" l="1"/>
  <c r="AG228" i="3" s="1"/>
  <c r="U227" i="3"/>
  <c r="Y226" i="3"/>
  <c r="AH228" i="3" l="1"/>
  <c r="E228" i="3"/>
  <c r="H228" i="3" s="1"/>
  <c r="D228" i="3"/>
  <c r="K228" i="3" l="1"/>
  <c r="AE228" i="3" s="1"/>
  <c r="F228" i="3"/>
  <c r="G228" i="3"/>
  <c r="V228" i="3" l="1"/>
  <c r="A229" i="3"/>
  <c r="B229" i="3" s="1"/>
  <c r="I228" i="3"/>
  <c r="J228" i="3"/>
  <c r="AD228" i="3" s="1"/>
  <c r="M228" i="3"/>
  <c r="N228" i="3" s="1"/>
  <c r="W228" i="3" l="1"/>
  <c r="L228" i="3"/>
  <c r="AA229" i="3"/>
  <c r="AC229" i="3"/>
  <c r="P229" i="3"/>
  <c r="Q229" i="3" s="1"/>
  <c r="R229" i="3" s="1"/>
  <c r="S229" i="3" s="1"/>
  <c r="Z229" i="3"/>
  <c r="U228" i="3" l="1"/>
  <c r="Y227" i="3"/>
  <c r="T229" i="3"/>
  <c r="AH229" i="3" s="1"/>
  <c r="D229" i="3" l="1"/>
  <c r="E229" i="3"/>
  <c r="H229" i="3" s="1"/>
  <c r="AG229" i="3"/>
  <c r="K229" i="3" l="1"/>
  <c r="AE229" i="3" s="1"/>
  <c r="F229" i="3"/>
  <c r="G229" i="3"/>
  <c r="V229" i="3" l="1"/>
  <c r="A230" i="3"/>
  <c r="B230" i="3" s="1"/>
  <c r="I229" i="3"/>
  <c r="J229" i="3"/>
  <c r="AD229" i="3" s="1"/>
  <c r="M229" i="3"/>
  <c r="N229" i="3" s="1"/>
  <c r="L229" i="3" l="1"/>
  <c r="W229" i="3"/>
  <c r="P230" i="3"/>
  <c r="Q230" i="3" s="1"/>
  <c r="R230" i="3" s="1"/>
  <c r="S230" i="3" s="1"/>
  <c r="AA230" i="3"/>
  <c r="AC230" i="3"/>
  <c r="Z230" i="3"/>
  <c r="U229" i="3" l="1"/>
  <c r="Y228" i="3"/>
  <c r="T230" i="3"/>
  <c r="AH230" i="3" s="1"/>
  <c r="AG230" i="3" l="1"/>
  <c r="D230" i="3"/>
  <c r="E230" i="3"/>
  <c r="H230" i="3" s="1"/>
  <c r="K230" i="3" l="1"/>
  <c r="AE230" i="3" s="1"/>
  <c r="F230" i="3"/>
  <c r="G230" i="3"/>
  <c r="I230" i="3" l="1"/>
  <c r="J230" i="3"/>
  <c r="AD230" i="3" s="1"/>
  <c r="M230" i="3"/>
  <c r="N230" i="3" s="1"/>
  <c r="V230" i="3"/>
  <c r="A231" i="3"/>
  <c r="B231" i="3" s="1"/>
  <c r="W230" i="3" l="1"/>
  <c r="L230" i="3"/>
  <c r="P231" i="3"/>
  <c r="Q231" i="3" s="1"/>
  <c r="R231" i="3" s="1"/>
  <c r="S231" i="3" s="1"/>
  <c r="AA231" i="3"/>
  <c r="Z231" i="3"/>
  <c r="AC231" i="3"/>
  <c r="T231" i="3" l="1"/>
  <c r="U230" i="3"/>
  <c r="Y229" i="3"/>
  <c r="D231" i="3" l="1"/>
  <c r="G231" i="3" s="1"/>
  <c r="E231" i="3"/>
  <c r="H231" i="3" s="1"/>
  <c r="K231" i="3" s="1"/>
  <c r="AE231" i="3" s="1"/>
  <c r="AG231" i="3"/>
  <c r="AH231" i="3"/>
  <c r="F231" i="3" l="1"/>
  <c r="V231" i="3"/>
  <c r="A232" i="3"/>
  <c r="B232" i="3" s="1"/>
  <c r="I231" i="3"/>
  <c r="J231" i="3"/>
  <c r="AD231" i="3" s="1"/>
  <c r="M231" i="3"/>
  <c r="N231" i="3" s="1"/>
  <c r="L231" i="3" l="1"/>
  <c r="W231" i="3"/>
  <c r="P232" i="3"/>
  <c r="Q232" i="3" s="1"/>
  <c r="R232" i="3" s="1"/>
  <c r="S232" i="3" s="1"/>
  <c r="Z232" i="3"/>
  <c r="AA232" i="3"/>
  <c r="AC232" i="3"/>
  <c r="U231" i="3" l="1"/>
  <c r="Y230" i="3"/>
  <c r="T232" i="3"/>
  <c r="D232" i="3" l="1"/>
  <c r="G232" i="3" s="1"/>
  <c r="AG232" i="3"/>
  <c r="E232" i="3"/>
  <c r="H232" i="3" s="1"/>
  <c r="AH232" i="3"/>
  <c r="F232" i="3" l="1"/>
  <c r="I232" i="3"/>
  <c r="J232" i="3"/>
  <c r="AD232" i="3" s="1"/>
  <c r="M232" i="3"/>
  <c r="N232" i="3" s="1"/>
  <c r="K232" i="3"/>
  <c r="AE232" i="3" s="1"/>
  <c r="V232" i="3" l="1"/>
  <c r="W232" i="3" s="1"/>
  <c r="A233" i="3"/>
  <c r="B233" i="3" s="1"/>
  <c r="L232" i="3"/>
  <c r="U232" i="3" l="1"/>
  <c r="Y231" i="3"/>
  <c r="AA233" i="3"/>
  <c r="AC233" i="3"/>
  <c r="P233" i="3"/>
  <c r="Q233" i="3" s="1"/>
  <c r="R233" i="3" s="1"/>
  <c r="S233" i="3" s="1"/>
  <c r="Z233" i="3"/>
  <c r="T233" i="3" l="1"/>
  <c r="D233" i="3" s="1"/>
  <c r="AG233" i="3" l="1"/>
  <c r="AH233" i="3"/>
  <c r="E233" i="3"/>
  <c r="H233" i="3" s="1"/>
  <c r="K233" i="3" s="1"/>
  <c r="AE233" i="3" s="1"/>
  <c r="G233" i="3"/>
  <c r="F233" i="3" l="1"/>
  <c r="I233" i="3"/>
  <c r="J233" i="3"/>
  <c r="AD233" i="3" s="1"/>
  <c r="M233" i="3"/>
  <c r="N233" i="3" s="1"/>
  <c r="V233" i="3"/>
  <c r="A234" i="3"/>
  <c r="B234" i="3" s="1"/>
  <c r="W233" i="3" l="1"/>
  <c r="L233" i="3"/>
  <c r="Z234" i="3"/>
  <c r="P234" i="3"/>
  <c r="Q234" i="3" s="1"/>
  <c r="R234" i="3" s="1"/>
  <c r="S234" i="3" s="1"/>
  <c r="AC234" i="3"/>
  <c r="AA234" i="3"/>
  <c r="U233" i="3" l="1"/>
  <c r="Y232" i="3"/>
  <c r="T234" i="3"/>
  <c r="E234" i="3" l="1"/>
  <c r="H234" i="3" s="1"/>
  <c r="K234" i="3" s="1"/>
  <c r="AE234" i="3" s="1"/>
  <c r="AG234" i="3"/>
  <c r="AH234" i="3"/>
  <c r="D234" i="3"/>
  <c r="G234" i="3" s="1"/>
  <c r="F234" i="3" l="1"/>
  <c r="I234" i="3"/>
  <c r="J234" i="3"/>
  <c r="M234" i="3"/>
  <c r="N234" i="3" s="1"/>
  <c r="V234" i="3"/>
  <c r="A235" i="3"/>
  <c r="B235" i="3" s="1"/>
  <c r="L234" i="3" l="1"/>
  <c r="AD234" i="3"/>
  <c r="W234" i="3"/>
  <c r="AC235" i="3"/>
  <c r="AA235" i="3"/>
  <c r="Z235" i="3"/>
  <c r="P235" i="3"/>
  <c r="Q235" i="3" s="1"/>
  <c r="R235" i="3" s="1"/>
  <c r="S235" i="3" s="1"/>
  <c r="AD235" i="3"/>
  <c r="U234" i="3" l="1"/>
  <c r="Y233" i="3"/>
  <c r="T235" i="3"/>
  <c r="E235" i="3" l="1"/>
  <c r="H235" i="3" s="1"/>
  <c r="K235" i="3" s="1"/>
  <c r="AE235" i="3" s="1"/>
  <c r="AG235" i="3"/>
  <c r="D235" i="3"/>
  <c r="AH235" i="3"/>
  <c r="F235" i="3" l="1"/>
  <c r="G235" i="3"/>
  <c r="V235" i="3"/>
  <c r="A236" i="3"/>
  <c r="B236" i="3" s="1"/>
  <c r="AD236" i="3" l="1"/>
  <c r="P236" i="3"/>
  <c r="Q236" i="3" s="1"/>
  <c r="R236" i="3" s="1"/>
  <c r="S236" i="3" s="1"/>
  <c r="AA236" i="3"/>
  <c r="Z236" i="3"/>
  <c r="AC236" i="3"/>
  <c r="I235" i="3"/>
  <c r="W235" i="3" s="1"/>
  <c r="J235" i="3"/>
  <c r="M235" i="3"/>
  <c r="N235" i="3" s="1"/>
  <c r="T236" i="3" l="1"/>
  <c r="L235" i="3"/>
  <c r="U235" i="3" l="1"/>
  <c r="D236" i="3" s="1"/>
  <c r="AH236" i="3"/>
  <c r="AG236" i="3"/>
  <c r="Y234" i="3"/>
  <c r="E236" i="3" l="1"/>
  <c r="H236" i="3" s="1"/>
  <c r="K236" i="3" s="1"/>
  <c r="AE236" i="3" s="1"/>
  <c r="G236" i="3"/>
  <c r="F236" i="3" l="1"/>
  <c r="I236" i="3"/>
  <c r="J236" i="3"/>
  <c r="M236" i="3"/>
  <c r="N236" i="3" s="1"/>
  <c r="V236" i="3"/>
  <c r="A237" i="3"/>
  <c r="B237" i="3" s="1"/>
  <c r="W236" i="3" l="1"/>
  <c r="L236" i="3"/>
  <c r="P237" i="3"/>
  <c r="Q237" i="3" s="1"/>
  <c r="R237" i="3" s="1"/>
  <c r="S237" i="3" s="1"/>
  <c r="AA237" i="3"/>
  <c r="Z237" i="3"/>
  <c r="AC237" i="3"/>
  <c r="U236" i="3" l="1"/>
  <c r="Y235" i="3"/>
  <c r="T237" i="3"/>
  <c r="AH237" i="3" s="1"/>
  <c r="E237" i="3" l="1"/>
  <c r="H237" i="3" s="1"/>
  <c r="K237" i="3" s="1"/>
  <c r="AE237" i="3" s="1"/>
  <c r="AG237" i="3"/>
  <c r="D237" i="3"/>
  <c r="F237" i="3" l="1"/>
  <c r="G237" i="3"/>
  <c r="M237" i="3" s="1"/>
  <c r="N237" i="3" s="1"/>
  <c r="V237" i="3"/>
  <c r="A238" i="3"/>
  <c r="B238" i="3" s="1"/>
  <c r="I237" i="3" l="1"/>
  <c r="W237" i="3" s="1"/>
  <c r="J237" i="3"/>
  <c r="P238" i="3"/>
  <c r="Q238" i="3" s="1"/>
  <c r="R238" i="3" s="1"/>
  <c r="S238" i="3" s="1"/>
  <c r="Z238" i="3"/>
  <c r="AC238" i="3"/>
  <c r="AA238" i="3"/>
  <c r="L237" i="3" l="1"/>
  <c r="U237" i="3" s="1"/>
  <c r="AD237" i="3"/>
  <c r="T238" i="3"/>
  <c r="Y236" i="3" l="1"/>
  <c r="AG238" i="3"/>
  <c r="AH238" i="3"/>
  <c r="E238" i="3"/>
  <c r="H238" i="3" s="1"/>
  <c r="K238" i="3" s="1"/>
  <c r="AE238" i="3" s="1"/>
  <c r="D238" i="3"/>
  <c r="F238" i="3" l="1"/>
  <c r="G238" i="3"/>
  <c r="M238" i="3" s="1"/>
  <c r="N238" i="3" s="1"/>
  <c r="V238" i="3"/>
  <c r="A239" i="3"/>
  <c r="B239" i="3" s="1"/>
  <c r="I238" i="3" l="1"/>
  <c r="W238" i="3" s="1"/>
  <c r="J238" i="3"/>
  <c r="AD239" i="3"/>
  <c r="P239" i="3"/>
  <c r="Q239" i="3" s="1"/>
  <c r="R239" i="3" s="1"/>
  <c r="S239" i="3" s="1"/>
  <c r="AC239" i="3"/>
  <c r="Z239" i="3"/>
  <c r="AA239" i="3"/>
  <c r="L238" i="3" l="1"/>
  <c r="U238" i="3" s="1"/>
  <c r="AD238" i="3"/>
  <c r="T239" i="3"/>
  <c r="Y237" i="3" l="1"/>
  <c r="D239" i="3"/>
  <c r="G239" i="3" s="1"/>
  <c r="E239" i="3"/>
  <c r="H239" i="3" s="1"/>
  <c r="K239" i="3" s="1"/>
  <c r="AE239" i="3" s="1"/>
  <c r="AG239" i="3"/>
  <c r="AH239" i="3"/>
  <c r="F239" i="3" l="1"/>
  <c r="I239" i="3"/>
  <c r="J239" i="3"/>
  <c r="M239" i="3"/>
  <c r="N239" i="3" s="1"/>
  <c r="V239" i="3"/>
  <c r="A240" i="3"/>
  <c r="B240" i="3" s="1"/>
  <c r="W239" i="3" l="1"/>
  <c r="L239" i="3"/>
  <c r="Z240" i="3"/>
  <c r="P240" i="3"/>
  <c r="Q240" i="3" s="1"/>
  <c r="R240" i="3" s="1"/>
  <c r="S240" i="3" s="1"/>
  <c r="AD240" i="3"/>
  <c r="AA240" i="3"/>
  <c r="AC240" i="3"/>
  <c r="U239" i="3" l="1"/>
  <c r="Y238" i="3"/>
  <c r="T240" i="3"/>
  <c r="E240" i="3" l="1"/>
  <c r="H240" i="3" s="1"/>
  <c r="K240" i="3" s="1"/>
  <c r="AE240" i="3" s="1"/>
  <c r="D240" i="3"/>
  <c r="AG240" i="3"/>
  <c r="AH240" i="3"/>
  <c r="V240" i="3" l="1"/>
  <c r="A241" i="3"/>
  <c r="B241" i="3" s="1"/>
  <c r="F240" i="3"/>
  <c r="G240" i="3"/>
  <c r="I240" i="3" l="1"/>
  <c r="W240" i="3" s="1"/>
  <c r="J240" i="3"/>
  <c r="M240" i="3"/>
  <c r="N240" i="3" s="1"/>
  <c r="Z241" i="3"/>
  <c r="AD241" i="3"/>
  <c r="AC241" i="3"/>
  <c r="P241" i="3"/>
  <c r="Q241" i="3" s="1"/>
  <c r="R241" i="3" s="1"/>
  <c r="S241" i="3" s="1"/>
  <c r="AA241" i="3"/>
  <c r="T241" i="3" l="1"/>
  <c r="L240" i="3"/>
  <c r="AG241" i="3" l="1"/>
  <c r="AH241" i="3"/>
  <c r="U240" i="3"/>
  <c r="D241" i="3" s="1"/>
  <c r="Y239" i="3"/>
  <c r="G241" i="3" l="1"/>
  <c r="E241" i="3"/>
  <c r="H241" i="3" s="1"/>
  <c r="F241" i="3" l="1"/>
  <c r="I241" i="3"/>
  <c r="J241" i="3"/>
  <c r="M241" i="3"/>
  <c r="N241" i="3" s="1"/>
  <c r="K241" i="3"/>
  <c r="AE241" i="3" s="1"/>
  <c r="V241" i="3" l="1"/>
  <c r="W241" i="3" s="1"/>
  <c r="A242" i="3"/>
  <c r="B242" i="3" s="1"/>
  <c r="L241" i="3"/>
  <c r="U241" i="3" l="1"/>
  <c r="Y240" i="3"/>
  <c r="Z242" i="3"/>
  <c r="AA242" i="3"/>
  <c r="P242" i="3"/>
  <c r="Q242" i="3" s="1"/>
  <c r="R242" i="3" s="1"/>
  <c r="S242" i="3" s="1"/>
  <c r="AC242" i="3"/>
  <c r="T242" i="3" l="1"/>
  <c r="D242" i="3" s="1"/>
  <c r="E242" i="3" l="1"/>
  <c r="H242" i="3" s="1"/>
  <c r="K242" i="3" s="1"/>
  <c r="AE242" i="3" s="1"/>
  <c r="G242" i="3"/>
  <c r="AH242" i="3"/>
  <c r="AG242" i="3"/>
  <c r="F242" i="3" l="1"/>
  <c r="I242" i="3"/>
  <c r="J242" i="3"/>
  <c r="AD242" i="3" s="1"/>
  <c r="M242" i="3"/>
  <c r="N242" i="3" s="1"/>
  <c r="V242" i="3"/>
  <c r="A243" i="3"/>
  <c r="B243" i="3" s="1"/>
  <c r="W242" i="3" l="1"/>
  <c r="L242" i="3"/>
  <c r="AA243" i="3"/>
  <c r="AC243" i="3"/>
  <c r="Z243" i="3"/>
  <c r="P243" i="3"/>
  <c r="Q243" i="3" s="1"/>
  <c r="R243" i="3" s="1"/>
  <c r="S243" i="3" s="1"/>
  <c r="AD243" i="3"/>
  <c r="U242" i="3" l="1"/>
  <c r="Y241" i="3"/>
  <c r="T243" i="3"/>
  <c r="AH243" i="3" s="1"/>
  <c r="D243" i="3" l="1"/>
  <c r="G243" i="3" s="1"/>
  <c r="E243" i="3"/>
  <c r="H243" i="3" s="1"/>
  <c r="K243" i="3" s="1"/>
  <c r="AE243" i="3" s="1"/>
  <c r="AG243" i="3"/>
  <c r="F243" i="3" l="1"/>
  <c r="I243" i="3"/>
  <c r="J243" i="3"/>
  <c r="M243" i="3"/>
  <c r="N243" i="3" s="1"/>
  <c r="V243" i="3"/>
  <c r="A244" i="3"/>
  <c r="B244" i="3" s="1"/>
  <c r="W243" i="3" l="1"/>
  <c r="L243" i="3"/>
  <c r="AA244" i="3"/>
  <c r="P244" i="3"/>
  <c r="Q244" i="3" s="1"/>
  <c r="R244" i="3" s="1"/>
  <c r="S244" i="3" s="1"/>
  <c r="Z244" i="3"/>
  <c r="AC244" i="3"/>
  <c r="U243" i="3" l="1"/>
  <c r="Y242" i="3"/>
  <c r="T244" i="3"/>
  <c r="D244" i="3" l="1"/>
  <c r="G244" i="3" s="1"/>
  <c r="E244" i="3"/>
  <c r="H244" i="3" s="1"/>
  <c r="AG244" i="3"/>
  <c r="AH244" i="3"/>
  <c r="I244" i="3" l="1"/>
  <c r="J244" i="3"/>
  <c r="M244" i="3"/>
  <c r="N244" i="3" s="1"/>
  <c r="F244" i="3"/>
  <c r="K244" i="3"/>
  <c r="AE244" i="3" s="1"/>
  <c r="L244" i="3" l="1"/>
  <c r="AD244" i="3"/>
  <c r="V244" i="3"/>
  <c r="W244" i="3" s="1"/>
  <c r="A245" i="3"/>
  <c r="B245" i="3" s="1"/>
  <c r="U244" i="3" l="1"/>
  <c r="Y243" i="3"/>
  <c r="Z245" i="3"/>
  <c r="AD245" i="3"/>
  <c r="AA245" i="3"/>
  <c r="P245" i="3"/>
  <c r="Q245" i="3" s="1"/>
  <c r="R245" i="3" s="1"/>
  <c r="S245" i="3" s="1"/>
  <c r="AC245" i="3"/>
  <c r="T245" i="3" l="1"/>
  <c r="AG245" i="3" s="1"/>
  <c r="D245" i="3" l="1"/>
  <c r="G245" i="3" s="1"/>
  <c r="AH245" i="3"/>
  <c r="E245" i="3"/>
  <c r="H245" i="3" s="1"/>
  <c r="F245" i="3" l="1"/>
  <c r="I245" i="3"/>
  <c r="J245" i="3"/>
  <c r="M245" i="3"/>
  <c r="N245" i="3" s="1"/>
  <c r="K245" i="3"/>
  <c r="AE245" i="3" s="1"/>
  <c r="V245" i="3" l="1"/>
  <c r="W245" i="3" s="1"/>
  <c r="A246" i="3"/>
  <c r="B246" i="3" s="1"/>
  <c r="L245" i="3"/>
  <c r="U245" i="3" l="1"/>
  <c r="Y244" i="3"/>
  <c r="P246" i="3"/>
  <c r="Q246" i="3" s="1"/>
  <c r="R246" i="3" s="1"/>
  <c r="S246" i="3" s="1"/>
  <c r="AC246" i="3"/>
  <c r="Z246" i="3"/>
  <c r="AD246" i="3"/>
  <c r="AA246" i="3"/>
  <c r="T246" i="3" l="1"/>
  <c r="D246" i="3" s="1"/>
  <c r="E246" i="3" l="1"/>
  <c r="H246" i="3" s="1"/>
  <c r="K246" i="3" s="1"/>
  <c r="AE246" i="3" s="1"/>
  <c r="AG246" i="3"/>
  <c r="AH246" i="3"/>
  <c r="G246" i="3"/>
  <c r="F246" i="3" l="1"/>
  <c r="I246" i="3"/>
  <c r="J246" i="3"/>
  <c r="M246" i="3"/>
  <c r="N246" i="3" s="1"/>
  <c r="V246" i="3"/>
  <c r="A247" i="3"/>
  <c r="B247" i="3" s="1"/>
  <c r="W246" i="3" l="1"/>
  <c r="L246" i="3"/>
  <c r="P247" i="3"/>
  <c r="Q247" i="3" s="1"/>
  <c r="R247" i="3" s="1"/>
  <c r="S247" i="3" s="1"/>
  <c r="AA247" i="3"/>
  <c r="AC247" i="3"/>
  <c r="Z247" i="3"/>
  <c r="U246" i="3" l="1"/>
  <c r="Y245" i="3"/>
  <c r="T247" i="3"/>
  <c r="AG247" i="3" s="1"/>
  <c r="AH247" i="3" l="1"/>
  <c r="D247" i="3"/>
  <c r="E247" i="3"/>
  <c r="H247" i="3" s="1"/>
  <c r="K247" i="3" s="1"/>
  <c r="AE247" i="3" s="1"/>
  <c r="F247" i="3" l="1"/>
  <c r="G247" i="3"/>
  <c r="M247" i="3" s="1"/>
  <c r="N247" i="3" s="1"/>
  <c r="V247" i="3"/>
  <c r="A248" i="3"/>
  <c r="B248" i="3" s="1"/>
  <c r="I247" i="3" l="1"/>
  <c r="W247" i="3" s="1"/>
  <c r="J247" i="3"/>
  <c r="Z248" i="3"/>
  <c r="P248" i="3"/>
  <c r="Q248" i="3" s="1"/>
  <c r="R248" i="3" s="1"/>
  <c r="S248" i="3" s="1"/>
  <c r="AA248" i="3"/>
  <c r="AC248" i="3"/>
  <c r="L247" i="3" l="1"/>
  <c r="U247" i="3" s="1"/>
  <c r="AD247" i="3"/>
  <c r="T248" i="3"/>
  <c r="AG248" i="3" l="1"/>
  <c r="Y246" i="3"/>
  <c r="E248" i="3"/>
  <c r="H248" i="3" s="1"/>
  <c r="K248" i="3" s="1"/>
  <c r="AE248" i="3" s="1"/>
  <c r="AH248" i="3"/>
  <c r="D248" i="3"/>
  <c r="G248" i="3" s="1"/>
  <c r="F248" i="3" l="1"/>
  <c r="I248" i="3"/>
  <c r="J248" i="3"/>
  <c r="AD248" i="3" s="1"/>
  <c r="M248" i="3"/>
  <c r="N248" i="3" s="1"/>
  <c r="V248" i="3"/>
  <c r="A249" i="3"/>
  <c r="B249" i="3" s="1"/>
  <c r="W248" i="3" l="1"/>
  <c r="L248" i="3"/>
  <c r="AC249" i="3"/>
  <c r="P249" i="3"/>
  <c r="Q249" i="3" s="1"/>
  <c r="R249" i="3" s="1"/>
  <c r="S249" i="3" s="1"/>
  <c r="Z249" i="3"/>
  <c r="AD249" i="3"/>
  <c r="AA249" i="3"/>
  <c r="U248" i="3" l="1"/>
  <c r="Y247" i="3"/>
  <c r="T249" i="3"/>
  <c r="AG249" i="3" s="1"/>
  <c r="D249" i="3" l="1"/>
  <c r="G249" i="3" s="1"/>
  <c r="AH249" i="3"/>
  <c r="E249" i="3"/>
  <c r="H249" i="3" s="1"/>
  <c r="K249" i="3" s="1"/>
  <c r="AE249" i="3" s="1"/>
  <c r="F249" i="3" l="1"/>
  <c r="I249" i="3"/>
  <c r="J249" i="3"/>
  <c r="M249" i="3"/>
  <c r="N249" i="3" s="1"/>
  <c r="V249" i="3"/>
  <c r="A250" i="3"/>
  <c r="B250" i="3" s="1"/>
  <c r="W249" i="3" l="1"/>
  <c r="L249" i="3"/>
  <c r="AC250" i="3"/>
  <c r="AA250" i="3"/>
  <c r="P250" i="3"/>
  <c r="Q250" i="3" s="1"/>
  <c r="R250" i="3" s="1"/>
  <c r="S250" i="3" s="1"/>
  <c r="AD250" i="3"/>
  <c r="Z250" i="3"/>
  <c r="T250" i="3" l="1"/>
  <c r="AG250" i="3" s="1"/>
  <c r="U249" i="3"/>
  <c r="Y248" i="3"/>
  <c r="D250" i="3" l="1"/>
  <c r="E250" i="3"/>
  <c r="H250" i="3" s="1"/>
  <c r="AH250" i="3"/>
  <c r="F250" i="3" l="1"/>
  <c r="G250" i="3"/>
  <c r="K250" i="3"/>
  <c r="AE250" i="3" s="1"/>
  <c r="V250" i="3" l="1"/>
  <c r="A251" i="3"/>
  <c r="B251" i="3" s="1"/>
  <c r="I250" i="3"/>
  <c r="J250" i="3"/>
  <c r="M250" i="3"/>
  <c r="N250" i="3" s="1"/>
  <c r="W250" i="3" l="1"/>
  <c r="L250" i="3"/>
  <c r="P251" i="3"/>
  <c r="Q251" i="3" s="1"/>
  <c r="R251" i="3" s="1"/>
  <c r="S251" i="3" s="1"/>
  <c r="AC251" i="3"/>
  <c r="AA251" i="3"/>
  <c r="Z251" i="3"/>
  <c r="AD251" i="3"/>
  <c r="U250" i="3" l="1"/>
  <c r="Y249" i="3"/>
  <c r="T251" i="3"/>
  <c r="D251" i="3" l="1"/>
  <c r="G251" i="3" s="1"/>
  <c r="AG251" i="3"/>
  <c r="AH251" i="3"/>
  <c r="E251" i="3"/>
  <c r="H251" i="3" s="1"/>
  <c r="I251" i="3" l="1"/>
  <c r="J251" i="3"/>
  <c r="M251" i="3"/>
  <c r="N251" i="3" s="1"/>
  <c r="K251" i="3"/>
  <c r="AE251" i="3" s="1"/>
  <c r="F251" i="3"/>
  <c r="V251" i="3" l="1"/>
  <c r="W251" i="3" s="1"/>
  <c r="A252" i="3"/>
  <c r="B252" i="3" s="1"/>
  <c r="L251" i="3"/>
  <c r="U251" i="3" l="1"/>
  <c r="Y250" i="3"/>
  <c r="Z252" i="3"/>
  <c r="AA252" i="3"/>
  <c r="P252" i="3"/>
  <c r="Q252" i="3" s="1"/>
  <c r="R252" i="3" s="1"/>
  <c r="S252" i="3" s="1"/>
  <c r="AC252" i="3"/>
  <c r="T252" i="3" l="1"/>
  <c r="AH252" i="3" s="1"/>
  <c r="E252" i="3" l="1"/>
  <c r="H252" i="3" s="1"/>
  <c r="K252" i="3" s="1"/>
  <c r="AE252" i="3" s="1"/>
  <c r="AG252" i="3"/>
  <c r="D252" i="3"/>
  <c r="F252" i="3" l="1"/>
  <c r="G252" i="3"/>
  <c r="V252" i="3"/>
  <c r="A253" i="3"/>
  <c r="B253" i="3" s="1"/>
  <c r="AC253" i="3" l="1"/>
  <c r="AA253" i="3"/>
  <c r="AD253" i="3"/>
  <c r="P253" i="3"/>
  <c r="Q253" i="3" s="1"/>
  <c r="R253" i="3" s="1"/>
  <c r="S253" i="3" s="1"/>
  <c r="Z253" i="3"/>
  <c r="I252" i="3"/>
  <c r="W252" i="3" s="1"/>
  <c r="J252" i="3"/>
  <c r="AD252" i="3" s="1"/>
  <c r="M252" i="3"/>
  <c r="N252" i="3" s="1"/>
  <c r="L252" i="3" l="1"/>
  <c r="T253" i="3"/>
  <c r="AH253" i="3" l="1"/>
  <c r="U252" i="3"/>
  <c r="E253" i="3" s="1"/>
  <c r="H253" i="3" s="1"/>
  <c r="AG253" i="3"/>
  <c r="Y251" i="3"/>
  <c r="D253" i="3" l="1"/>
  <c r="F253" i="3" s="1"/>
  <c r="K253" i="3"/>
  <c r="AE253" i="3" s="1"/>
  <c r="G253" i="3" l="1"/>
  <c r="J253" i="3" s="1"/>
  <c r="V253" i="3"/>
  <c r="A254" i="3"/>
  <c r="B254" i="3" s="1"/>
  <c r="M253" i="3" l="1"/>
  <c r="N253" i="3" s="1"/>
  <c r="I253" i="3"/>
  <c r="W253" i="3" s="1"/>
  <c r="L253" i="3"/>
  <c r="AA254" i="3"/>
  <c r="AC254" i="3"/>
  <c r="P254" i="3"/>
  <c r="Q254" i="3" s="1"/>
  <c r="R254" i="3" s="1"/>
  <c r="S254" i="3" s="1"/>
  <c r="Z254" i="3"/>
  <c r="U253" i="3" l="1"/>
  <c r="Y252" i="3"/>
  <c r="T254" i="3"/>
  <c r="AH254" i="3" s="1"/>
  <c r="D254" i="3" l="1"/>
  <c r="G254" i="3" s="1"/>
  <c r="E254" i="3"/>
  <c r="H254" i="3" s="1"/>
  <c r="K254" i="3" s="1"/>
  <c r="AE254" i="3" s="1"/>
  <c r="AG254" i="3"/>
  <c r="F254" i="3" l="1"/>
  <c r="I254" i="3"/>
  <c r="J254" i="3"/>
  <c r="M254" i="3"/>
  <c r="N254" i="3" s="1"/>
  <c r="V254" i="3"/>
  <c r="A255" i="3"/>
  <c r="B255" i="3" s="1"/>
  <c r="W254" i="3" l="1"/>
  <c r="L254" i="3"/>
  <c r="AD254" i="3"/>
  <c r="AA255" i="3"/>
  <c r="AC255" i="3"/>
  <c r="AD255" i="3"/>
  <c r="Z255" i="3"/>
  <c r="P255" i="3"/>
  <c r="Q255" i="3" s="1"/>
  <c r="R255" i="3" s="1"/>
  <c r="S255" i="3" s="1"/>
  <c r="U254" i="3" l="1"/>
  <c r="Y253" i="3"/>
  <c r="T255" i="3"/>
  <c r="D255" i="3" l="1"/>
  <c r="G255" i="3" s="1"/>
  <c r="AG255" i="3"/>
  <c r="AH255" i="3"/>
  <c r="E255" i="3"/>
  <c r="H255" i="3" s="1"/>
  <c r="K255" i="3" s="1"/>
  <c r="AE255" i="3" s="1"/>
  <c r="F255" i="3" l="1"/>
  <c r="I255" i="3"/>
  <c r="J255" i="3"/>
  <c r="M255" i="3"/>
  <c r="N255" i="3" s="1"/>
  <c r="V255" i="3"/>
  <c r="A256" i="3"/>
  <c r="B256" i="3" s="1"/>
  <c r="W255" i="3" l="1"/>
  <c r="L255" i="3"/>
  <c r="AA256" i="3"/>
  <c r="AD256" i="3"/>
  <c r="P256" i="3"/>
  <c r="Q256" i="3" s="1"/>
  <c r="R256" i="3" s="1"/>
  <c r="S256" i="3" s="1"/>
  <c r="Z256" i="3"/>
  <c r="AC256" i="3"/>
  <c r="U255" i="3" l="1"/>
  <c r="Y254" i="3"/>
  <c r="T256" i="3"/>
  <c r="D256" i="3" l="1"/>
  <c r="G256" i="3" s="1"/>
  <c r="E256" i="3"/>
  <c r="H256" i="3" s="1"/>
  <c r="AH256" i="3"/>
  <c r="AG256" i="3"/>
  <c r="F256" i="3" l="1"/>
  <c r="I256" i="3"/>
  <c r="J256" i="3"/>
  <c r="M256" i="3"/>
  <c r="N256" i="3" s="1"/>
  <c r="K256" i="3"/>
  <c r="AE256" i="3" s="1"/>
  <c r="L256" i="3" l="1"/>
  <c r="V256" i="3"/>
  <c r="W256" i="3" s="1"/>
  <c r="A257" i="3"/>
  <c r="B257" i="3" s="1"/>
  <c r="U256" i="3" l="1"/>
  <c r="Y255" i="3"/>
  <c r="AC257" i="3"/>
  <c r="Z257" i="3"/>
  <c r="P257" i="3"/>
  <c r="Q257" i="3" s="1"/>
  <c r="R257" i="3" s="1"/>
  <c r="S257" i="3" s="1"/>
  <c r="AA257" i="3"/>
  <c r="T257" i="3" l="1"/>
  <c r="D257" i="3" s="1"/>
  <c r="E257" i="3" l="1"/>
  <c r="H257" i="3" s="1"/>
  <c r="K257" i="3" s="1"/>
  <c r="AE257" i="3" s="1"/>
  <c r="AG257" i="3"/>
  <c r="AH257" i="3"/>
  <c r="G257" i="3"/>
  <c r="F257" i="3" l="1"/>
  <c r="V257" i="3"/>
  <c r="A258" i="3"/>
  <c r="B258" i="3" s="1"/>
  <c r="I257" i="3"/>
  <c r="J257" i="3"/>
  <c r="AD257" i="3" s="1"/>
  <c r="M257" i="3"/>
  <c r="N257" i="3" s="1"/>
  <c r="W257" i="3" l="1"/>
  <c r="L257" i="3"/>
  <c r="AC258" i="3"/>
  <c r="Z258" i="3"/>
  <c r="P258" i="3"/>
  <c r="Q258" i="3" s="1"/>
  <c r="R258" i="3" s="1"/>
  <c r="S258" i="3" s="1"/>
  <c r="AA258" i="3"/>
  <c r="U257" i="3" l="1"/>
  <c r="Y256" i="3"/>
  <c r="T258" i="3"/>
  <c r="AG258" i="3" s="1"/>
  <c r="E258" i="3" l="1"/>
  <c r="H258" i="3" s="1"/>
  <c r="D258" i="3"/>
  <c r="AH258" i="3"/>
  <c r="F258" i="3" l="1"/>
  <c r="G258" i="3"/>
  <c r="K258" i="3"/>
  <c r="AE258" i="3" s="1"/>
  <c r="V258" i="3" l="1"/>
  <c r="A259" i="3"/>
  <c r="B259" i="3" s="1"/>
  <c r="I258" i="3"/>
  <c r="J258" i="3"/>
  <c r="AD258" i="3" s="1"/>
  <c r="M258" i="3"/>
  <c r="N258" i="3" s="1"/>
  <c r="L258" i="3" l="1"/>
  <c r="AC259" i="3"/>
  <c r="P259" i="3"/>
  <c r="Q259" i="3" s="1"/>
  <c r="R259" i="3" s="1"/>
  <c r="S259" i="3" s="1"/>
  <c r="Z259" i="3"/>
  <c r="AD259" i="3"/>
  <c r="AA259" i="3"/>
  <c r="W258" i="3"/>
  <c r="U258" i="3" l="1"/>
  <c r="Y257" i="3"/>
  <c r="T259" i="3"/>
  <c r="AH259" i="3" s="1"/>
  <c r="D259" i="3" l="1"/>
  <c r="G259" i="3" s="1"/>
  <c r="AG259" i="3"/>
  <c r="E259" i="3"/>
  <c r="H259" i="3" s="1"/>
  <c r="K259" i="3" s="1"/>
  <c r="AE259" i="3" s="1"/>
  <c r="F259" i="3" l="1"/>
  <c r="I259" i="3"/>
  <c r="J259" i="3"/>
  <c r="M259" i="3"/>
  <c r="N259" i="3" s="1"/>
  <c r="V259" i="3"/>
  <c r="A260" i="3"/>
  <c r="B260" i="3" s="1"/>
  <c r="W259" i="3" l="1"/>
  <c r="L259" i="3"/>
  <c r="AA260" i="3"/>
  <c r="P260" i="3"/>
  <c r="Q260" i="3" s="1"/>
  <c r="R260" i="3" s="1"/>
  <c r="S260" i="3" s="1"/>
  <c r="AD260" i="3"/>
  <c r="Z260" i="3"/>
  <c r="AC260" i="3"/>
  <c r="U259" i="3" l="1"/>
  <c r="Y258" i="3"/>
  <c r="T260" i="3"/>
  <c r="AH260" i="3" s="1"/>
  <c r="AG260" i="3" l="1"/>
  <c r="D260" i="3"/>
  <c r="E260" i="3"/>
  <c r="H260" i="3" s="1"/>
  <c r="K260" i="3" l="1"/>
  <c r="AE260" i="3" s="1"/>
  <c r="F260" i="3"/>
  <c r="G260" i="3"/>
  <c r="I260" i="3" l="1"/>
  <c r="J260" i="3"/>
  <c r="M260" i="3"/>
  <c r="N260" i="3" s="1"/>
  <c r="V260" i="3"/>
  <c r="A261" i="3"/>
  <c r="B261" i="3" s="1"/>
  <c r="W260" i="3" l="1"/>
  <c r="L260" i="3"/>
  <c r="Z261" i="3"/>
  <c r="AA261" i="3"/>
  <c r="AD261" i="3"/>
  <c r="P261" i="3"/>
  <c r="Q261" i="3" s="1"/>
  <c r="R261" i="3" s="1"/>
  <c r="S261" i="3" s="1"/>
  <c r="AC261" i="3"/>
  <c r="U260" i="3" l="1"/>
  <c r="Y259" i="3"/>
  <c r="T261" i="3"/>
  <c r="AH261" i="3" s="1"/>
  <c r="E261" i="3" l="1"/>
  <c r="H261" i="3" s="1"/>
  <c r="D261" i="3"/>
  <c r="AG261" i="3"/>
  <c r="K261" i="3" l="1"/>
  <c r="AE261" i="3" s="1"/>
  <c r="F261" i="3"/>
  <c r="G261" i="3"/>
  <c r="I261" i="3" l="1"/>
  <c r="J261" i="3"/>
  <c r="M261" i="3"/>
  <c r="N261" i="3" s="1"/>
  <c r="V261" i="3"/>
  <c r="A262" i="3"/>
  <c r="B262" i="3" s="1"/>
  <c r="W261" i="3" l="1"/>
  <c r="L261" i="3"/>
  <c r="AA262" i="3"/>
  <c r="Z262" i="3"/>
  <c r="P262" i="3"/>
  <c r="Q262" i="3" s="1"/>
  <c r="R262" i="3" s="1"/>
  <c r="S262" i="3" s="1"/>
  <c r="AC262" i="3"/>
  <c r="T262" i="3" l="1"/>
  <c r="AG262" i="3" s="1"/>
  <c r="U261" i="3"/>
  <c r="Y260" i="3"/>
  <c r="E262" i="3" l="1"/>
  <c r="H262" i="3" s="1"/>
  <c r="K262" i="3" s="1"/>
  <c r="AE262" i="3" s="1"/>
  <c r="AH262" i="3"/>
  <c r="D262" i="3"/>
  <c r="F262" i="3" l="1"/>
  <c r="G262" i="3"/>
  <c r="V262" i="3"/>
  <c r="A263" i="3"/>
  <c r="B263" i="3" s="1"/>
  <c r="P263" i="3" l="1"/>
  <c r="Q263" i="3" s="1"/>
  <c r="R263" i="3" s="1"/>
  <c r="S263" i="3" s="1"/>
  <c r="AA263" i="3"/>
  <c r="Z263" i="3"/>
  <c r="AD263" i="3"/>
  <c r="AC263" i="3"/>
  <c r="I262" i="3"/>
  <c r="W262" i="3" s="1"/>
  <c r="J262" i="3"/>
  <c r="AD262" i="3" s="1"/>
  <c r="M262" i="3"/>
  <c r="N262" i="3" s="1"/>
  <c r="L262" i="3" l="1"/>
  <c r="T263" i="3"/>
  <c r="U262" i="3" l="1"/>
  <c r="E263" i="3" s="1"/>
  <c r="H263" i="3" s="1"/>
  <c r="AH263" i="3"/>
  <c r="AG263" i="3"/>
  <c r="Y261" i="3"/>
  <c r="D263" i="3" l="1"/>
  <c r="G263" i="3" s="1"/>
  <c r="K263" i="3"/>
  <c r="AE263" i="3" s="1"/>
  <c r="F263" i="3" l="1"/>
  <c r="V263" i="3"/>
  <c r="A264" i="3"/>
  <c r="B264" i="3" s="1"/>
  <c r="I263" i="3"/>
  <c r="J263" i="3"/>
  <c r="M263" i="3"/>
  <c r="N263" i="3" s="1"/>
  <c r="W263" i="3" l="1"/>
  <c r="L263" i="3"/>
  <c r="P264" i="3"/>
  <c r="Q264" i="3" s="1"/>
  <c r="R264" i="3" s="1"/>
  <c r="S264" i="3" s="1"/>
  <c r="AA264" i="3"/>
  <c r="AC264" i="3"/>
  <c r="Z264" i="3"/>
  <c r="U263" i="3" l="1"/>
  <c r="Y262" i="3"/>
  <c r="T264" i="3"/>
  <c r="AH264" i="3" s="1"/>
  <c r="AG264" i="3" l="1"/>
  <c r="D264" i="3"/>
  <c r="G264" i="3" s="1"/>
  <c r="E264" i="3"/>
  <c r="H264" i="3" s="1"/>
  <c r="K264" i="3" l="1"/>
  <c r="AE264" i="3" s="1"/>
  <c r="I264" i="3"/>
  <c r="J264" i="3"/>
  <c r="AD264" i="3" s="1"/>
  <c r="M264" i="3"/>
  <c r="N264" i="3" s="1"/>
  <c r="F264" i="3"/>
  <c r="L264" i="3" l="1"/>
  <c r="V264" i="3"/>
  <c r="W264" i="3" s="1"/>
  <c r="A265" i="3"/>
  <c r="B265" i="3" s="1"/>
  <c r="U264" i="3" l="1"/>
  <c r="Y263" i="3"/>
  <c r="P265" i="3"/>
  <c r="Q265" i="3" s="1"/>
  <c r="R265" i="3" s="1"/>
  <c r="S265" i="3" s="1"/>
  <c r="AA265" i="3"/>
  <c r="AD265" i="3"/>
  <c r="Z265" i="3"/>
  <c r="AC265" i="3"/>
  <c r="T265" i="3" l="1"/>
  <c r="AG265" i="3" l="1"/>
  <c r="AH265" i="3"/>
  <c r="D265" i="3"/>
  <c r="E265" i="3"/>
  <c r="H265" i="3" s="1"/>
  <c r="F265" i="3" l="1"/>
  <c r="G265" i="3"/>
  <c r="K265" i="3"/>
  <c r="AE265" i="3" s="1"/>
  <c r="I265" i="3" l="1"/>
  <c r="J265" i="3"/>
  <c r="M265" i="3"/>
  <c r="N265" i="3" s="1"/>
  <c r="V265" i="3"/>
  <c r="A266" i="3"/>
  <c r="B266" i="3" s="1"/>
  <c r="L265" i="3" l="1"/>
  <c r="W265" i="3"/>
  <c r="P266" i="3"/>
  <c r="Q266" i="3" s="1"/>
  <c r="R266" i="3" s="1"/>
  <c r="S266" i="3" s="1"/>
  <c r="AC266" i="3"/>
  <c r="Z266" i="3"/>
  <c r="AA266" i="3"/>
  <c r="AD266" i="3"/>
  <c r="T266" i="3" l="1"/>
  <c r="U265" i="3"/>
  <c r="Y264" i="3"/>
  <c r="E266" i="3" l="1"/>
  <c r="H266" i="3" s="1"/>
  <c r="K266" i="3" s="1"/>
  <c r="AE266" i="3" s="1"/>
  <c r="AH266" i="3"/>
  <c r="AG266" i="3"/>
  <c r="D266" i="3"/>
  <c r="V266" i="3" l="1"/>
  <c r="A267" i="3"/>
  <c r="B267" i="3" s="1"/>
  <c r="F266" i="3"/>
  <c r="G266" i="3"/>
  <c r="I266" i="3" l="1"/>
  <c r="W266" i="3" s="1"/>
  <c r="J266" i="3"/>
  <c r="M266" i="3"/>
  <c r="N266" i="3" s="1"/>
  <c r="AC267" i="3"/>
  <c r="P267" i="3"/>
  <c r="Q267" i="3" s="1"/>
  <c r="R267" i="3" s="1"/>
  <c r="S267" i="3" s="1"/>
  <c r="AA267" i="3"/>
  <c r="Z267" i="3"/>
  <c r="T267" i="3" l="1"/>
  <c r="L266" i="3"/>
  <c r="AH267" i="3" l="1"/>
  <c r="AG267" i="3"/>
  <c r="U266" i="3"/>
  <c r="E267" i="3" s="1"/>
  <c r="H267" i="3" s="1"/>
  <c r="Y265" i="3"/>
  <c r="K267" i="3" l="1"/>
  <c r="AE267" i="3" s="1"/>
  <c r="D267" i="3"/>
  <c r="V267" i="3" l="1"/>
  <c r="A268" i="3"/>
  <c r="B268" i="3" s="1"/>
  <c r="F267" i="3"/>
  <c r="G267" i="3"/>
  <c r="I267" i="3" l="1"/>
  <c r="W267" i="3" s="1"/>
  <c r="J267" i="3"/>
  <c r="AD267" i="3" s="1"/>
  <c r="M267" i="3"/>
  <c r="N267" i="3" s="1"/>
  <c r="AC268" i="3"/>
  <c r="P268" i="3"/>
  <c r="Q268" i="3" s="1"/>
  <c r="R268" i="3" s="1"/>
  <c r="S268" i="3" s="1"/>
  <c r="Z268" i="3"/>
  <c r="AA268" i="3"/>
  <c r="T268" i="3" l="1"/>
  <c r="L267" i="3"/>
  <c r="U267" i="3" l="1"/>
  <c r="E268" i="3" s="1"/>
  <c r="H268" i="3" s="1"/>
  <c r="AH268" i="3"/>
  <c r="AG268" i="3"/>
  <c r="Y266" i="3"/>
  <c r="K268" i="3" l="1"/>
  <c r="AE268" i="3" s="1"/>
  <c r="D268" i="3"/>
  <c r="V268" i="3" l="1"/>
  <c r="A269" i="3"/>
  <c r="B269" i="3" s="1"/>
  <c r="F268" i="3"/>
  <c r="G268" i="3"/>
  <c r="I268" i="3" l="1"/>
  <c r="W268" i="3" s="1"/>
  <c r="J268" i="3"/>
  <c r="AD268" i="3" s="1"/>
  <c r="M268" i="3"/>
  <c r="N268" i="3" s="1"/>
  <c r="AD269" i="3"/>
  <c r="P269" i="3"/>
  <c r="Q269" i="3" s="1"/>
  <c r="R269" i="3" s="1"/>
  <c r="S269" i="3" s="1"/>
  <c r="AA269" i="3"/>
  <c r="Z269" i="3"/>
  <c r="AC269" i="3"/>
  <c r="T269" i="3" l="1"/>
  <c r="L268" i="3"/>
  <c r="U268" i="3" l="1"/>
  <c r="D269" i="3" s="1"/>
  <c r="AH269" i="3"/>
  <c r="AG269" i="3"/>
  <c r="Y267" i="3"/>
  <c r="G269" i="3" l="1"/>
  <c r="E269" i="3"/>
  <c r="H269" i="3" s="1"/>
  <c r="F269" i="3" l="1"/>
  <c r="I269" i="3"/>
  <c r="J269" i="3"/>
  <c r="M269" i="3"/>
  <c r="N269" i="3" s="1"/>
  <c r="K269" i="3"/>
  <c r="AE269" i="3" s="1"/>
  <c r="V269" i="3" l="1"/>
  <c r="W269" i="3" s="1"/>
  <c r="A270" i="3"/>
  <c r="B270" i="3" s="1"/>
  <c r="L269" i="3"/>
  <c r="U269" i="3" l="1"/>
  <c r="Y268" i="3"/>
  <c r="AA270" i="3"/>
  <c r="Z270" i="3"/>
  <c r="P270" i="3"/>
  <c r="Q270" i="3" s="1"/>
  <c r="R270" i="3" s="1"/>
  <c r="S270" i="3" s="1"/>
  <c r="AC270" i="3"/>
  <c r="AD270" i="3"/>
  <c r="T270" i="3" l="1"/>
  <c r="AG270" i="3" s="1"/>
  <c r="AH270" i="3" l="1"/>
  <c r="E270" i="3"/>
  <c r="H270" i="3" s="1"/>
  <c r="K270" i="3" s="1"/>
  <c r="AE270" i="3" s="1"/>
  <c r="D270" i="3"/>
  <c r="G270" i="3" s="1"/>
  <c r="F270" i="3" l="1"/>
  <c r="V270" i="3"/>
  <c r="A271" i="3"/>
  <c r="B271" i="3" s="1"/>
  <c r="I270" i="3"/>
  <c r="J270" i="3"/>
  <c r="M270" i="3"/>
  <c r="N270" i="3" s="1"/>
  <c r="L270" i="3" l="1"/>
  <c r="Z271" i="3"/>
  <c r="AA271" i="3"/>
  <c r="P271" i="3"/>
  <c r="Q271" i="3" s="1"/>
  <c r="R271" i="3" s="1"/>
  <c r="S271" i="3" s="1"/>
  <c r="AC271" i="3"/>
  <c r="AD271" i="3"/>
  <c r="W270" i="3"/>
  <c r="U270" i="3" l="1"/>
  <c r="Y269" i="3"/>
  <c r="T271" i="3"/>
  <c r="AH271" i="3" s="1"/>
  <c r="AG271" i="3" l="1"/>
  <c r="D271" i="3"/>
  <c r="E271" i="3"/>
  <c r="H271" i="3" s="1"/>
  <c r="K271" i="3" l="1"/>
  <c r="AE271" i="3" s="1"/>
  <c r="F271" i="3"/>
  <c r="G271" i="3"/>
  <c r="I271" i="3" l="1"/>
  <c r="J271" i="3"/>
  <c r="M271" i="3"/>
  <c r="N271" i="3" s="1"/>
  <c r="V271" i="3"/>
  <c r="A272" i="3"/>
  <c r="B272" i="3" s="1"/>
  <c r="W271" i="3" l="1"/>
  <c r="L271" i="3"/>
  <c r="Z272" i="3"/>
  <c r="AA272" i="3"/>
  <c r="P272" i="3"/>
  <c r="Q272" i="3" s="1"/>
  <c r="R272" i="3" s="1"/>
  <c r="S272" i="3" s="1"/>
  <c r="AC272" i="3"/>
  <c r="T272" i="3" l="1"/>
  <c r="U271" i="3"/>
  <c r="Y270" i="3"/>
  <c r="D272" i="3" l="1"/>
  <c r="G272" i="3" s="1"/>
  <c r="E272" i="3"/>
  <c r="H272" i="3" s="1"/>
  <c r="K272" i="3" s="1"/>
  <c r="AE272" i="3" s="1"/>
  <c r="AG272" i="3"/>
  <c r="AH272" i="3"/>
  <c r="F272" i="3" l="1"/>
  <c r="I272" i="3"/>
  <c r="J272" i="3"/>
  <c r="AD272" i="3" s="1"/>
  <c r="M272" i="3"/>
  <c r="N272" i="3" s="1"/>
  <c r="V272" i="3"/>
  <c r="A273" i="3"/>
  <c r="B273" i="3" s="1"/>
  <c r="W272" i="3" l="1"/>
  <c r="L272" i="3"/>
  <c r="AA273" i="3"/>
  <c r="P273" i="3"/>
  <c r="Q273" i="3" s="1"/>
  <c r="R273" i="3" s="1"/>
  <c r="S273" i="3" s="1"/>
  <c r="Z273" i="3"/>
  <c r="AC273" i="3"/>
  <c r="AD273" i="3"/>
  <c r="T273" i="3" l="1"/>
  <c r="AG273" i="3" s="1"/>
  <c r="U272" i="3"/>
  <c r="Y271" i="3"/>
  <c r="D273" i="3" l="1"/>
  <c r="G273" i="3" s="1"/>
  <c r="AH273" i="3"/>
  <c r="E273" i="3"/>
  <c r="H273" i="3" s="1"/>
  <c r="F273" i="3" l="1"/>
  <c r="I273" i="3"/>
  <c r="J273" i="3"/>
  <c r="M273" i="3"/>
  <c r="N273" i="3" s="1"/>
  <c r="K273" i="3"/>
  <c r="AE273" i="3" s="1"/>
  <c r="L273" i="3" l="1"/>
  <c r="V273" i="3"/>
  <c r="W273" i="3" s="1"/>
  <c r="A274" i="3"/>
  <c r="B274" i="3" s="1"/>
  <c r="P274" i="3" l="1"/>
  <c r="Q274" i="3" s="1"/>
  <c r="R274" i="3" s="1"/>
  <c r="S274" i="3" s="1"/>
  <c r="AC274" i="3"/>
  <c r="Z274" i="3"/>
  <c r="AA274" i="3"/>
  <c r="U273" i="3"/>
  <c r="Y272" i="3"/>
  <c r="T274" i="3" l="1"/>
  <c r="AG274" i="3" s="1"/>
  <c r="D274" i="3" l="1"/>
  <c r="G274" i="3" s="1"/>
  <c r="AH274" i="3"/>
  <c r="E274" i="3"/>
  <c r="H274" i="3" s="1"/>
  <c r="I274" i="3" l="1"/>
  <c r="J274" i="3"/>
  <c r="AD274" i="3" s="1"/>
  <c r="M274" i="3"/>
  <c r="N274" i="3" s="1"/>
  <c r="K274" i="3"/>
  <c r="AE274" i="3" s="1"/>
  <c r="F274" i="3"/>
  <c r="L274" i="3" l="1"/>
  <c r="V274" i="3"/>
  <c r="W274" i="3" s="1"/>
  <c r="A275" i="3"/>
  <c r="B275" i="3" s="1"/>
  <c r="U274" i="3" l="1"/>
  <c r="Y273" i="3"/>
  <c r="AA275" i="3"/>
  <c r="P275" i="3"/>
  <c r="Q275" i="3" s="1"/>
  <c r="R275" i="3" s="1"/>
  <c r="S275" i="3" s="1"/>
  <c r="AD275" i="3"/>
  <c r="Z275" i="3"/>
  <c r="AC275" i="3"/>
  <c r="T275" i="3" l="1"/>
  <c r="AH275" i="3" s="1"/>
  <c r="E275" i="3" l="1"/>
  <c r="H275" i="3" s="1"/>
  <c r="AG275" i="3"/>
  <c r="D275" i="3"/>
  <c r="F275" i="3" l="1"/>
  <c r="G275" i="3"/>
  <c r="K275" i="3"/>
  <c r="AE275" i="3" s="1"/>
  <c r="I275" i="3" l="1"/>
  <c r="J275" i="3"/>
  <c r="M275" i="3"/>
  <c r="N275" i="3" s="1"/>
  <c r="V275" i="3"/>
  <c r="A276" i="3"/>
  <c r="B276" i="3" s="1"/>
  <c r="W275" i="3" l="1"/>
  <c r="L275" i="3"/>
  <c r="AA276" i="3"/>
  <c r="Z276" i="3"/>
  <c r="P276" i="3"/>
  <c r="Q276" i="3" s="1"/>
  <c r="R276" i="3" s="1"/>
  <c r="S276" i="3" s="1"/>
  <c r="AC276" i="3"/>
  <c r="AD276" i="3"/>
  <c r="U275" i="3" l="1"/>
  <c r="Y274" i="3"/>
  <c r="T276" i="3"/>
  <c r="AH276" i="3" s="1"/>
  <c r="D276" i="3" l="1"/>
  <c r="AG276" i="3"/>
  <c r="E276" i="3"/>
  <c r="H276" i="3" s="1"/>
  <c r="F276" i="3" l="1"/>
  <c r="G276" i="3"/>
  <c r="K276" i="3"/>
  <c r="AE276" i="3" s="1"/>
  <c r="I276" i="3" l="1"/>
  <c r="J276" i="3"/>
  <c r="M276" i="3"/>
  <c r="N276" i="3" s="1"/>
  <c r="V276" i="3"/>
  <c r="A277" i="3"/>
  <c r="B277" i="3" s="1"/>
  <c r="W276" i="3" l="1"/>
  <c r="L276" i="3"/>
  <c r="P277" i="3"/>
  <c r="Q277" i="3" s="1"/>
  <c r="R277" i="3" s="1"/>
  <c r="S277" i="3" s="1"/>
  <c r="AC277" i="3"/>
  <c r="Z277" i="3"/>
  <c r="AA277" i="3"/>
  <c r="U276" i="3" l="1"/>
  <c r="Y275" i="3"/>
  <c r="T277" i="3"/>
  <c r="AG277" i="3" s="1"/>
  <c r="D277" i="3" l="1"/>
  <c r="G277" i="3" s="1"/>
  <c r="E277" i="3"/>
  <c r="H277" i="3" s="1"/>
  <c r="K277" i="3" s="1"/>
  <c r="AE277" i="3" s="1"/>
  <c r="AH277" i="3"/>
  <c r="F277" i="3" l="1"/>
  <c r="V277" i="3"/>
  <c r="A278" i="3"/>
  <c r="B278" i="3" s="1"/>
  <c r="I277" i="3"/>
  <c r="J277" i="3"/>
  <c r="AD277" i="3" s="1"/>
  <c r="M277" i="3"/>
  <c r="N277" i="3" s="1"/>
  <c r="W277" i="3" l="1"/>
  <c r="L277" i="3"/>
  <c r="AC278" i="3"/>
  <c r="Z278" i="3"/>
  <c r="P278" i="3"/>
  <c r="Q278" i="3" s="1"/>
  <c r="R278" i="3" s="1"/>
  <c r="S278" i="3" s="1"/>
  <c r="AA278" i="3"/>
  <c r="T278" i="3" l="1"/>
  <c r="U277" i="3"/>
  <c r="Y276" i="3"/>
  <c r="E278" i="3" l="1"/>
  <c r="H278" i="3" s="1"/>
  <c r="K278" i="3" s="1"/>
  <c r="AE278" i="3" s="1"/>
  <c r="D278" i="3"/>
  <c r="AH278" i="3"/>
  <c r="AG278" i="3"/>
  <c r="V278" i="3" l="1"/>
  <c r="A279" i="3"/>
  <c r="B279" i="3" s="1"/>
  <c r="F278" i="3"/>
  <c r="G278" i="3"/>
  <c r="I278" i="3" l="1"/>
  <c r="W278" i="3" s="1"/>
  <c r="J278" i="3"/>
  <c r="AD278" i="3" s="1"/>
  <c r="M278" i="3"/>
  <c r="N278" i="3" s="1"/>
  <c r="P279" i="3"/>
  <c r="Q279" i="3" s="1"/>
  <c r="R279" i="3" s="1"/>
  <c r="S279" i="3" s="1"/>
  <c r="AA279" i="3"/>
  <c r="AD279" i="3"/>
  <c r="Z279" i="3"/>
  <c r="AC279" i="3"/>
  <c r="T279" i="3" l="1"/>
  <c r="L278" i="3"/>
  <c r="U278" i="3" l="1"/>
  <c r="D279" i="3" s="1"/>
  <c r="AG279" i="3"/>
  <c r="AH279" i="3"/>
  <c r="Y277" i="3"/>
  <c r="G279" i="3" l="1"/>
  <c r="E279" i="3"/>
  <c r="H279" i="3" s="1"/>
  <c r="I279" i="3" l="1"/>
  <c r="J279" i="3"/>
  <c r="M279" i="3"/>
  <c r="N279" i="3" s="1"/>
  <c r="F279" i="3"/>
  <c r="K279" i="3"/>
  <c r="AE279" i="3" s="1"/>
  <c r="V279" i="3" l="1"/>
  <c r="W279" i="3" s="1"/>
  <c r="A280" i="3"/>
  <c r="B280" i="3" s="1"/>
  <c r="L279" i="3"/>
  <c r="U279" i="3" l="1"/>
  <c r="Y278" i="3"/>
  <c r="AA280" i="3"/>
  <c r="P280" i="3"/>
  <c r="Q280" i="3" s="1"/>
  <c r="R280" i="3" s="1"/>
  <c r="S280" i="3" s="1"/>
  <c r="AD280" i="3"/>
  <c r="AC280" i="3"/>
  <c r="Z280" i="3"/>
  <c r="T280" i="3" l="1"/>
  <c r="AH280" i="3" s="1"/>
  <c r="D280" i="3" l="1"/>
  <c r="G280" i="3" s="1"/>
  <c r="E280" i="3"/>
  <c r="H280" i="3" s="1"/>
  <c r="K280" i="3" s="1"/>
  <c r="AE280" i="3" s="1"/>
  <c r="AG280" i="3"/>
  <c r="F280" i="3" l="1"/>
  <c r="I280" i="3"/>
  <c r="J280" i="3"/>
  <c r="M280" i="3"/>
  <c r="N280" i="3" s="1"/>
  <c r="V280" i="3"/>
  <c r="A281" i="3"/>
  <c r="B281" i="3" s="1"/>
  <c r="L280" i="3" l="1"/>
  <c r="W280" i="3"/>
  <c r="AC281" i="3"/>
  <c r="AA281" i="3"/>
  <c r="P281" i="3"/>
  <c r="Q281" i="3" s="1"/>
  <c r="R281" i="3" s="1"/>
  <c r="S281" i="3" s="1"/>
  <c r="AD281" i="3"/>
  <c r="Z281" i="3"/>
  <c r="T281" i="3" l="1"/>
  <c r="AG281" i="3" s="1"/>
  <c r="U280" i="3"/>
  <c r="Y279" i="3"/>
  <c r="D281" i="3" l="1"/>
  <c r="E281" i="3"/>
  <c r="H281" i="3" s="1"/>
  <c r="AH281" i="3"/>
  <c r="F281" i="3" l="1"/>
  <c r="G281" i="3"/>
  <c r="K281" i="3"/>
  <c r="AE281" i="3" s="1"/>
  <c r="I281" i="3" l="1"/>
  <c r="J281" i="3"/>
  <c r="M281" i="3"/>
  <c r="N281" i="3" s="1"/>
  <c r="V281" i="3"/>
  <c r="A282" i="3"/>
  <c r="B282" i="3" s="1"/>
  <c r="W281" i="3" l="1"/>
  <c r="L281" i="3"/>
  <c r="AC282" i="3"/>
  <c r="Z282" i="3"/>
  <c r="P282" i="3"/>
  <c r="Q282" i="3" s="1"/>
  <c r="R282" i="3" s="1"/>
  <c r="S282" i="3" s="1"/>
  <c r="AA282" i="3"/>
  <c r="U281" i="3" l="1"/>
  <c r="Y280" i="3"/>
  <c r="T282" i="3"/>
  <c r="D282" i="3" l="1"/>
  <c r="G282" i="3" s="1"/>
  <c r="E282" i="3"/>
  <c r="H282" i="3" s="1"/>
  <c r="AH282" i="3"/>
  <c r="AG282" i="3"/>
  <c r="F282" i="3" l="1"/>
  <c r="I282" i="3"/>
  <c r="J282" i="3"/>
  <c r="AD282" i="3" s="1"/>
  <c r="M282" i="3"/>
  <c r="N282" i="3" s="1"/>
  <c r="K282" i="3"/>
  <c r="AE282" i="3" s="1"/>
  <c r="V282" i="3" l="1"/>
  <c r="W282" i="3" s="1"/>
  <c r="A283" i="3"/>
  <c r="B283" i="3" s="1"/>
  <c r="L282" i="3"/>
  <c r="U282" i="3" l="1"/>
  <c r="Y281" i="3"/>
  <c r="Z283" i="3"/>
  <c r="AC283" i="3"/>
  <c r="AD283" i="3"/>
  <c r="P283" i="3"/>
  <c r="Q283" i="3" s="1"/>
  <c r="R283" i="3" s="1"/>
  <c r="S283" i="3" s="1"/>
  <c r="AA283" i="3"/>
  <c r="T283" i="3" l="1"/>
  <c r="AH283" i="3" s="1"/>
  <c r="AG283" i="3" l="1"/>
  <c r="E283" i="3"/>
  <c r="H283" i="3" s="1"/>
  <c r="K283" i="3" s="1"/>
  <c r="AE283" i="3" s="1"/>
  <c r="D283" i="3"/>
  <c r="F283" i="3" l="1"/>
  <c r="G283" i="3"/>
  <c r="J283" i="3" s="1"/>
  <c r="V283" i="3"/>
  <c r="A284" i="3"/>
  <c r="B284" i="3" s="1"/>
  <c r="M283" i="3" l="1"/>
  <c r="N283" i="3" s="1"/>
  <c r="I283" i="3"/>
  <c r="W283" i="3" s="1"/>
  <c r="L283" i="3"/>
  <c r="AC284" i="3"/>
  <c r="AA284" i="3"/>
  <c r="P284" i="3"/>
  <c r="Q284" i="3" s="1"/>
  <c r="R284" i="3" s="1"/>
  <c r="S284" i="3" s="1"/>
  <c r="Z284" i="3"/>
  <c r="T284" i="3" l="1"/>
  <c r="AH284" i="3" s="1"/>
  <c r="U283" i="3"/>
  <c r="Y282" i="3"/>
  <c r="AG284" i="3" l="1"/>
  <c r="D284" i="3"/>
  <c r="E284" i="3"/>
  <c r="H284" i="3" s="1"/>
  <c r="F284" i="3" l="1"/>
  <c r="G284" i="3"/>
  <c r="K284" i="3"/>
  <c r="AE284" i="3" s="1"/>
  <c r="V284" i="3" l="1"/>
  <c r="A285" i="3"/>
  <c r="B285" i="3" s="1"/>
  <c r="I284" i="3"/>
  <c r="J284" i="3"/>
  <c r="AD284" i="3" s="1"/>
  <c r="M284" i="3"/>
  <c r="N284" i="3" s="1"/>
  <c r="W284" i="3" l="1"/>
  <c r="L284" i="3"/>
  <c r="AD285" i="3"/>
  <c r="AA285" i="3"/>
  <c r="P285" i="3"/>
  <c r="Q285" i="3" s="1"/>
  <c r="R285" i="3" s="1"/>
  <c r="S285" i="3" s="1"/>
  <c r="Z285" i="3"/>
  <c r="AC285" i="3"/>
  <c r="U284" i="3" l="1"/>
  <c r="Y283" i="3"/>
  <c r="T285" i="3"/>
  <c r="E285" i="3" l="1"/>
  <c r="H285" i="3" s="1"/>
  <c r="K285" i="3" s="1"/>
  <c r="AE285" i="3" s="1"/>
  <c r="AH285" i="3"/>
  <c r="D285" i="3"/>
  <c r="G285" i="3" s="1"/>
  <c r="AG285" i="3"/>
  <c r="F285" i="3" l="1"/>
  <c r="V285" i="3"/>
  <c r="A286" i="3"/>
  <c r="B286" i="3" s="1"/>
  <c r="I285" i="3"/>
  <c r="J285" i="3"/>
  <c r="M285" i="3"/>
  <c r="N285" i="3" s="1"/>
  <c r="W285" i="3" l="1"/>
  <c r="L285" i="3"/>
  <c r="AA286" i="3"/>
  <c r="P286" i="3"/>
  <c r="Q286" i="3" s="1"/>
  <c r="R286" i="3" s="1"/>
  <c r="S286" i="3" s="1"/>
  <c r="AD286" i="3"/>
  <c r="AC286" i="3"/>
  <c r="Z286" i="3"/>
  <c r="T286" i="3" l="1"/>
  <c r="AH286" i="3" s="1"/>
  <c r="U285" i="3"/>
  <c r="Y284" i="3"/>
  <c r="D286" i="3" l="1"/>
  <c r="G286" i="3" s="1"/>
  <c r="AG286" i="3"/>
  <c r="E286" i="3"/>
  <c r="H286" i="3" s="1"/>
  <c r="F286" i="3" l="1"/>
  <c r="I286" i="3"/>
  <c r="J286" i="3"/>
  <c r="M286" i="3"/>
  <c r="N286" i="3" s="1"/>
  <c r="K286" i="3"/>
  <c r="AE286" i="3" s="1"/>
  <c r="V286" i="3" l="1"/>
  <c r="W286" i="3" s="1"/>
  <c r="A287" i="3"/>
  <c r="B287" i="3" s="1"/>
  <c r="L286" i="3"/>
  <c r="U286" i="3" l="1"/>
  <c r="Y285" i="3"/>
  <c r="P287" i="3"/>
  <c r="Q287" i="3" s="1"/>
  <c r="R287" i="3" s="1"/>
  <c r="S287" i="3" s="1"/>
  <c r="AA287" i="3"/>
  <c r="Z287" i="3"/>
  <c r="AC287" i="3"/>
  <c r="T287" i="3" l="1"/>
  <c r="D287" i="3" s="1"/>
  <c r="G287" i="3" l="1"/>
  <c r="AH287" i="3"/>
  <c r="AG287" i="3"/>
  <c r="E287" i="3"/>
  <c r="H287" i="3" s="1"/>
  <c r="F287" i="3" l="1"/>
  <c r="K287" i="3"/>
  <c r="AE287" i="3" s="1"/>
  <c r="I287" i="3"/>
  <c r="J287" i="3"/>
  <c r="AD287" i="3" s="1"/>
  <c r="M287" i="3"/>
  <c r="N287" i="3" s="1"/>
  <c r="L287" i="3" l="1"/>
  <c r="V287" i="3"/>
  <c r="W287" i="3" s="1"/>
  <c r="A288" i="3"/>
  <c r="B288" i="3" s="1"/>
  <c r="U287" i="3" l="1"/>
  <c r="Y286" i="3"/>
  <c r="P288" i="3"/>
  <c r="Q288" i="3" s="1"/>
  <c r="R288" i="3" s="1"/>
  <c r="S288" i="3" s="1"/>
  <c r="AA288" i="3"/>
  <c r="AC288" i="3"/>
  <c r="Z288" i="3"/>
  <c r="T288" i="3" l="1"/>
  <c r="D288" i="3" s="1"/>
  <c r="AG288" i="3" l="1"/>
  <c r="AH288" i="3"/>
  <c r="E288" i="3"/>
  <c r="H288" i="3" s="1"/>
  <c r="K288" i="3" s="1"/>
  <c r="AE288" i="3" s="1"/>
  <c r="G288" i="3"/>
  <c r="F288" i="3" l="1"/>
  <c r="I288" i="3"/>
  <c r="J288" i="3"/>
  <c r="AD288" i="3" s="1"/>
  <c r="M288" i="3"/>
  <c r="N288" i="3" s="1"/>
  <c r="V288" i="3"/>
  <c r="A289" i="3"/>
  <c r="B289" i="3" s="1"/>
  <c r="W288" i="3" l="1"/>
  <c r="L288" i="3"/>
  <c r="AD289" i="3"/>
  <c r="P289" i="3"/>
  <c r="Q289" i="3" s="1"/>
  <c r="R289" i="3" s="1"/>
  <c r="S289" i="3" s="1"/>
  <c r="AA289" i="3"/>
  <c r="AC289" i="3"/>
  <c r="Z289" i="3"/>
  <c r="T289" i="3" l="1"/>
  <c r="U288" i="3"/>
  <c r="Y287" i="3"/>
  <c r="E289" i="3" l="1"/>
  <c r="H289" i="3" s="1"/>
  <c r="K289" i="3" s="1"/>
  <c r="AE289" i="3" s="1"/>
  <c r="AH289" i="3"/>
  <c r="AG289" i="3"/>
  <c r="D289" i="3"/>
  <c r="V289" i="3" l="1"/>
  <c r="A290" i="3"/>
  <c r="B290" i="3" s="1"/>
  <c r="F289" i="3"/>
  <c r="G289" i="3"/>
  <c r="I289" i="3" l="1"/>
  <c r="W289" i="3" s="1"/>
  <c r="J289" i="3"/>
  <c r="M289" i="3"/>
  <c r="N289" i="3" s="1"/>
  <c r="AA290" i="3"/>
  <c r="AC290" i="3"/>
  <c r="Z290" i="3"/>
  <c r="P290" i="3"/>
  <c r="Q290" i="3" s="1"/>
  <c r="R290" i="3" s="1"/>
  <c r="S290" i="3" s="1"/>
  <c r="AD290" i="3"/>
  <c r="T290" i="3" l="1"/>
  <c r="L289" i="3"/>
  <c r="U289" i="3" l="1"/>
  <c r="E290" i="3" s="1"/>
  <c r="H290" i="3" s="1"/>
  <c r="AH290" i="3"/>
  <c r="AG290" i="3"/>
  <c r="Y288" i="3"/>
  <c r="D290" i="3" l="1"/>
  <c r="G290" i="3" s="1"/>
  <c r="K290" i="3"/>
  <c r="AE290" i="3" s="1"/>
  <c r="F290" i="3" l="1"/>
  <c r="I290" i="3"/>
  <c r="J290" i="3"/>
  <c r="M290" i="3"/>
  <c r="N290" i="3" s="1"/>
  <c r="V290" i="3"/>
  <c r="A291" i="3"/>
  <c r="B291" i="3" s="1"/>
  <c r="L290" i="3" l="1"/>
  <c r="W290" i="3"/>
  <c r="P291" i="3"/>
  <c r="Q291" i="3" s="1"/>
  <c r="R291" i="3" s="1"/>
  <c r="S291" i="3" s="1"/>
  <c r="AD291" i="3"/>
  <c r="Z291" i="3"/>
  <c r="AA291" i="3"/>
  <c r="AC291" i="3"/>
  <c r="U290" i="3" l="1"/>
  <c r="Y289" i="3"/>
  <c r="T291" i="3"/>
  <c r="AG291" i="3" s="1"/>
  <c r="D291" i="3" l="1"/>
  <c r="E291" i="3"/>
  <c r="H291" i="3" s="1"/>
  <c r="AH291" i="3"/>
  <c r="K291" i="3" l="1"/>
  <c r="AE291" i="3" s="1"/>
  <c r="F291" i="3"/>
  <c r="G291" i="3"/>
  <c r="I291" i="3" l="1"/>
  <c r="J291" i="3"/>
  <c r="M291" i="3"/>
  <c r="N291" i="3" s="1"/>
  <c r="V291" i="3"/>
  <c r="A292" i="3"/>
  <c r="B292" i="3" s="1"/>
  <c r="W291" i="3" l="1"/>
  <c r="L291" i="3"/>
  <c r="Z292" i="3"/>
  <c r="AC292" i="3"/>
  <c r="AA292" i="3"/>
  <c r="P292" i="3"/>
  <c r="Q292" i="3" s="1"/>
  <c r="R292" i="3" s="1"/>
  <c r="S292" i="3" s="1"/>
  <c r="U291" i="3" l="1"/>
  <c r="Y290" i="3"/>
  <c r="T292" i="3"/>
  <c r="E292" i="3" l="1"/>
  <c r="H292" i="3" s="1"/>
  <c r="K292" i="3" s="1"/>
  <c r="AE292" i="3" s="1"/>
  <c r="D292" i="3"/>
  <c r="AG292" i="3"/>
  <c r="AH292" i="3"/>
  <c r="V292" i="3" l="1"/>
  <c r="A293" i="3"/>
  <c r="B293" i="3" s="1"/>
  <c r="F292" i="3"/>
  <c r="G292" i="3"/>
  <c r="I292" i="3" l="1"/>
  <c r="W292" i="3" s="1"/>
  <c r="J292" i="3"/>
  <c r="AD292" i="3" s="1"/>
  <c r="M292" i="3"/>
  <c r="N292" i="3" s="1"/>
  <c r="Z293" i="3"/>
  <c r="AC293" i="3"/>
  <c r="AD293" i="3"/>
  <c r="P293" i="3"/>
  <c r="Q293" i="3" s="1"/>
  <c r="R293" i="3" s="1"/>
  <c r="S293" i="3" s="1"/>
  <c r="AA293" i="3"/>
  <c r="L292" i="3" l="1"/>
  <c r="T293" i="3"/>
  <c r="U292" i="3" l="1"/>
  <c r="E293" i="3" s="1"/>
  <c r="H293" i="3" s="1"/>
  <c r="AH293" i="3"/>
  <c r="AG293" i="3"/>
  <c r="Y291" i="3"/>
  <c r="K293" i="3" l="1"/>
  <c r="AE293" i="3" s="1"/>
  <c r="D293" i="3"/>
  <c r="V293" i="3" l="1"/>
  <c r="A294" i="3"/>
  <c r="B294" i="3" s="1"/>
  <c r="F293" i="3"/>
  <c r="G293" i="3"/>
  <c r="I293" i="3" l="1"/>
  <c r="W293" i="3" s="1"/>
  <c r="J293" i="3"/>
  <c r="M293" i="3"/>
  <c r="N293" i="3" s="1"/>
  <c r="AA294" i="3"/>
  <c r="P294" i="3"/>
  <c r="Q294" i="3" s="1"/>
  <c r="R294" i="3" s="1"/>
  <c r="S294" i="3" s="1"/>
  <c r="Z294" i="3"/>
  <c r="AC294" i="3"/>
  <c r="L293" i="3" l="1"/>
  <c r="T294" i="3"/>
  <c r="AG294" i="3" l="1"/>
  <c r="U293" i="3"/>
  <c r="E294" i="3" s="1"/>
  <c r="H294" i="3" s="1"/>
  <c r="AH294" i="3"/>
  <c r="Y292" i="3"/>
  <c r="D294" i="3" l="1"/>
  <c r="G294" i="3" s="1"/>
  <c r="K294" i="3"/>
  <c r="AE294" i="3" s="1"/>
  <c r="F294" i="3" l="1"/>
  <c r="I294" i="3"/>
  <c r="J294" i="3"/>
  <c r="AD294" i="3" s="1"/>
  <c r="M294" i="3"/>
  <c r="N294" i="3" s="1"/>
  <c r="V294" i="3"/>
  <c r="A295" i="3"/>
  <c r="B295" i="3" s="1"/>
  <c r="L294" i="3" l="1"/>
  <c r="W294" i="3"/>
  <c r="AA295" i="3"/>
  <c r="AD295" i="3"/>
  <c r="P295" i="3"/>
  <c r="Q295" i="3" s="1"/>
  <c r="R295" i="3" s="1"/>
  <c r="S295" i="3" s="1"/>
  <c r="AC295" i="3"/>
  <c r="Z295" i="3"/>
  <c r="U294" i="3" l="1"/>
  <c r="Y293" i="3"/>
  <c r="T295" i="3"/>
  <c r="AG295" i="3" s="1"/>
  <c r="D295" i="3" l="1"/>
  <c r="AH295" i="3"/>
  <c r="E295" i="3"/>
  <c r="H295" i="3" s="1"/>
  <c r="F295" i="3" l="1"/>
  <c r="G295" i="3"/>
  <c r="K295" i="3"/>
  <c r="AE295" i="3" s="1"/>
  <c r="V295" i="3" l="1"/>
  <c r="A296" i="3"/>
  <c r="B296" i="3" s="1"/>
  <c r="I295" i="3"/>
  <c r="J295" i="3"/>
  <c r="M295" i="3"/>
  <c r="N295" i="3" s="1"/>
  <c r="L295" i="3" l="1"/>
  <c r="AC296" i="3"/>
  <c r="Z296" i="3"/>
  <c r="AD296" i="3"/>
  <c r="P296" i="3"/>
  <c r="Q296" i="3" s="1"/>
  <c r="R296" i="3" s="1"/>
  <c r="S296" i="3" s="1"/>
  <c r="AA296" i="3"/>
  <c r="W295" i="3"/>
  <c r="T296" i="3" l="1"/>
  <c r="U295" i="3"/>
  <c r="Y294" i="3"/>
  <c r="D296" i="3" l="1"/>
  <c r="G296" i="3" s="1"/>
  <c r="AG296" i="3"/>
  <c r="AH296" i="3"/>
  <c r="E296" i="3"/>
  <c r="H296" i="3" s="1"/>
  <c r="F296" i="3" l="1"/>
  <c r="I296" i="3"/>
  <c r="J296" i="3"/>
  <c r="M296" i="3"/>
  <c r="N296" i="3" s="1"/>
  <c r="K296" i="3"/>
  <c r="AE296" i="3" s="1"/>
  <c r="V296" i="3" l="1"/>
  <c r="W296" i="3" s="1"/>
  <c r="A297" i="3"/>
  <c r="B297" i="3" s="1"/>
  <c r="L296" i="3"/>
  <c r="U296" i="3" l="1"/>
  <c r="Y295" i="3"/>
  <c r="AA297" i="3"/>
  <c r="P297" i="3"/>
  <c r="Q297" i="3" s="1"/>
  <c r="R297" i="3" s="1"/>
  <c r="S297" i="3" s="1"/>
  <c r="Z297" i="3"/>
  <c r="AC297" i="3"/>
  <c r="T297" i="3" l="1"/>
  <c r="E297" i="3" s="1"/>
  <c r="H297" i="3" s="1"/>
  <c r="D297" i="3" l="1"/>
  <c r="F297" i="3" s="1"/>
  <c r="AG297" i="3"/>
  <c r="K297" i="3"/>
  <c r="AE297" i="3" s="1"/>
  <c r="AH297" i="3"/>
  <c r="G297" i="3" l="1"/>
  <c r="M297" i="3" s="1"/>
  <c r="N297" i="3" s="1"/>
  <c r="V297" i="3"/>
  <c r="A298" i="3"/>
  <c r="B298" i="3" s="1"/>
  <c r="J297" i="3" l="1"/>
  <c r="I297" i="3"/>
  <c r="W297" i="3" s="1"/>
  <c r="Z298" i="3"/>
  <c r="P298" i="3"/>
  <c r="Q298" i="3" s="1"/>
  <c r="R298" i="3" s="1"/>
  <c r="S298" i="3" s="1"/>
  <c r="AA298" i="3"/>
  <c r="AC298" i="3"/>
  <c r="L297" i="3" l="1"/>
  <c r="U297" i="3" s="1"/>
  <c r="AD297" i="3"/>
  <c r="T298" i="3"/>
  <c r="Y296" i="3" l="1"/>
  <c r="E298" i="3"/>
  <c r="H298" i="3" s="1"/>
  <c r="K298" i="3" s="1"/>
  <c r="AE298" i="3" s="1"/>
  <c r="AH298" i="3"/>
  <c r="D298" i="3"/>
  <c r="AG298" i="3"/>
  <c r="F298" i="3" l="1"/>
  <c r="G298" i="3"/>
  <c r="V298" i="3"/>
  <c r="A299" i="3"/>
  <c r="B299" i="3" s="1"/>
  <c r="I298" i="3" l="1"/>
  <c r="W298" i="3" s="1"/>
  <c r="J298" i="3"/>
  <c r="AD298" i="3" s="1"/>
  <c r="M298" i="3"/>
  <c r="N298" i="3" s="1"/>
  <c r="Z299" i="3"/>
  <c r="AD299" i="3"/>
  <c r="P299" i="3"/>
  <c r="Q299" i="3" s="1"/>
  <c r="R299" i="3" s="1"/>
  <c r="S299" i="3" s="1"/>
  <c r="AA299" i="3"/>
  <c r="AC299" i="3"/>
  <c r="L298" i="3" l="1"/>
  <c r="T299" i="3"/>
  <c r="AG299" i="3" l="1"/>
  <c r="U298" i="3"/>
  <c r="E299" i="3" s="1"/>
  <c r="H299" i="3" s="1"/>
  <c r="AH299" i="3"/>
  <c r="Y297" i="3"/>
  <c r="D299" i="3" l="1"/>
  <c r="G299" i="3" s="1"/>
  <c r="K299" i="3"/>
  <c r="AE299" i="3" s="1"/>
  <c r="F299" i="3" l="1"/>
  <c r="I299" i="3"/>
  <c r="J299" i="3"/>
  <c r="M299" i="3"/>
  <c r="N299" i="3" s="1"/>
  <c r="V299" i="3"/>
  <c r="A300" i="3"/>
  <c r="B300" i="3" s="1"/>
  <c r="W299" i="3" l="1"/>
  <c r="L299" i="3"/>
  <c r="Z300" i="3"/>
  <c r="P300" i="3"/>
  <c r="Q300" i="3" s="1"/>
  <c r="R300" i="3" s="1"/>
  <c r="S300" i="3" s="1"/>
  <c r="AD300" i="3"/>
  <c r="AA300" i="3"/>
  <c r="AC300" i="3"/>
  <c r="U299" i="3" l="1"/>
  <c r="Y298" i="3"/>
  <c r="T300" i="3"/>
  <c r="E300" i="3" l="1"/>
  <c r="H300" i="3" s="1"/>
  <c r="K300" i="3" s="1"/>
  <c r="AE300" i="3" s="1"/>
  <c r="AH300" i="3"/>
  <c r="AG300" i="3"/>
  <c r="D300" i="3"/>
  <c r="F300" i="3" l="1"/>
  <c r="G300" i="3"/>
  <c r="V300" i="3"/>
  <c r="A301" i="3"/>
  <c r="B301" i="3" s="1"/>
  <c r="I300" i="3" l="1"/>
  <c r="W300" i="3" s="1"/>
  <c r="J300" i="3"/>
  <c r="M300" i="3"/>
  <c r="N300" i="3" s="1"/>
  <c r="AC301" i="3"/>
  <c r="Z301" i="3"/>
  <c r="AD301" i="3"/>
  <c r="AA301" i="3"/>
  <c r="P301" i="3"/>
  <c r="Q301" i="3" s="1"/>
  <c r="R301" i="3" s="1"/>
  <c r="S301" i="3" s="1"/>
  <c r="L300" i="3" l="1"/>
  <c r="T301" i="3"/>
  <c r="AH301" i="3" l="1"/>
  <c r="U300" i="3"/>
  <c r="D301" i="3" s="1"/>
  <c r="AG301" i="3"/>
  <c r="Y299" i="3"/>
  <c r="E301" i="3" l="1"/>
  <c r="H301" i="3" s="1"/>
  <c r="K301" i="3" s="1"/>
  <c r="AE301" i="3" s="1"/>
  <c r="G301" i="3"/>
  <c r="F301" i="3" l="1"/>
  <c r="I301" i="3"/>
  <c r="J301" i="3"/>
  <c r="M301" i="3"/>
  <c r="N301" i="3" s="1"/>
  <c r="V301" i="3"/>
  <c r="A302" i="3"/>
  <c r="B302" i="3" s="1"/>
  <c r="W301" i="3" l="1"/>
  <c r="L301" i="3"/>
  <c r="P302" i="3"/>
  <c r="Q302" i="3" s="1"/>
  <c r="R302" i="3" s="1"/>
  <c r="S302" i="3" s="1"/>
  <c r="AA302" i="3"/>
  <c r="AC302" i="3"/>
  <c r="Z302" i="3"/>
  <c r="U301" i="3" l="1"/>
  <c r="Y300" i="3"/>
  <c r="T302" i="3"/>
  <c r="AG302" i="3" s="1"/>
  <c r="AH302" i="3" l="1"/>
  <c r="D302" i="3"/>
  <c r="E302" i="3"/>
  <c r="H302" i="3" s="1"/>
  <c r="K302" i="3" s="1"/>
  <c r="AE302" i="3" s="1"/>
  <c r="F302" i="3" l="1"/>
  <c r="G302" i="3"/>
  <c r="M302" i="3" s="1"/>
  <c r="N302" i="3" s="1"/>
  <c r="V302" i="3"/>
  <c r="A303" i="3"/>
  <c r="B303" i="3" s="1"/>
  <c r="I302" i="3" l="1"/>
  <c r="W302" i="3" s="1"/>
  <c r="J302" i="3"/>
  <c r="AD303" i="3"/>
  <c r="Z303" i="3"/>
  <c r="P303" i="3"/>
  <c r="Q303" i="3" s="1"/>
  <c r="R303" i="3" s="1"/>
  <c r="S303" i="3" s="1"/>
  <c r="AA303" i="3"/>
  <c r="AC303" i="3"/>
  <c r="L302" i="3" l="1"/>
  <c r="Y301" i="3" s="1"/>
  <c r="AD302" i="3"/>
  <c r="T303" i="3"/>
  <c r="U302" i="3" l="1"/>
  <c r="E303" i="3" s="1"/>
  <c r="H303" i="3" s="1"/>
  <c r="K303" i="3" s="1"/>
  <c r="AE303" i="3" s="1"/>
  <c r="AH303" i="3"/>
  <c r="AG303" i="3"/>
  <c r="D303" i="3" l="1"/>
  <c r="G303" i="3" s="1"/>
  <c r="I303" i="3" s="1"/>
  <c r="V303" i="3"/>
  <c r="A304" i="3"/>
  <c r="B304" i="3" s="1"/>
  <c r="J303" i="3" l="1"/>
  <c r="M303" i="3"/>
  <c r="N303" i="3" s="1"/>
  <c r="F303" i="3"/>
  <c r="W303" i="3"/>
  <c r="L303" i="3"/>
  <c r="Z304" i="3"/>
  <c r="P304" i="3"/>
  <c r="Q304" i="3" s="1"/>
  <c r="R304" i="3" s="1"/>
  <c r="S304" i="3" s="1"/>
  <c r="AC304" i="3"/>
  <c r="AA304" i="3"/>
  <c r="U303" i="3" l="1"/>
  <c r="Y302" i="3"/>
  <c r="T304" i="3"/>
  <c r="AH304" i="3" s="1"/>
  <c r="AG304" i="3" l="1"/>
  <c r="D304" i="3"/>
  <c r="G304" i="3" s="1"/>
  <c r="E304" i="3"/>
  <c r="H304" i="3" s="1"/>
  <c r="K304" i="3" s="1"/>
  <c r="AE304" i="3" s="1"/>
  <c r="F304" i="3" l="1"/>
  <c r="I304" i="3"/>
  <c r="J304" i="3"/>
  <c r="AD304" i="3" s="1"/>
  <c r="M304" i="3"/>
  <c r="N304" i="3" s="1"/>
  <c r="V304" i="3"/>
  <c r="A305" i="3"/>
  <c r="B305" i="3" s="1"/>
  <c r="W304" i="3" l="1"/>
  <c r="L304" i="3"/>
  <c r="Z305" i="3"/>
  <c r="AA305" i="3"/>
  <c r="P305" i="3"/>
  <c r="Q305" i="3" s="1"/>
  <c r="R305" i="3" s="1"/>
  <c r="S305" i="3" s="1"/>
  <c r="AC305" i="3"/>
  <c r="AD305" i="3"/>
  <c r="U304" i="3" l="1"/>
  <c r="Y303" i="3"/>
  <c r="T305" i="3"/>
  <c r="AG305" i="3" s="1"/>
  <c r="AH305" i="3" l="1"/>
  <c r="E305" i="3"/>
  <c r="H305" i="3" s="1"/>
  <c r="K305" i="3" s="1"/>
  <c r="AE305" i="3" s="1"/>
  <c r="D305" i="3"/>
  <c r="V305" i="3" l="1"/>
  <c r="A306" i="3"/>
  <c r="B306" i="3" s="1"/>
  <c r="F305" i="3"/>
  <c r="G305" i="3"/>
  <c r="I305" i="3" l="1"/>
  <c r="W305" i="3" s="1"/>
  <c r="J305" i="3"/>
  <c r="M305" i="3"/>
  <c r="N305" i="3" s="1"/>
  <c r="AA306" i="3"/>
  <c r="Z306" i="3"/>
  <c r="P306" i="3"/>
  <c r="Q306" i="3" s="1"/>
  <c r="R306" i="3" s="1"/>
  <c r="S306" i="3" s="1"/>
  <c r="AC306" i="3"/>
  <c r="AD306" i="3"/>
  <c r="T306" i="3" l="1"/>
  <c r="L305" i="3"/>
  <c r="U305" i="3" l="1"/>
  <c r="E306" i="3" s="1"/>
  <c r="H306" i="3" s="1"/>
  <c r="AH306" i="3"/>
  <c r="AG306" i="3"/>
  <c r="Y304" i="3"/>
  <c r="D306" i="3" l="1"/>
  <c r="G306" i="3" s="1"/>
  <c r="K306" i="3"/>
  <c r="AE306" i="3" s="1"/>
  <c r="F306" i="3" l="1"/>
  <c r="I306" i="3"/>
  <c r="J306" i="3"/>
  <c r="M306" i="3"/>
  <c r="N306" i="3" s="1"/>
  <c r="V306" i="3"/>
  <c r="A307" i="3"/>
  <c r="B307" i="3" s="1"/>
  <c r="W306" i="3" l="1"/>
  <c r="L306" i="3"/>
  <c r="AC307" i="3"/>
  <c r="P307" i="3"/>
  <c r="Q307" i="3" s="1"/>
  <c r="R307" i="3" s="1"/>
  <c r="S307" i="3" s="1"/>
  <c r="AA307" i="3"/>
  <c r="Z307" i="3"/>
  <c r="T307" i="3" l="1"/>
  <c r="AH307" i="3" s="1"/>
  <c r="U306" i="3"/>
  <c r="Y305" i="3"/>
  <c r="D307" i="3" l="1"/>
  <c r="E307" i="3"/>
  <c r="H307" i="3" s="1"/>
  <c r="AG307" i="3"/>
  <c r="F307" i="3" l="1"/>
  <c r="G307" i="3"/>
  <c r="K307" i="3"/>
  <c r="AE307" i="3" s="1"/>
  <c r="I307" i="3" l="1"/>
  <c r="J307" i="3"/>
  <c r="AD307" i="3" s="1"/>
  <c r="M307" i="3"/>
  <c r="N307" i="3" s="1"/>
  <c r="V307" i="3"/>
  <c r="A308" i="3"/>
  <c r="B308" i="3" s="1"/>
  <c r="L307" i="3" l="1"/>
  <c r="Z308" i="3"/>
  <c r="AA308" i="3"/>
  <c r="P308" i="3"/>
  <c r="Q308" i="3" s="1"/>
  <c r="R308" i="3" s="1"/>
  <c r="S308" i="3" s="1"/>
  <c r="AC308" i="3"/>
  <c r="W307" i="3"/>
  <c r="T308" i="3" l="1"/>
  <c r="U307" i="3"/>
  <c r="Y306" i="3"/>
  <c r="E308" i="3" l="1"/>
  <c r="H308" i="3" s="1"/>
  <c r="K308" i="3" s="1"/>
  <c r="AE308" i="3" s="1"/>
  <c r="AH308" i="3"/>
  <c r="AG308" i="3"/>
  <c r="D308" i="3"/>
  <c r="F308" i="3" l="1"/>
  <c r="G308" i="3"/>
  <c r="V308" i="3"/>
  <c r="A309" i="3"/>
  <c r="B309" i="3" s="1"/>
  <c r="I308" i="3" l="1"/>
  <c r="W308" i="3" s="1"/>
  <c r="J308" i="3"/>
  <c r="AD308" i="3" s="1"/>
  <c r="M308" i="3"/>
  <c r="N308" i="3" s="1"/>
  <c r="AC309" i="3"/>
  <c r="AD309" i="3"/>
  <c r="P309" i="3"/>
  <c r="Q309" i="3" s="1"/>
  <c r="R309" i="3" s="1"/>
  <c r="S309" i="3" s="1"/>
  <c r="AA309" i="3"/>
  <c r="Z309" i="3"/>
  <c r="T309" i="3" l="1"/>
  <c r="L308" i="3"/>
  <c r="AG309" i="3" l="1"/>
  <c r="AH309" i="3"/>
  <c r="U308" i="3"/>
  <c r="E309" i="3" s="1"/>
  <c r="H309" i="3" s="1"/>
  <c r="Y307" i="3"/>
  <c r="D309" i="3" l="1"/>
  <c r="G309" i="3" s="1"/>
  <c r="K309" i="3"/>
  <c r="AE309" i="3" s="1"/>
  <c r="F309" i="3" l="1"/>
  <c r="V309" i="3"/>
  <c r="A310" i="3"/>
  <c r="B310" i="3" s="1"/>
  <c r="I309" i="3"/>
  <c r="J309" i="3"/>
  <c r="M309" i="3"/>
  <c r="N309" i="3" s="1"/>
  <c r="W309" i="3" l="1"/>
  <c r="L309" i="3"/>
  <c r="AC310" i="3"/>
  <c r="AD310" i="3"/>
  <c r="Z310" i="3"/>
  <c r="AA310" i="3"/>
  <c r="P310" i="3"/>
  <c r="Q310" i="3" s="1"/>
  <c r="R310" i="3" s="1"/>
  <c r="S310" i="3" s="1"/>
  <c r="T310" i="3" l="1"/>
  <c r="AH310" i="3" s="1"/>
  <c r="U309" i="3"/>
  <c r="Y308" i="3"/>
  <c r="AG310" i="3" l="1"/>
  <c r="E310" i="3"/>
  <c r="H310" i="3" s="1"/>
  <c r="D310" i="3"/>
  <c r="K310" i="3" l="1"/>
  <c r="AE310" i="3" s="1"/>
  <c r="F310" i="3"/>
  <c r="G310" i="3"/>
  <c r="I310" i="3" l="1"/>
  <c r="J310" i="3"/>
  <c r="M310" i="3"/>
  <c r="N310" i="3" s="1"/>
  <c r="V310" i="3"/>
  <c r="A311" i="3"/>
  <c r="B311" i="3" s="1"/>
  <c r="W310" i="3" l="1"/>
  <c r="L310" i="3"/>
  <c r="AA311" i="3"/>
  <c r="Z311" i="3"/>
  <c r="P311" i="3"/>
  <c r="Q311" i="3" s="1"/>
  <c r="R311" i="3" s="1"/>
  <c r="S311" i="3" s="1"/>
  <c r="AC311" i="3"/>
  <c r="AD311" i="3"/>
  <c r="T311" i="3" l="1"/>
  <c r="AH311" i="3" s="1"/>
  <c r="U310" i="3"/>
  <c r="Y309" i="3"/>
  <c r="D311" i="3" l="1"/>
  <c r="G311" i="3" s="1"/>
  <c r="E311" i="3"/>
  <c r="H311" i="3" s="1"/>
  <c r="AG311" i="3"/>
  <c r="I311" i="3" l="1"/>
  <c r="J311" i="3"/>
  <c r="M311" i="3"/>
  <c r="N311" i="3" s="1"/>
  <c r="K311" i="3"/>
  <c r="AE311" i="3" s="1"/>
  <c r="F311" i="3"/>
  <c r="V311" i="3" l="1"/>
  <c r="W311" i="3" s="1"/>
  <c r="A312" i="3"/>
  <c r="B312" i="3" s="1"/>
  <c r="L311" i="3"/>
  <c r="U311" i="3" l="1"/>
  <c r="Y310" i="3"/>
  <c r="AA312" i="3"/>
  <c r="Z312" i="3"/>
  <c r="P312" i="3"/>
  <c r="Q312" i="3" s="1"/>
  <c r="R312" i="3" s="1"/>
  <c r="S312" i="3" s="1"/>
  <c r="AC312" i="3"/>
  <c r="T312" i="3" l="1"/>
  <c r="AG312" i="3" s="1"/>
  <c r="E312" i="3" l="1"/>
  <c r="H312" i="3" s="1"/>
  <c r="K312" i="3" s="1"/>
  <c r="AE312" i="3" s="1"/>
  <c r="D312" i="3"/>
  <c r="AH312" i="3"/>
  <c r="V312" i="3" l="1"/>
  <c r="A313" i="3"/>
  <c r="B313" i="3" s="1"/>
  <c r="F312" i="3"/>
  <c r="G312" i="3"/>
  <c r="I312" i="3" l="1"/>
  <c r="W312" i="3" s="1"/>
  <c r="J312" i="3"/>
  <c r="AD312" i="3" s="1"/>
  <c r="M312" i="3"/>
  <c r="N312" i="3" s="1"/>
  <c r="Z313" i="3"/>
  <c r="AC313" i="3"/>
  <c r="P313" i="3"/>
  <c r="Q313" i="3" s="1"/>
  <c r="R313" i="3" s="1"/>
  <c r="S313" i="3" s="1"/>
  <c r="AD313" i="3"/>
  <c r="AA313" i="3"/>
  <c r="T313" i="3" l="1"/>
  <c r="L312" i="3"/>
  <c r="AG313" i="3" l="1"/>
  <c r="AH313" i="3"/>
  <c r="U312" i="3"/>
  <c r="D313" i="3" s="1"/>
  <c r="Y311" i="3"/>
  <c r="E313" i="3" l="1"/>
  <c r="H313" i="3" s="1"/>
  <c r="K313" i="3" s="1"/>
  <c r="AE313" i="3" s="1"/>
  <c r="G313" i="3"/>
  <c r="F313" i="3" l="1"/>
  <c r="I313" i="3"/>
  <c r="J313" i="3"/>
  <c r="M313" i="3"/>
  <c r="N313" i="3" s="1"/>
  <c r="V313" i="3"/>
  <c r="A314" i="3"/>
  <c r="B314" i="3" s="1"/>
  <c r="Z314" i="3" l="1"/>
  <c r="AC314" i="3"/>
  <c r="AA314" i="3"/>
  <c r="P314" i="3"/>
  <c r="Q314" i="3" s="1"/>
  <c r="R314" i="3" s="1"/>
  <c r="S314" i="3" s="1"/>
  <c r="L313" i="3"/>
  <c r="W313" i="3"/>
  <c r="U313" i="3" l="1"/>
  <c r="Y312" i="3"/>
  <c r="T314" i="3"/>
  <c r="D314" i="3" l="1"/>
  <c r="G314" i="3" s="1"/>
  <c r="AG314" i="3"/>
  <c r="AH314" i="3"/>
  <c r="E314" i="3"/>
  <c r="H314" i="3" s="1"/>
  <c r="F314" i="3" l="1"/>
  <c r="I314" i="3"/>
  <c r="J314" i="3"/>
  <c r="AD314" i="3" s="1"/>
  <c r="M314" i="3"/>
  <c r="N314" i="3" s="1"/>
  <c r="K314" i="3"/>
  <c r="AE314" i="3" s="1"/>
  <c r="V314" i="3" l="1"/>
  <c r="W314" i="3" s="1"/>
  <c r="A315" i="3"/>
  <c r="B315" i="3" s="1"/>
  <c r="L314" i="3"/>
  <c r="U314" i="3" l="1"/>
  <c r="Y313" i="3"/>
  <c r="Z315" i="3"/>
  <c r="P315" i="3"/>
  <c r="Q315" i="3" s="1"/>
  <c r="R315" i="3" s="1"/>
  <c r="S315" i="3" s="1"/>
  <c r="AD315" i="3"/>
  <c r="AA315" i="3"/>
  <c r="AC315" i="3"/>
  <c r="T315" i="3" l="1"/>
  <c r="D315" i="3" s="1"/>
  <c r="AH315" i="3" l="1"/>
  <c r="AG315" i="3"/>
  <c r="E315" i="3"/>
  <c r="H315" i="3" s="1"/>
  <c r="K315" i="3" s="1"/>
  <c r="AE315" i="3" s="1"/>
  <c r="G315" i="3"/>
  <c r="F315" i="3" l="1"/>
  <c r="I315" i="3"/>
  <c r="J315" i="3"/>
  <c r="M315" i="3"/>
  <c r="N315" i="3" s="1"/>
  <c r="V315" i="3"/>
  <c r="A316" i="3"/>
  <c r="B316" i="3" s="1"/>
  <c r="W315" i="3" l="1"/>
  <c r="L315" i="3"/>
  <c r="Z316" i="3"/>
  <c r="AC316" i="3"/>
  <c r="P316" i="3"/>
  <c r="Q316" i="3" s="1"/>
  <c r="R316" i="3" s="1"/>
  <c r="S316" i="3" s="1"/>
  <c r="AD316" i="3"/>
  <c r="AA316" i="3"/>
  <c r="U315" i="3" l="1"/>
  <c r="Y314" i="3"/>
  <c r="T316" i="3"/>
  <c r="AG316" i="3" s="1"/>
  <c r="D316" i="3" l="1"/>
  <c r="AH316" i="3"/>
  <c r="E316" i="3"/>
  <c r="H316" i="3" s="1"/>
  <c r="F316" i="3" l="1"/>
  <c r="G316" i="3"/>
  <c r="K316" i="3"/>
  <c r="AE316" i="3" s="1"/>
  <c r="V316" i="3" l="1"/>
  <c r="A317" i="3"/>
  <c r="B317" i="3" s="1"/>
  <c r="I316" i="3"/>
  <c r="J316" i="3"/>
  <c r="M316" i="3"/>
  <c r="N316" i="3" s="1"/>
  <c r="W316" i="3" l="1"/>
  <c r="L316" i="3"/>
  <c r="Z317" i="3"/>
  <c r="AA317" i="3"/>
  <c r="P317" i="3"/>
  <c r="Q317" i="3" s="1"/>
  <c r="R317" i="3" s="1"/>
  <c r="S317" i="3" s="1"/>
  <c r="AC317" i="3"/>
  <c r="T317" i="3" l="1"/>
  <c r="AG317" i="3" s="1"/>
  <c r="U316" i="3"/>
  <c r="Y315" i="3"/>
  <c r="E317" i="3" l="1"/>
  <c r="H317" i="3" s="1"/>
  <c r="K317" i="3" s="1"/>
  <c r="AE317" i="3" s="1"/>
  <c r="D317" i="3"/>
  <c r="AH317" i="3"/>
  <c r="V317" i="3" l="1"/>
  <c r="A318" i="3"/>
  <c r="B318" i="3" s="1"/>
  <c r="F317" i="3"/>
  <c r="G317" i="3"/>
  <c r="I317" i="3" l="1"/>
  <c r="W317" i="3" s="1"/>
  <c r="J317" i="3"/>
  <c r="AD317" i="3" s="1"/>
  <c r="M317" i="3"/>
  <c r="N317" i="3" s="1"/>
  <c r="AA318" i="3"/>
  <c r="P318" i="3"/>
  <c r="Q318" i="3" s="1"/>
  <c r="R318" i="3" s="1"/>
  <c r="S318" i="3" s="1"/>
  <c r="Z318" i="3"/>
  <c r="AC318" i="3"/>
  <c r="T318" i="3" l="1"/>
  <c r="L317" i="3"/>
  <c r="AH318" i="3" l="1"/>
  <c r="AG318" i="3"/>
  <c r="U317" i="3"/>
  <c r="E318" i="3" s="1"/>
  <c r="H318" i="3" s="1"/>
  <c r="Y316" i="3"/>
  <c r="K318" i="3" l="1"/>
  <c r="AE318" i="3" s="1"/>
  <c r="D318" i="3"/>
  <c r="V318" i="3" l="1"/>
  <c r="A319" i="3"/>
  <c r="B319" i="3" s="1"/>
  <c r="F318" i="3"/>
  <c r="G318" i="3"/>
  <c r="I318" i="3" l="1"/>
  <c r="W318" i="3" s="1"/>
  <c r="J318" i="3"/>
  <c r="AD318" i="3" s="1"/>
  <c r="M318" i="3"/>
  <c r="N318" i="3" s="1"/>
  <c r="Z319" i="3"/>
  <c r="AC319" i="3"/>
  <c r="P319" i="3"/>
  <c r="Q319" i="3" s="1"/>
  <c r="R319" i="3" s="1"/>
  <c r="S319" i="3" s="1"/>
  <c r="AD319" i="3"/>
  <c r="AA319" i="3"/>
  <c r="T319" i="3" l="1"/>
  <c r="L318" i="3"/>
  <c r="U318" i="3" l="1"/>
  <c r="E319" i="3" s="1"/>
  <c r="H319" i="3" s="1"/>
  <c r="AH319" i="3"/>
  <c r="AG319" i="3"/>
  <c r="Y317" i="3"/>
  <c r="D319" i="3" l="1"/>
  <c r="G319" i="3" s="1"/>
  <c r="K319" i="3"/>
  <c r="AE319" i="3" s="1"/>
  <c r="F319" i="3" l="1"/>
  <c r="V319" i="3"/>
  <c r="A320" i="3"/>
  <c r="B320" i="3" s="1"/>
  <c r="I319" i="3"/>
  <c r="J319" i="3"/>
  <c r="M319" i="3"/>
  <c r="N319" i="3" s="1"/>
  <c r="L319" i="3" l="1"/>
  <c r="W319" i="3"/>
  <c r="AA320" i="3"/>
  <c r="AC320" i="3"/>
  <c r="P320" i="3"/>
  <c r="Q320" i="3" s="1"/>
  <c r="R320" i="3" s="1"/>
  <c r="S320" i="3" s="1"/>
  <c r="Z320" i="3"/>
  <c r="AD320" i="3"/>
  <c r="U319" i="3" l="1"/>
  <c r="Y318" i="3"/>
  <c r="T320" i="3"/>
  <c r="AH320" i="3" s="1"/>
  <c r="D320" i="3" l="1"/>
  <c r="AG320" i="3"/>
  <c r="E320" i="3"/>
  <c r="H320" i="3" s="1"/>
  <c r="F320" i="3" l="1"/>
  <c r="G320" i="3"/>
  <c r="K320" i="3"/>
  <c r="AE320" i="3" s="1"/>
  <c r="I320" i="3" l="1"/>
  <c r="J320" i="3"/>
  <c r="M320" i="3"/>
  <c r="N320" i="3" s="1"/>
  <c r="V320" i="3"/>
  <c r="A321" i="3"/>
  <c r="B321" i="3" s="1"/>
  <c r="W320" i="3" l="1"/>
  <c r="L320" i="3"/>
  <c r="AC321" i="3"/>
  <c r="AA321" i="3"/>
  <c r="Z321" i="3"/>
  <c r="P321" i="3"/>
  <c r="Q321" i="3" s="1"/>
  <c r="R321" i="3" s="1"/>
  <c r="S321" i="3" s="1"/>
  <c r="AD321" i="3"/>
  <c r="U320" i="3" l="1"/>
  <c r="Y319" i="3"/>
  <c r="T321" i="3"/>
  <c r="D321" i="3" l="1"/>
  <c r="G321" i="3" s="1"/>
  <c r="AH321" i="3"/>
  <c r="E321" i="3"/>
  <c r="H321" i="3" s="1"/>
  <c r="AG321" i="3"/>
  <c r="F321" i="3" l="1"/>
  <c r="I321" i="3"/>
  <c r="J321" i="3"/>
  <c r="M321" i="3"/>
  <c r="N321" i="3" s="1"/>
  <c r="K321" i="3"/>
  <c r="AE321" i="3" s="1"/>
  <c r="V321" i="3" l="1"/>
  <c r="W321" i="3" s="1"/>
  <c r="A322" i="3"/>
  <c r="B322" i="3" s="1"/>
  <c r="L321" i="3"/>
  <c r="U321" i="3" l="1"/>
  <c r="Y320" i="3"/>
  <c r="P322" i="3"/>
  <c r="Q322" i="3" s="1"/>
  <c r="R322" i="3" s="1"/>
  <c r="S322" i="3" s="1"/>
  <c r="Z322" i="3"/>
  <c r="AC322" i="3"/>
  <c r="AA322" i="3"/>
  <c r="T322" i="3" l="1"/>
  <c r="AH322" i="3" s="1"/>
  <c r="E322" i="3" l="1"/>
  <c r="H322" i="3" s="1"/>
  <c r="K322" i="3" s="1"/>
  <c r="AE322" i="3" s="1"/>
  <c r="AG322" i="3"/>
  <c r="D322" i="3"/>
  <c r="V322" i="3" l="1"/>
  <c r="A323" i="3"/>
  <c r="B323" i="3" s="1"/>
  <c r="F322" i="3"/>
  <c r="G322" i="3"/>
  <c r="I322" i="3" l="1"/>
  <c r="W322" i="3" s="1"/>
  <c r="J322" i="3"/>
  <c r="AD322" i="3" s="1"/>
  <c r="M322" i="3"/>
  <c r="N322" i="3" s="1"/>
  <c r="P323" i="3"/>
  <c r="Q323" i="3" s="1"/>
  <c r="R323" i="3" s="1"/>
  <c r="S323" i="3" s="1"/>
  <c r="AA323" i="3"/>
  <c r="Z323" i="3"/>
  <c r="AD323" i="3"/>
  <c r="AC323" i="3"/>
  <c r="T323" i="3" l="1"/>
  <c r="L322" i="3"/>
  <c r="AH323" i="3" l="1"/>
  <c r="U322" i="3"/>
  <c r="D323" i="3" s="1"/>
  <c r="AG323" i="3"/>
  <c r="Y321" i="3"/>
  <c r="G323" i="3" l="1"/>
  <c r="E323" i="3"/>
  <c r="H323" i="3" s="1"/>
  <c r="F323" i="3" l="1"/>
  <c r="K323" i="3"/>
  <c r="AE323" i="3" s="1"/>
  <c r="I323" i="3"/>
  <c r="J323" i="3"/>
  <c r="M323" i="3"/>
  <c r="N323" i="3" s="1"/>
  <c r="L323" i="3" l="1"/>
  <c r="V323" i="3"/>
  <c r="W323" i="3" s="1"/>
  <c r="A324" i="3"/>
  <c r="B324" i="3" s="1"/>
  <c r="U323" i="3" l="1"/>
  <c r="Y322" i="3"/>
  <c r="Z324" i="3"/>
  <c r="P324" i="3"/>
  <c r="Q324" i="3" s="1"/>
  <c r="R324" i="3" s="1"/>
  <c r="S324" i="3" s="1"/>
  <c r="AA324" i="3"/>
  <c r="AC324" i="3"/>
  <c r="T324" i="3" l="1"/>
  <c r="AG324" i="3" s="1"/>
  <c r="E324" i="3" l="1"/>
  <c r="H324" i="3" s="1"/>
  <c r="K324" i="3" s="1"/>
  <c r="AE324" i="3" s="1"/>
  <c r="AH324" i="3"/>
  <c r="D324" i="3"/>
  <c r="V324" i="3" l="1"/>
  <c r="A325" i="3"/>
  <c r="B325" i="3" s="1"/>
  <c r="F324" i="3"/>
  <c r="G324" i="3"/>
  <c r="I324" i="3" l="1"/>
  <c r="W324" i="3" s="1"/>
  <c r="J324" i="3"/>
  <c r="AD324" i="3" s="1"/>
  <c r="M324" i="3"/>
  <c r="N324" i="3" s="1"/>
  <c r="P325" i="3"/>
  <c r="Q325" i="3" s="1"/>
  <c r="R325" i="3" s="1"/>
  <c r="S325" i="3" s="1"/>
  <c r="AC325" i="3"/>
  <c r="Z325" i="3"/>
  <c r="AA325" i="3"/>
  <c r="T325" i="3" l="1"/>
  <c r="L324" i="3"/>
  <c r="AG325" i="3" l="1"/>
  <c r="U324" i="3"/>
  <c r="D325" i="3" s="1"/>
  <c r="AH325" i="3"/>
  <c r="Y323" i="3"/>
  <c r="E325" i="3" l="1"/>
  <c r="H325" i="3" s="1"/>
  <c r="K325" i="3" s="1"/>
  <c r="AE325" i="3" s="1"/>
  <c r="G325" i="3"/>
  <c r="F325" i="3" l="1"/>
  <c r="V325" i="3"/>
  <c r="A326" i="3"/>
  <c r="B326" i="3" s="1"/>
  <c r="I325" i="3"/>
  <c r="J325" i="3"/>
  <c r="AD325" i="3" s="1"/>
  <c r="M325" i="3"/>
  <c r="N325" i="3" s="1"/>
  <c r="L325" i="3" l="1"/>
  <c r="W325" i="3"/>
  <c r="P326" i="3"/>
  <c r="Q326" i="3" s="1"/>
  <c r="R326" i="3" s="1"/>
  <c r="S326" i="3" s="1"/>
  <c r="AA326" i="3"/>
  <c r="AC326" i="3"/>
  <c r="Z326" i="3"/>
  <c r="U325" i="3" l="1"/>
  <c r="Y324" i="3"/>
  <c r="T326" i="3"/>
  <c r="AH326" i="3" s="1"/>
  <c r="E326" i="3" l="1"/>
  <c r="H326" i="3" s="1"/>
  <c r="K326" i="3" s="1"/>
  <c r="AE326" i="3" s="1"/>
  <c r="AG326" i="3"/>
  <c r="D326" i="3"/>
  <c r="G326" i="3" s="1"/>
  <c r="F326" i="3" l="1"/>
  <c r="I326" i="3"/>
  <c r="J326" i="3"/>
  <c r="AD326" i="3" s="1"/>
  <c r="M326" i="3"/>
  <c r="N326" i="3" s="1"/>
  <c r="V326" i="3"/>
  <c r="A327" i="3"/>
  <c r="B327" i="3" s="1"/>
  <c r="W326" i="3" l="1"/>
  <c r="L326" i="3"/>
  <c r="Z327" i="3"/>
  <c r="AA327" i="3"/>
  <c r="P327" i="3"/>
  <c r="Q327" i="3" s="1"/>
  <c r="R327" i="3" s="1"/>
  <c r="S327" i="3" s="1"/>
  <c r="AC327" i="3"/>
  <c r="U326" i="3" l="1"/>
  <c r="Y325" i="3"/>
  <c r="T327" i="3"/>
  <c r="AH327" i="3" s="1"/>
  <c r="E327" i="3" l="1"/>
  <c r="H327" i="3" s="1"/>
  <c r="K327" i="3" s="1"/>
  <c r="AE327" i="3" s="1"/>
  <c r="D327" i="3"/>
  <c r="AG327" i="3"/>
  <c r="F327" i="3" l="1"/>
  <c r="G327" i="3"/>
  <c r="M327" i="3" s="1"/>
  <c r="N327" i="3" s="1"/>
  <c r="V327" i="3"/>
  <c r="A328" i="3"/>
  <c r="B328" i="3" s="1"/>
  <c r="I327" i="3" l="1"/>
  <c r="W327" i="3" s="1"/>
  <c r="J327" i="3"/>
  <c r="Z328" i="3"/>
  <c r="P328" i="3"/>
  <c r="Q328" i="3" s="1"/>
  <c r="R328" i="3" s="1"/>
  <c r="S328" i="3" s="1"/>
  <c r="AA328" i="3"/>
  <c r="AC328" i="3"/>
  <c r="L327" i="3" l="1"/>
  <c r="U327" i="3" s="1"/>
  <c r="AD327" i="3"/>
  <c r="T328" i="3"/>
  <c r="AG328" i="3" l="1"/>
  <c r="Y326" i="3"/>
  <c r="AH328" i="3"/>
  <c r="E328" i="3"/>
  <c r="H328" i="3" s="1"/>
  <c r="K328" i="3" s="1"/>
  <c r="AE328" i="3" s="1"/>
  <c r="D328" i="3"/>
  <c r="V328" i="3" l="1"/>
  <c r="A329" i="3"/>
  <c r="B329" i="3" s="1"/>
  <c r="F328" i="3"/>
  <c r="G328" i="3"/>
  <c r="I328" i="3" l="1"/>
  <c r="W328" i="3" s="1"/>
  <c r="J328" i="3"/>
  <c r="AD328" i="3" s="1"/>
  <c r="M328" i="3"/>
  <c r="N328" i="3" s="1"/>
  <c r="P329" i="3"/>
  <c r="Q329" i="3" s="1"/>
  <c r="R329" i="3" s="1"/>
  <c r="S329" i="3" s="1"/>
  <c r="Z329" i="3"/>
  <c r="AC329" i="3"/>
  <c r="AA329" i="3"/>
  <c r="T329" i="3" l="1"/>
  <c r="L328" i="3"/>
  <c r="AH329" i="3" l="1"/>
  <c r="U328" i="3"/>
  <c r="D329" i="3" s="1"/>
  <c r="AG329" i="3"/>
  <c r="Y327" i="3"/>
  <c r="E329" i="3" l="1"/>
  <c r="H329" i="3" s="1"/>
  <c r="K329" i="3" s="1"/>
  <c r="AE329" i="3" s="1"/>
  <c r="G329" i="3"/>
  <c r="F329" i="3" l="1"/>
  <c r="I329" i="3"/>
  <c r="J329" i="3"/>
  <c r="AD329" i="3" s="1"/>
  <c r="M329" i="3"/>
  <c r="N329" i="3" s="1"/>
  <c r="V329" i="3"/>
  <c r="A330" i="3"/>
  <c r="B330" i="3" s="1"/>
  <c r="W329" i="3" l="1"/>
  <c r="L329" i="3"/>
  <c r="AA330" i="3"/>
  <c r="AC330" i="3"/>
  <c r="P330" i="3"/>
  <c r="Q330" i="3" s="1"/>
  <c r="R330" i="3" s="1"/>
  <c r="S330" i="3" s="1"/>
  <c r="Z330" i="3"/>
  <c r="U329" i="3" l="1"/>
  <c r="Y328" i="3"/>
  <c r="T330" i="3"/>
  <c r="AH330" i="3" s="1"/>
  <c r="AG330" i="3" l="1"/>
  <c r="E330" i="3"/>
  <c r="H330" i="3" s="1"/>
  <c r="D330" i="3"/>
  <c r="K330" i="3" l="1"/>
  <c r="AE330" i="3" s="1"/>
  <c r="F330" i="3"/>
  <c r="G330" i="3"/>
  <c r="I330" i="3" l="1"/>
  <c r="J330" i="3"/>
  <c r="AD330" i="3" s="1"/>
  <c r="M330" i="3"/>
  <c r="N330" i="3" s="1"/>
  <c r="V330" i="3"/>
  <c r="A331" i="3"/>
  <c r="B331" i="3" s="1"/>
  <c r="W330" i="3" l="1"/>
  <c r="L330" i="3"/>
  <c r="P331" i="3"/>
  <c r="Q331" i="3" s="1"/>
  <c r="R331" i="3" s="1"/>
  <c r="S331" i="3" s="1"/>
  <c r="AA331" i="3"/>
  <c r="AC331" i="3"/>
  <c r="Z331" i="3"/>
  <c r="U330" i="3" l="1"/>
  <c r="Y329" i="3"/>
  <c r="T331" i="3"/>
  <c r="D331" i="3" l="1"/>
  <c r="G331" i="3" s="1"/>
  <c r="AH331" i="3"/>
  <c r="AG331" i="3"/>
  <c r="E331" i="3"/>
  <c r="H331" i="3" s="1"/>
  <c r="F331" i="3" l="1"/>
  <c r="I331" i="3"/>
  <c r="J331" i="3"/>
  <c r="AD331" i="3" s="1"/>
  <c r="M331" i="3"/>
  <c r="N331" i="3" s="1"/>
  <c r="K331" i="3"/>
  <c r="AE331" i="3" s="1"/>
  <c r="V331" i="3" l="1"/>
  <c r="W331" i="3" s="1"/>
  <c r="A332" i="3"/>
  <c r="B332" i="3" s="1"/>
  <c r="L331" i="3"/>
  <c r="U331" i="3" l="1"/>
  <c r="Y330" i="3"/>
  <c r="AA332" i="3"/>
  <c r="Z332" i="3"/>
  <c r="AC332" i="3"/>
  <c r="P332" i="3"/>
  <c r="Q332" i="3" s="1"/>
  <c r="R332" i="3" s="1"/>
  <c r="S332" i="3" s="1"/>
  <c r="T332" i="3" l="1"/>
  <c r="AG332" i="3" s="1"/>
  <c r="E332" i="3" l="1"/>
  <c r="H332" i="3" s="1"/>
  <c r="K332" i="3" s="1"/>
  <c r="AE332" i="3" s="1"/>
  <c r="D332" i="3"/>
  <c r="AH332" i="3"/>
  <c r="V332" i="3" l="1"/>
  <c r="A333" i="3"/>
  <c r="B333" i="3" s="1"/>
  <c r="F332" i="3"/>
  <c r="G332" i="3"/>
  <c r="I332" i="3" l="1"/>
  <c r="W332" i="3" s="1"/>
  <c r="J332" i="3"/>
  <c r="AD332" i="3" s="1"/>
  <c r="M332" i="3"/>
  <c r="N332" i="3" s="1"/>
  <c r="AA333" i="3"/>
  <c r="P333" i="3"/>
  <c r="Q333" i="3" s="1"/>
  <c r="R333" i="3" s="1"/>
  <c r="S333" i="3" s="1"/>
  <c r="Z333" i="3"/>
  <c r="AC333" i="3"/>
  <c r="T333" i="3" l="1"/>
  <c r="L332" i="3"/>
  <c r="AH333" i="3" l="1"/>
  <c r="AG333" i="3"/>
  <c r="U332" i="3"/>
  <c r="D333" i="3" s="1"/>
  <c r="Y331" i="3"/>
  <c r="E333" i="3" l="1"/>
  <c r="H333" i="3" s="1"/>
  <c r="K333" i="3" s="1"/>
  <c r="AE333" i="3" s="1"/>
  <c r="G333" i="3"/>
  <c r="F333" i="3" l="1"/>
  <c r="I333" i="3"/>
  <c r="J333" i="3"/>
  <c r="AD333" i="3" s="1"/>
  <c r="M333" i="3"/>
  <c r="N333" i="3" s="1"/>
  <c r="V333" i="3"/>
  <c r="A334" i="3"/>
  <c r="B334" i="3" s="1"/>
  <c r="W333" i="3" l="1"/>
  <c r="L333" i="3"/>
  <c r="AA334" i="3"/>
  <c r="P334" i="3"/>
  <c r="Q334" i="3" s="1"/>
  <c r="R334" i="3" s="1"/>
  <c r="S334" i="3" s="1"/>
  <c r="Z334" i="3"/>
  <c r="AC334" i="3"/>
  <c r="T334" i="3" l="1"/>
  <c r="AH334" i="3" s="1"/>
  <c r="U333" i="3"/>
  <c r="Y332" i="3"/>
  <c r="D334" i="3" l="1"/>
  <c r="G334" i="3" s="1"/>
  <c r="E334" i="3"/>
  <c r="H334" i="3" s="1"/>
  <c r="AG334" i="3"/>
  <c r="F334" i="3" l="1"/>
  <c r="I334" i="3"/>
  <c r="J334" i="3"/>
  <c r="AD334" i="3" s="1"/>
  <c r="M334" i="3"/>
  <c r="N334" i="3" s="1"/>
  <c r="K334" i="3"/>
  <c r="AE334" i="3" s="1"/>
  <c r="L334" i="3" l="1"/>
  <c r="V334" i="3"/>
  <c r="W334" i="3" s="1"/>
  <c r="A335" i="3"/>
  <c r="B335" i="3" s="1"/>
  <c r="U334" i="3" l="1"/>
  <c r="Y333" i="3"/>
  <c r="AC335" i="3"/>
  <c r="P335" i="3"/>
  <c r="Q335" i="3" s="1"/>
  <c r="R335" i="3" s="1"/>
  <c r="S335" i="3" s="1"/>
  <c r="AA335" i="3"/>
  <c r="Z335" i="3"/>
  <c r="T335" i="3" l="1"/>
  <c r="AG335" i="3" s="1"/>
  <c r="AH335" i="3" l="1"/>
  <c r="D335" i="3"/>
  <c r="E335" i="3"/>
  <c r="H335" i="3" s="1"/>
  <c r="F335" i="3" l="1"/>
  <c r="G335" i="3"/>
  <c r="K335" i="3"/>
  <c r="AE335" i="3" s="1"/>
  <c r="I335" i="3" l="1"/>
  <c r="J335" i="3"/>
  <c r="AD335" i="3" s="1"/>
  <c r="M335" i="3"/>
  <c r="N335" i="3" s="1"/>
  <c r="V335" i="3"/>
  <c r="A336" i="3"/>
  <c r="B336" i="3" s="1"/>
  <c r="W335" i="3" l="1"/>
  <c r="L335" i="3"/>
  <c r="AA336" i="3"/>
  <c r="P336" i="3"/>
  <c r="Q336" i="3" s="1"/>
  <c r="R336" i="3" s="1"/>
  <c r="S336" i="3" s="1"/>
  <c r="AC336" i="3"/>
  <c r="Z336" i="3"/>
  <c r="T336" i="3" l="1"/>
  <c r="AG336" i="3" s="1"/>
  <c r="U335" i="3"/>
  <c r="Y334" i="3"/>
  <c r="E336" i="3" l="1"/>
  <c r="H336" i="3" s="1"/>
  <c r="D336" i="3"/>
  <c r="AH336" i="3"/>
  <c r="K336" i="3" l="1"/>
  <c r="AE336" i="3" s="1"/>
  <c r="F336" i="3"/>
  <c r="G336" i="3"/>
  <c r="I336" i="3" l="1"/>
  <c r="J336" i="3"/>
  <c r="AD336" i="3" s="1"/>
  <c r="M336" i="3"/>
  <c r="N336" i="3" s="1"/>
  <c r="V336" i="3"/>
  <c r="A337" i="3"/>
  <c r="B337" i="3" s="1"/>
  <c r="W336" i="3" l="1"/>
  <c r="P337" i="3"/>
  <c r="Q337" i="3" s="1"/>
  <c r="R337" i="3" s="1"/>
  <c r="S337" i="3" s="1"/>
  <c r="AC337" i="3"/>
  <c r="AA337" i="3"/>
  <c r="Z337" i="3"/>
  <c r="L336" i="3"/>
  <c r="T337" i="3" l="1"/>
  <c r="U336" i="3"/>
  <c r="Y335" i="3"/>
  <c r="E337" i="3" l="1"/>
  <c r="H337" i="3" s="1"/>
  <c r="K337" i="3" s="1"/>
  <c r="AE337" i="3" s="1"/>
  <c r="AH337" i="3"/>
  <c r="AG337" i="3"/>
  <c r="D337" i="3"/>
  <c r="V337" i="3" l="1"/>
  <c r="A338" i="3"/>
  <c r="B338" i="3" s="1"/>
  <c r="F337" i="3"/>
  <c r="G337" i="3"/>
  <c r="I337" i="3" l="1"/>
  <c r="W337" i="3" s="1"/>
  <c r="J337" i="3"/>
  <c r="AD337" i="3" s="1"/>
  <c r="M337" i="3"/>
  <c r="N337" i="3" s="1"/>
  <c r="P338" i="3"/>
  <c r="Q338" i="3" s="1"/>
  <c r="R338" i="3" s="1"/>
  <c r="S338" i="3" s="1"/>
  <c r="Z338" i="3"/>
  <c r="AC338" i="3"/>
  <c r="AA338" i="3"/>
  <c r="T338" i="3" l="1"/>
  <c r="L337" i="3"/>
  <c r="AH338" i="3" l="1"/>
  <c r="U337" i="3"/>
  <c r="E338" i="3" s="1"/>
  <c r="H338" i="3" s="1"/>
  <c r="AG338" i="3"/>
  <c r="Y336" i="3"/>
  <c r="D338" i="3" l="1"/>
  <c r="F338" i="3" s="1"/>
  <c r="K338" i="3"/>
  <c r="AE338" i="3" s="1"/>
  <c r="G338" i="3" l="1"/>
  <c r="M338" i="3" s="1"/>
  <c r="N338" i="3" s="1"/>
  <c r="V338" i="3"/>
  <c r="A339" i="3"/>
  <c r="B339" i="3" s="1"/>
  <c r="I338" i="3" l="1"/>
  <c r="W338" i="3" s="1"/>
  <c r="J338" i="3"/>
  <c r="Z339" i="3"/>
  <c r="P339" i="3"/>
  <c r="Q339" i="3" s="1"/>
  <c r="R339" i="3" s="1"/>
  <c r="S339" i="3" s="1"/>
  <c r="AA339" i="3"/>
  <c r="AC339" i="3"/>
  <c r="L338" i="3" l="1"/>
  <c r="U338" i="3" s="1"/>
  <c r="AD338" i="3"/>
  <c r="T339" i="3"/>
  <c r="Y337" i="3" l="1"/>
  <c r="AG339" i="3"/>
  <c r="AH339" i="3"/>
  <c r="E339" i="3"/>
  <c r="H339" i="3" s="1"/>
  <c r="D339" i="3"/>
  <c r="K339" i="3" l="1"/>
  <c r="AE339" i="3" s="1"/>
  <c r="F339" i="3"/>
  <c r="G339" i="3"/>
  <c r="V339" i="3" l="1"/>
  <c r="A340" i="3"/>
  <c r="B340" i="3" s="1"/>
  <c r="I339" i="3"/>
  <c r="J339" i="3"/>
  <c r="AD339" i="3" s="1"/>
  <c r="M339" i="3"/>
  <c r="N339" i="3" s="1"/>
  <c r="W339" i="3" l="1"/>
  <c r="L339" i="3"/>
  <c r="Z340" i="3"/>
  <c r="P340" i="3"/>
  <c r="Q340" i="3" s="1"/>
  <c r="R340" i="3" s="1"/>
  <c r="S340" i="3" s="1"/>
  <c r="AC340" i="3"/>
  <c r="AA340" i="3"/>
  <c r="T340" i="3" l="1"/>
  <c r="U339" i="3"/>
  <c r="Y338" i="3"/>
  <c r="D340" i="3" l="1"/>
  <c r="G340" i="3" s="1"/>
  <c r="E340" i="3"/>
  <c r="H340" i="3" s="1"/>
  <c r="K340" i="3" s="1"/>
  <c r="AE340" i="3" s="1"/>
  <c r="AH340" i="3"/>
  <c r="AG340" i="3"/>
  <c r="F340" i="3" l="1"/>
  <c r="V340" i="3"/>
  <c r="A341" i="3"/>
  <c r="B341" i="3" s="1"/>
  <c r="I340" i="3"/>
  <c r="J340" i="3"/>
  <c r="AD340" i="3" s="1"/>
  <c r="M340" i="3"/>
  <c r="N340" i="3" s="1"/>
  <c r="W340" i="3" l="1"/>
  <c r="L340" i="3"/>
  <c r="Z341" i="3"/>
  <c r="P341" i="3"/>
  <c r="Q341" i="3" s="1"/>
  <c r="R341" i="3" s="1"/>
  <c r="S341" i="3" s="1"/>
  <c r="AA341" i="3"/>
  <c r="AC341" i="3"/>
  <c r="U340" i="3" l="1"/>
  <c r="Y339" i="3"/>
  <c r="T341" i="3"/>
  <c r="AG341" i="3" s="1"/>
  <c r="D341" i="3" l="1"/>
  <c r="AH341" i="3"/>
  <c r="E341" i="3"/>
  <c r="H341" i="3" s="1"/>
  <c r="F341" i="3" l="1"/>
  <c r="G341" i="3"/>
  <c r="K341" i="3"/>
  <c r="AE341" i="3" s="1"/>
  <c r="I341" i="3" l="1"/>
  <c r="J341" i="3"/>
  <c r="AD341" i="3" s="1"/>
  <c r="M341" i="3"/>
  <c r="N341" i="3" s="1"/>
  <c r="V341" i="3"/>
  <c r="A342" i="3"/>
  <c r="B342" i="3" s="1"/>
  <c r="L341" i="3" l="1"/>
  <c r="W341" i="3"/>
  <c r="Z342" i="3"/>
  <c r="P342" i="3"/>
  <c r="Q342" i="3" s="1"/>
  <c r="R342" i="3" s="1"/>
  <c r="S342" i="3" s="1"/>
  <c r="AA342" i="3"/>
  <c r="AC342" i="3"/>
  <c r="U341" i="3" l="1"/>
  <c r="Y340" i="3"/>
  <c r="T342" i="3"/>
  <c r="D342" i="3" l="1"/>
  <c r="G342" i="3" s="1"/>
  <c r="AH342" i="3"/>
  <c r="E342" i="3"/>
  <c r="H342" i="3" s="1"/>
  <c r="AG342" i="3"/>
  <c r="F342" i="3" l="1"/>
  <c r="I342" i="3"/>
  <c r="J342" i="3"/>
  <c r="AD342" i="3" s="1"/>
  <c r="M342" i="3"/>
  <c r="N342" i="3" s="1"/>
  <c r="K342" i="3"/>
  <c r="AE342" i="3" s="1"/>
  <c r="V342" i="3" l="1"/>
  <c r="W342" i="3" s="1"/>
  <c r="A343" i="3"/>
  <c r="B343" i="3" s="1"/>
  <c r="L342" i="3"/>
  <c r="U342" i="3" l="1"/>
  <c r="Y341" i="3"/>
  <c r="P343" i="3"/>
  <c r="Q343" i="3" s="1"/>
  <c r="R343" i="3" s="1"/>
  <c r="S343" i="3" s="1"/>
  <c r="AA343" i="3"/>
  <c r="Z343" i="3"/>
  <c r="AC343" i="3"/>
  <c r="T343" i="3" l="1"/>
  <c r="D343" i="3" s="1"/>
  <c r="E343" i="3" l="1"/>
  <c r="H343" i="3" s="1"/>
  <c r="K343" i="3" s="1"/>
  <c r="AE343" i="3" s="1"/>
  <c r="G343" i="3"/>
  <c r="AG343" i="3"/>
  <c r="AH343" i="3"/>
  <c r="F343" i="3" l="1"/>
  <c r="I343" i="3"/>
  <c r="J343" i="3"/>
  <c r="AD343" i="3" s="1"/>
  <c r="M343" i="3"/>
  <c r="N343" i="3" s="1"/>
  <c r="V343" i="3"/>
  <c r="A344" i="3"/>
  <c r="B344" i="3" s="1"/>
  <c r="W343" i="3" l="1"/>
  <c r="L343" i="3"/>
  <c r="AA344" i="3"/>
  <c r="Z344" i="3"/>
  <c r="P344" i="3"/>
  <c r="Q344" i="3" s="1"/>
  <c r="R344" i="3" s="1"/>
  <c r="S344" i="3" s="1"/>
  <c r="AC344" i="3"/>
  <c r="U343" i="3" l="1"/>
  <c r="Y342" i="3"/>
  <c r="T344" i="3"/>
  <c r="AH344" i="3" s="1"/>
  <c r="AG344" i="3" l="1"/>
  <c r="E344" i="3"/>
  <c r="H344" i="3" s="1"/>
  <c r="D344" i="3"/>
  <c r="F344" i="3" l="1"/>
  <c r="G344" i="3"/>
  <c r="K344" i="3"/>
  <c r="AE344" i="3" s="1"/>
  <c r="I344" i="3" l="1"/>
  <c r="J344" i="3"/>
  <c r="AD344" i="3" s="1"/>
  <c r="M344" i="3"/>
  <c r="N344" i="3" s="1"/>
  <c r="V344" i="3"/>
  <c r="A345" i="3"/>
  <c r="B345" i="3" s="1"/>
  <c r="W344" i="3" l="1"/>
  <c r="P345" i="3"/>
  <c r="Q345" i="3" s="1"/>
  <c r="R345" i="3" s="1"/>
  <c r="S345" i="3" s="1"/>
  <c r="Z345" i="3"/>
  <c r="AC345" i="3"/>
  <c r="AA345" i="3"/>
  <c r="L344" i="3"/>
  <c r="T345" i="3" l="1"/>
  <c r="U344" i="3"/>
  <c r="Y343" i="3"/>
  <c r="E345" i="3" l="1"/>
  <c r="H345" i="3" s="1"/>
  <c r="K345" i="3" s="1"/>
  <c r="AE345" i="3" s="1"/>
  <c r="AH345" i="3"/>
  <c r="D345" i="3"/>
  <c r="AG345" i="3"/>
  <c r="F345" i="3" l="1"/>
  <c r="G345" i="3"/>
  <c r="V345" i="3"/>
  <c r="A346" i="3"/>
  <c r="B346" i="3" s="1"/>
  <c r="AC346" i="3" l="1"/>
  <c r="P346" i="3"/>
  <c r="Q346" i="3" s="1"/>
  <c r="R346" i="3" s="1"/>
  <c r="S346" i="3" s="1"/>
  <c r="AA346" i="3"/>
  <c r="Z346" i="3"/>
  <c r="I345" i="3"/>
  <c r="W345" i="3" s="1"/>
  <c r="J345" i="3"/>
  <c r="AD345" i="3" s="1"/>
  <c r="M345" i="3"/>
  <c r="N345" i="3" s="1"/>
  <c r="L345" i="3" l="1"/>
  <c r="T346" i="3"/>
  <c r="AH346" i="3" l="1"/>
  <c r="AG346" i="3"/>
  <c r="U345" i="3"/>
  <c r="D346" i="3" s="1"/>
  <c r="Y344" i="3"/>
  <c r="G346" i="3" l="1"/>
  <c r="E346" i="3"/>
  <c r="H346" i="3" s="1"/>
  <c r="F346" i="3" l="1"/>
  <c r="I346" i="3"/>
  <c r="J346" i="3"/>
  <c r="AD346" i="3" s="1"/>
  <c r="M346" i="3"/>
  <c r="N346" i="3" s="1"/>
  <c r="K346" i="3"/>
  <c r="AE346" i="3" s="1"/>
  <c r="V346" i="3" l="1"/>
  <c r="W346" i="3" s="1"/>
  <c r="A347" i="3"/>
  <c r="B347" i="3" s="1"/>
  <c r="L346" i="3"/>
  <c r="U346" i="3" l="1"/>
  <c r="Y345" i="3"/>
  <c r="AC347" i="3"/>
  <c r="Z347" i="3"/>
  <c r="AA347" i="3"/>
  <c r="P347" i="3"/>
  <c r="Q347" i="3" s="1"/>
  <c r="R347" i="3" s="1"/>
  <c r="S347" i="3" s="1"/>
  <c r="T347" i="3" l="1"/>
  <c r="E347" i="3" s="1"/>
  <c r="H347" i="3" s="1"/>
  <c r="K347" i="3" l="1"/>
  <c r="AE347" i="3" s="1"/>
  <c r="AH347" i="3"/>
  <c r="AG347" i="3"/>
  <c r="D347" i="3"/>
  <c r="F347" i="3" l="1"/>
  <c r="G347" i="3"/>
  <c r="V347" i="3"/>
  <c r="A348" i="3"/>
  <c r="B348" i="3" s="1"/>
  <c r="I347" i="3" l="1"/>
  <c r="W347" i="3" s="1"/>
  <c r="J347" i="3"/>
  <c r="AD347" i="3" s="1"/>
  <c r="M347" i="3"/>
  <c r="N347" i="3" s="1"/>
  <c r="AC348" i="3"/>
  <c r="AA348" i="3"/>
  <c r="P348" i="3"/>
  <c r="Q348" i="3" s="1"/>
  <c r="R348" i="3" s="1"/>
  <c r="S348" i="3" s="1"/>
  <c r="Z348" i="3"/>
  <c r="L347" i="3" l="1"/>
  <c r="T348" i="3"/>
  <c r="U347" i="3" l="1"/>
  <c r="D348" i="3" s="1"/>
  <c r="AH348" i="3"/>
  <c r="AG348" i="3"/>
  <c r="Y346" i="3"/>
  <c r="E348" i="3" l="1"/>
  <c r="H348" i="3" s="1"/>
  <c r="K348" i="3" s="1"/>
  <c r="AE348" i="3" s="1"/>
  <c r="G348" i="3"/>
  <c r="F348" i="3" l="1"/>
  <c r="I348" i="3"/>
  <c r="J348" i="3"/>
  <c r="AD348" i="3" s="1"/>
  <c r="M348" i="3"/>
  <c r="N348" i="3" s="1"/>
  <c r="V348" i="3"/>
  <c r="A349" i="3"/>
  <c r="B349" i="3" s="1"/>
  <c r="W348" i="3" l="1"/>
  <c r="L348" i="3"/>
  <c r="AC349" i="3"/>
  <c r="P349" i="3"/>
  <c r="Q349" i="3" s="1"/>
  <c r="R349" i="3" s="1"/>
  <c r="S349" i="3" s="1"/>
  <c r="AA349" i="3"/>
  <c r="Z349" i="3"/>
  <c r="U348" i="3" l="1"/>
  <c r="Y347" i="3"/>
  <c r="T349" i="3"/>
  <c r="AG349" i="3" s="1"/>
  <c r="E349" i="3" l="1"/>
  <c r="H349" i="3" s="1"/>
  <c r="K349" i="3" s="1"/>
  <c r="AE349" i="3" s="1"/>
  <c r="D349" i="3"/>
  <c r="AH349" i="3"/>
  <c r="V349" i="3" l="1"/>
  <c r="A350" i="3"/>
  <c r="B350" i="3" s="1"/>
  <c r="F349" i="3"/>
  <c r="G349" i="3"/>
  <c r="I349" i="3" l="1"/>
  <c r="W349" i="3" s="1"/>
  <c r="J349" i="3"/>
  <c r="AD349" i="3" s="1"/>
  <c r="M349" i="3"/>
  <c r="N349" i="3" s="1"/>
  <c r="P350" i="3"/>
  <c r="Q350" i="3" s="1"/>
  <c r="R350" i="3" s="1"/>
  <c r="S350" i="3" s="1"/>
  <c r="Z350" i="3"/>
  <c r="AC350" i="3"/>
  <c r="AA350" i="3"/>
  <c r="T350" i="3" l="1"/>
  <c r="L349" i="3"/>
  <c r="U349" i="3" l="1"/>
  <c r="D350" i="3" s="1"/>
  <c r="AG350" i="3"/>
  <c r="AH350" i="3"/>
  <c r="Y348" i="3"/>
  <c r="E350" i="3" l="1"/>
  <c r="H350" i="3" s="1"/>
  <c r="K350" i="3" s="1"/>
  <c r="AE350" i="3" s="1"/>
  <c r="G350" i="3"/>
  <c r="F350" i="3" l="1"/>
  <c r="V350" i="3"/>
  <c r="A351" i="3"/>
  <c r="B351" i="3" s="1"/>
  <c r="I350" i="3"/>
  <c r="J350" i="3"/>
  <c r="AD350" i="3" s="1"/>
  <c r="M350" i="3"/>
  <c r="N350" i="3" s="1"/>
  <c r="W350" i="3" l="1"/>
  <c r="L350" i="3"/>
  <c r="AA351" i="3"/>
  <c r="P351" i="3"/>
  <c r="Q351" i="3" s="1"/>
  <c r="R351" i="3" s="1"/>
  <c r="S351" i="3" s="1"/>
  <c r="Z351" i="3"/>
  <c r="AC351" i="3"/>
  <c r="U350" i="3" l="1"/>
  <c r="Y349" i="3"/>
  <c r="T351" i="3"/>
  <c r="D351" i="3" l="1"/>
  <c r="G351" i="3" s="1"/>
  <c r="AH351" i="3"/>
  <c r="E351" i="3"/>
  <c r="H351" i="3" s="1"/>
  <c r="K351" i="3" s="1"/>
  <c r="AE351" i="3" s="1"/>
  <c r="AG351" i="3"/>
  <c r="F351" i="3" l="1"/>
  <c r="V351" i="3"/>
  <c r="A352" i="3"/>
  <c r="B352" i="3" s="1"/>
  <c r="I351" i="3"/>
  <c r="J351" i="3"/>
  <c r="AD351" i="3" s="1"/>
  <c r="M351" i="3"/>
  <c r="N351" i="3" s="1"/>
  <c r="L351" i="3" l="1"/>
  <c r="W351" i="3"/>
  <c r="AC352" i="3"/>
  <c r="P352" i="3"/>
  <c r="Q352" i="3" s="1"/>
  <c r="R352" i="3" s="1"/>
  <c r="S352" i="3" s="1"/>
  <c r="AA352" i="3"/>
  <c r="Z352" i="3"/>
  <c r="U351" i="3" l="1"/>
  <c r="Y350" i="3"/>
  <c r="T352" i="3"/>
  <c r="E352" i="3" l="1"/>
  <c r="H352" i="3" s="1"/>
  <c r="K352" i="3" s="1"/>
  <c r="AE352" i="3" s="1"/>
  <c r="AH352" i="3"/>
  <c r="D352" i="3"/>
  <c r="AG352" i="3"/>
  <c r="F352" i="3" l="1"/>
  <c r="G352" i="3"/>
  <c r="V352" i="3"/>
  <c r="A353" i="3"/>
  <c r="B353" i="3" s="1"/>
  <c r="AC353" i="3" l="1"/>
  <c r="AA353" i="3"/>
  <c r="P353" i="3"/>
  <c r="Q353" i="3" s="1"/>
  <c r="R353" i="3" s="1"/>
  <c r="S353" i="3" s="1"/>
  <c r="Z353" i="3"/>
  <c r="I352" i="3"/>
  <c r="W352" i="3" s="1"/>
  <c r="J352" i="3"/>
  <c r="AD352" i="3" s="1"/>
  <c r="M352" i="3"/>
  <c r="N352" i="3" s="1"/>
  <c r="T353" i="3" l="1"/>
  <c r="L352" i="3"/>
  <c r="U352" i="3" l="1"/>
  <c r="D353" i="3" s="1"/>
  <c r="AH353" i="3"/>
  <c r="AG353" i="3"/>
  <c r="Y351" i="3"/>
  <c r="E353" i="3" l="1"/>
  <c r="H353" i="3" s="1"/>
  <c r="K353" i="3" s="1"/>
  <c r="AE353" i="3" s="1"/>
  <c r="G353" i="3"/>
  <c r="F353" i="3" l="1"/>
  <c r="I353" i="3"/>
  <c r="J353" i="3"/>
  <c r="AD353" i="3" s="1"/>
  <c r="M353" i="3"/>
  <c r="N353" i="3" s="1"/>
  <c r="V353" i="3"/>
  <c r="A354" i="3"/>
  <c r="B354" i="3" s="1"/>
  <c r="W353" i="3" l="1"/>
  <c r="L353" i="3"/>
  <c r="P354" i="3"/>
  <c r="Q354" i="3" s="1"/>
  <c r="R354" i="3" s="1"/>
  <c r="S354" i="3" s="1"/>
  <c r="AC354" i="3"/>
  <c r="Z354" i="3"/>
  <c r="AA354" i="3"/>
  <c r="U353" i="3" l="1"/>
  <c r="Y352" i="3"/>
  <c r="T354" i="3"/>
  <c r="AG354" i="3" s="1"/>
  <c r="D354" i="3" l="1"/>
  <c r="AH354" i="3"/>
  <c r="E354" i="3"/>
  <c r="H354" i="3" s="1"/>
  <c r="F354" i="3" l="1"/>
  <c r="G354" i="3"/>
  <c r="K354" i="3"/>
  <c r="AE354" i="3" s="1"/>
  <c r="V354" i="3" l="1"/>
  <c r="A355" i="3"/>
  <c r="B355" i="3" s="1"/>
  <c r="I354" i="3"/>
  <c r="J354" i="3"/>
  <c r="AD354" i="3" s="1"/>
  <c r="M354" i="3"/>
  <c r="N354" i="3" s="1"/>
  <c r="W354" i="3" l="1"/>
  <c r="L354" i="3"/>
  <c r="AA355" i="3"/>
  <c r="AC355" i="3"/>
  <c r="Z355" i="3"/>
  <c r="P355" i="3"/>
  <c r="Q355" i="3" s="1"/>
  <c r="R355" i="3" s="1"/>
  <c r="S355" i="3" s="1"/>
  <c r="T355" i="3" l="1"/>
  <c r="U354" i="3"/>
  <c r="Y353" i="3"/>
  <c r="D355" i="3" l="1"/>
  <c r="G355" i="3" s="1"/>
  <c r="AG355" i="3"/>
  <c r="E355" i="3"/>
  <c r="H355" i="3" s="1"/>
  <c r="K355" i="3" s="1"/>
  <c r="AE355" i="3" s="1"/>
  <c r="AH355" i="3"/>
  <c r="F355" i="3" l="1"/>
  <c r="V355" i="3"/>
  <c r="A356" i="3"/>
  <c r="B356" i="3" s="1"/>
  <c r="I355" i="3"/>
  <c r="J355" i="3"/>
  <c r="AD355" i="3" s="1"/>
  <c r="M355" i="3"/>
  <c r="N355" i="3" s="1"/>
  <c r="W355" i="3" l="1"/>
  <c r="L355" i="3"/>
  <c r="P356" i="3"/>
  <c r="Q356" i="3" s="1"/>
  <c r="R356" i="3" s="1"/>
  <c r="S356" i="3" s="1"/>
  <c r="AA356" i="3"/>
  <c r="Z356" i="3"/>
  <c r="AC356" i="3"/>
  <c r="U355" i="3" l="1"/>
  <c r="Y354" i="3"/>
  <c r="T356" i="3"/>
  <c r="AG356" i="3" s="1"/>
  <c r="AH356" i="3" l="1"/>
  <c r="D356" i="3"/>
  <c r="E356" i="3"/>
  <c r="H356" i="3" s="1"/>
  <c r="K356" i="3" s="1"/>
  <c r="AE356" i="3" s="1"/>
  <c r="F356" i="3" l="1"/>
  <c r="G356" i="3"/>
  <c r="M356" i="3" s="1"/>
  <c r="N356" i="3" s="1"/>
  <c r="V356" i="3"/>
  <c r="A357" i="3"/>
  <c r="B357" i="3" s="1"/>
  <c r="I356" i="3" l="1"/>
  <c r="W356" i="3" s="1"/>
  <c r="J356" i="3"/>
  <c r="Z357" i="3"/>
  <c r="P357" i="3"/>
  <c r="Q357" i="3" s="1"/>
  <c r="R357" i="3" s="1"/>
  <c r="S357" i="3" s="1"/>
  <c r="AC357" i="3"/>
  <c r="AA357" i="3"/>
  <c r="L356" i="3" l="1"/>
  <c r="U356" i="3" s="1"/>
  <c r="AD356" i="3"/>
  <c r="T357" i="3"/>
  <c r="Y355" i="3" l="1"/>
  <c r="AG357" i="3"/>
  <c r="AH357" i="3"/>
  <c r="E357" i="3"/>
  <c r="H357" i="3" s="1"/>
  <c r="D357" i="3"/>
  <c r="F357" i="3" l="1"/>
  <c r="G357" i="3"/>
  <c r="K357" i="3"/>
  <c r="AE357" i="3" s="1"/>
  <c r="V357" i="3" l="1"/>
  <c r="A358" i="3"/>
  <c r="B358" i="3" s="1"/>
  <c r="I357" i="3"/>
  <c r="J357" i="3"/>
  <c r="AD357" i="3" s="1"/>
  <c r="M357" i="3"/>
  <c r="N357" i="3" s="1"/>
  <c r="W357" i="3" l="1"/>
  <c r="L357" i="3"/>
  <c r="P358" i="3"/>
  <c r="Q358" i="3" s="1"/>
  <c r="R358" i="3" s="1"/>
  <c r="S358" i="3" s="1"/>
  <c r="Z358" i="3"/>
  <c r="AA358" i="3"/>
  <c r="AC358" i="3"/>
  <c r="T358" i="3" l="1"/>
  <c r="AH358" i="3" s="1"/>
  <c r="U357" i="3"/>
  <c r="Y356" i="3"/>
  <c r="D358" i="3" l="1"/>
  <c r="G358" i="3" s="1"/>
  <c r="E358" i="3"/>
  <c r="H358" i="3" s="1"/>
  <c r="AG358" i="3"/>
  <c r="I358" i="3" l="1"/>
  <c r="J358" i="3"/>
  <c r="AD358" i="3" s="1"/>
  <c r="M358" i="3"/>
  <c r="N358" i="3" s="1"/>
  <c r="F358" i="3"/>
  <c r="K358" i="3"/>
  <c r="AE358" i="3" s="1"/>
  <c r="V358" i="3" l="1"/>
  <c r="W358" i="3" s="1"/>
  <c r="A359" i="3"/>
  <c r="B359" i="3" s="1"/>
  <c r="L358" i="3"/>
  <c r="U358" i="3" l="1"/>
  <c r="Y357" i="3"/>
  <c r="P359" i="3"/>
  <c r="Q359" i="3" s="1"/>
  <c r="R359" i="3" s="1"/>
  <c r="S359" i="3" s="1"/>
  <c r="AC359" i="3"/>
  <c r="AA359" i="3"/>
  <c r="Z359" i="3"/>
  <c r="T359" i="3" l="1"/>
  <c r="AG359" i="3" s="1"/>
  <c r="AH359" i="3" l="1"/>
  <c r="E359" i="3"/>
  <c r="H359" i="3" s="1"/>
  <c r="D359" i="3"/>
  <c r="K359" i="3" l="1"/>
  <c r="AE359" i="3" s="1"/>
  <c r="F359" i="3"/>
  <c r="G359" i="3"/>
  <c r="I359" i="3" l="1"/>
  <c r="J359" i="3"/>
  <c r="AD359" i="3" s="1"/>
  <c r="M359" i="3"/>
  <c r="N359" i="3" s="1"/>
  <c r="V359" i="3"/>
  <c r="A360" i="3"/>
  <c r="B360" i="3" s="1"/>
  <c r="W359" i="3" l="1"/>
  <c r="L359" i="3"/>
  <c r="AC360" i="3"/>
  <c r="AA360" i="3"/>
  <c r="P360" i="3"/>
  <c r="Q360" i="3" s="1"/>
  <c r="R360" i="3" s="1"/>
  <c r="S360" i="3" s="1"/>
  <c r="Z360" i="3"/>
  <c r="T360" i="3" l="1"/>
  <c r="AH360" i="3" s="1"/>
  <c r="U359" i="3"/>
  <c r="Y358" i="3"/>
  <c r="E360" i="3" l="1"/>
  <c r="H360" i="3" s="1"/>
  <c r="K360" i="3" s="1"/>
  <c r="AE360" i="3" s="1"/>
  <c r="AG360" i="3"/>
  <c r="D360" i="3"/>
  <c r="F360" i="3" l="1"/>
  <c r="G360" i="3"/>
  <c r="V360" i="3"/>
  <c r="A361" i="3"/>
  <c r="B361" i="3" s="1"/>
  <c r="Z361" i="3" l="1"/>
  <c r="P361" i="3"/>
  <c r="Q361" i="3" s="1"/>
  <c r="R361" i="3" s="1"/>
  <c r="S361" i="3" s="1"/>
  <c r="AC361" i="3"/>
  <c r="AA361" i="3"/>
  <c r="I360" i="3"/>
  <c r="W360" i="3" s="1"/>
  <c r="J360" i="3"/>
  <c r="AD360" i="3" s="1"/>
  <c r="M360" i="3"/>
  <c r="N360" i="3" s="1"/>
  <c r="T361" i="3" l="1"/>
  <c r="L360" i="3"/>
  <c r="AG361" i="3" l="1"/>
  <c r="AH361" i="3"/>
  <c r="U360" i="3"/>
  <c r="E361" i="3" s="1"/>
  <c r="H361" i="3" s="1"/>
  <c r="Y359" i="3"/>
  <c r="D361" i="3" l="1"/>
  <c r="G361" i="3" s="1"/>
  <c r="K361" i="3"/>
  <c r="AE361" i="3" s="1"/>
  <c r="F361" i="3" l="1"/>
  <c r="I361" i="3"/>
  <c r="J361" i="3"/>
  <c r="AD361" i="3" s="1"/>
  <c r="M361" i="3"/>
  <c r="N361" i="3" s="1"/>
  <c r="V361" i="3"/>
  <c r="A362" i="3"/>
  <c r="B362" i="3" s="1"/>
  <c r="W361" i="3" l="1"/>
  <c r="L361" i="3"/>
  <c r="AC362" i="3"/>
  <c r="Z362" i="3"/>
  <c r="P362" i="3"/>
  <c r="Q362" i="3" s="1"/>
  <c r="R362" i="3" s="1"/>
  <c r="S362" i="3" s="1"/>
  <c r="AA362" i="3"/>
  <c r="U361" i="3" l="1"/>
  <c r="Y360" i="3"/>
  <c r="T362" i="3"/>
  <c r="AH362" i="3" s="1"/>
  <c r="D362" i="3" l="1"/>
  <c r="G362" i="3" s="1"/>
  <c r="E362" i="3"/>
  <c r="H362" i="3" s="1"/>
  <c r="K362" i="3" s="1"/>
  <c r="AE362" i="3" s="1"/>
  <c r="AG362" i="3"/>
  <c r="F362" i="3" l="1"/>
  <c r="I362" i="3"/>
  <c r="J362" i="3"/>
  <c r="AD362" i="3" s="1"/>
  <c r="M362" i="3"/>
  <c r="N362" i="3" s="1"/>
  <c r="V362" i="3"/>
  <c r="A363" i="3"/>
  <c r="B363" i="3" s="1"/>
  <c r="W362" i="3" l="1"/>
  <c r="L362" i="3"/>
  <c r="P363" i="3"/>
  <c r="Q363" i="3" s="1"/>
  <c r="R363" i="3" s="1"/>
  <c r="S363" i="3" s="1"/>
  <c r="AA363" i="3"/>
  <c r="Z363" i="3"/>
  <c r="AC363" i="3"/>
  <c r="T363" i="3" l="1"/>
  <c r="U362" i="3"/>
  <c r="Y361" i="3"/>
  <c r="E363" i="3" l="1"/>
  <c r="H363" i="3" s="1"/>
  <c r="K363" i="3" s="1"/>
  <c r="AE363" i="3" s="1"/>
  <c r="AH363" i="3"/>
  <c r="D363" i="3"/>
  <c r="AG363" i="3"/>
  <c r="F363" i="3" l="1"/>
  <c r="G363" i="3"/>
  <c r="M363" i="3" s="1"/>
  <c r="N363" i="3" s="1"/>
  <c r="V363" i="3"/>
  <c r="A364" i="3"/>
  <c r="B364" i="3" s="1"/>
  <c r="I363" i="3" l="1"/>
  <c r="W363" i="3" s="1"/>
  <c r="J363" i="3"/>
  <c r="P364" i="3"/>
  <c r="Q364" i="3" s="1"/>
  <c r="R364" i="3" s="1"/>
  <c r="S364" i="3" s="1"/>
  <c r="Z364" i="3"/>
  <c r="AC364" i="3"/>
  <c r="AA364" i="3"/>
  <c r="L363" i="3" l="1"/>
  <c r="U363" i="3" s="1"/>
  <c r="AD363" i="3"/>
  <c r="T364" i="3"/>
  <c r="Y362" i="3" l="1"/>
  <c r="D364" i="3"/>
  <c r="G364" i="3" s="1"/>
  <c r="E364" i="3"/>
  <c r="H364" i="3" s="1"/>
  <c r="K364" i="3" s="1"/>
  <c r="AE364" i="3" s="1"/>
  <c r="AG364" i="3"/>
  <c r="AH364" i="3"/>
  <c r="F364" i="3" l="1"/>
  <c r="V364" i="3"/>
  <c r="A365" i="3"/>
  <c r="B365" i="3" s="1"/>
  <c r="I364" i="3"/>
  <c r="J364" i="3"/>
  <c r="AD364" i="3" s="1"/>
  <c r="M364" i="3"/>
  <c r="N364" i="3" s="1"/>
  <c r="W364" i="3" l="1"/>
  <c r="L364" i="3"/>
  <c r="AC365" i="3"/>
  <c r="P365" i="3"/>
  <c r="Q365" i="3" s="1"/>
  <c r="R365" i="3" s="1"/>
  <c r="S365" i="3" s="1"/>
  <c r="AA365" i="3"/>
  <c r="AD365" i="3"/>
  <c r="Z365" i="3"/>
  <c r="U364" i="3" l="1"/>
  <c r="Y363" i="3"/>
  <c r="T365" i="3"/>
  <c r="AH365" i="3" s="1"/>
  <c r="D365" i="3" l="1"/>
  <c r="G365" i="3" s="1"/>
  <c r="AG365" i="3"/>
  <c r="E365" i="3"/>
  <c r="H365" i="3" s="1"/>
  <c r="K365" i="3" s="1"/>
  <c r="AE365" i="3" s="1"/>
  <c r="F365" i="3" l="1"/>
  <c r="I365" i="3"/>
  <c r="J365" i="3"/>
  <c r="M365" i="3"/>
  <c r="N365" i="3" s="1"/>
  <c r="V365" i="3"/>
  <c r="A366" i="3"/>
  <c r="B366" i="3" s="1"/>
  <c r="W365" i="3" l="1"/>
  <c r="L365" i="3"/>
  <c r="AC366" i="3"/>
  <c r="AD366" i="3"/>
  <c r="P366" i="3"/>
  <c r="Q366" i="3" s="1"/>
  <c r="R366" i="3" s="1"/>
  <c r="S366" i="3" s="1"/>
  <c r="AA366" i="3"/>
  <c r="Z366" i="3"/>
  <c r="U365" i="3" l="1"/>
  <c r="Y364" i="3"/>
  <c r="T366" i="3"/>
  <c r="E366" i="3" l="1"/>
  <c r="H366" i="3" s="1"/>
  <c r="K366" i="3" s="1"/>
  <c r="AE366" i="3" s="1"/>
  <c r="AH366" i="3"/>
  <c r="D366" i="3"/>
  <c r="G366" i="3" s="1"/>
  <c r="AG366" i="3"/>
  <c r="F366" i="3" l="1"/>
  <c r="V366" i="3"/>
  <c r="A367" i="3"/>
  <c r="B367" i="3" s="1"/>
  <c r="I366" i="3"/>
  <c r="J366" i="3"/>
  <c r="M366" i="3"/>
  <c r="N366" i="3" s="1"/>
  <c r="W366" i="3" l="1"/>
  <c r="L366" i="3"/>
  <c r="Z367" i="3"/>
  <c r="P367" i="3"/>
  <c r="Q367" i="3" s="1"/>
  <c r="R367" i="3" s="1"/>
  <c r="S367" i="3" s="1"/>
  <c r="AC367" i="3"/>
  <c r="AA367" i="3"/>
  <c r="T367" i="3" l="1"/>
  <c r="AG367" i="3" s="1"/>
  <c r="U366" i="3"/>
  <c r="Y365" i="3"/>
  <c r="D367" i="3" l="1"/>
  <c r="AH367" i="3"/>
  <c r="E367" i="3"/>
  <c r="H367" i="3" s="1"/>
  <c r="F367" i="3" l="1"/>
  <c r="G367" i="3"/>
  <c r="K367" i="3"/>
  <c r="AE367" i="3" s="1"/>
  <c r="I367" i="3" l="1"/>
  <c r="J367" i="3"/>
  <c r="AD367" i="3" s="1"/>
  <c r="M367" i="3"/>
  <c r="N367" i="3" s="1"/>
  <c r="V367" i="3"/>
  <c r="A368" i="3"/>
  <c r="B368" i="3" s="1"/>
  <c r="L367" i="3" l="1"/>
  <c r="W367" i="3"/>
  <c r="Z368" i="3"/>
  <c r="P368" i="3"/>
  <c r="Q368" i="3" s="1"/>
  <c r="R368" i="3" s="1"/>
  <c r="S368" i="3" s="1"/>
  <c r="AC368" i="3"/>
  <c r="AA368" i="3"/>
  <c r="T368" i="3" l="1"/>
  <c r="AH368" i="3" s="1"/>
  <c r="U367" i="3"/>
  <c r="Y366" i="3"/>
  <c r="E368" i="3" l="1"/>
  <c r="H368" i="3" s="1"/>
  <c r="K368" i="3" s="1"/>
  <c r="AE368" i="3" s="1"/>
  <c r="D368" i="3"/>
  <c r="AG368" i="3"/>
  <c r="V368" i="3" l="1"/>
  <c r="A369" i="3"/>
  <c r="B369" i="3" s="1"/>
  <c r="F368" i="3"/>
  <c r="G368" i="3"/>
  <c r="I368" i="3" l="1"/>
  <c r="W368" i="3" s="1"/>
  <c r="J368" i="3"/>
  <c r="AD368" i="3" s="1"/>
  <c r="M368" i="3"/>
  <c r="N368" i="3" s="1"/>
  <c r="AD369" i="3"/>
  <c r="Z369" i="3"/>
  <c r="AC369" i="3"/>
  <c r="P369" i="3"/>
  <c r="Q369" i="3" s="1"/>
  <c r="R369" i="3" s="1"/>
  <c r="S369" i="3" s="1"/>
  <c r="AA369" i="3"/>
  <c r="T369" i="3" l="1"/>
  <c r="L368" i="3"/>
  <c r="AH369" i="3" l="1"/>
  <c r="AG369" i="3"/>
  <c r="U368" i="3"/>
  <c r="E369" i="3" s="1"/>
  <c r="H369" i="3" s="1"/>
  <c r="Y367" i="3"/>
  <c r="D369" i="3" l="1"/>
  <c r="F369" i="3" s="1"/>
  <c r="K369" i="3"/>
  <c r="AE369" i="3" s="1"/>
  <c r="G369" i="3" l="1"/>
  <c r="M369" i="3" s="1"/>
  <c r="N369" i="3" s="1"/>
  <c r="V369" i="3"/>
  <c r="A370" i="3"/>
  <c r="B370" i="3" s="1"/>
  <c r="J369" i="3" l="1"/>
  <c r="L369" i="3" s="1"/>
  <c r="I369" i="3"/>
  <c r="W369" i="3" s="1"/>
  <c r="AD370" i="3"/>
  <c r="AA370" i="3"/>
  <c r="P370" i="3"/>
  <c r="Q370" i="3" s="1"/>
  <c r="R370" i="3" s="1"/>
  <c r="S370" i="3" s="1"/>
  <c r="AC370" i="3"/>
  <c r="Z370" i="3"/>
  <c r="U369" i="3" l="1"/>
  <c r="Y368" i="3"/>
  <c r="T370" i="3"/>
  <c r="AG370" i="3" s="1"/>
  <c r="E370" i="3" l="1"/>
  <c r="H370" i="3" s="1"/>
  <c r="K370" i="3" s="1"/>
  <c r="AE370" i="3" s="1"/>
  <c r="AH370" i="3"/>
  <c r="D370" i="3"/>
  <c r="F370" i="3" l="1"/>
  <c r="G370" i="3"/>
  <c r="M370" i="3" s="1"/>
  <c r="N370" i="3" s="1"/>
  <c r="V370" i="3"/>
  <c r="A371" i="3"/>
  <c r="B371" i="3" s="1"/>
  <c r="I370" i="3" l="1"/>
  <c r="W370" i="3" s="1"/>
  <c r="J370" i="3"/>
  <c r="L370" i="3" s="1"/>
  <c r="AD371" i="3"/>
  <c r="AC371" i="3"/>
  <c r="P371" i="3"/>
  <c r="Q371" i="3" s="1"/>
  <c r="R371" i="3" s="1"/>
  <c r="S371" i="3" s="1"/>
  <c r="AA371" i="3"/>
  <c r="Z371" i="3"/>
  <c r="T371" i="3" l="1"/>
  <c r="AG371" i="3" s="1"/>
  <c r="U370" i="3"/>
  <c r="Y369" i="3"/>
  <c r="E371" i="3" l="1"/>
  <c r="H371" i="3" s="1"/>
  <c r="K371" i="3" s="1"/>
  <c r="AE371" i="3" s="1"/>
  <c r="D371" i="3"/>
  <c r="AH371" i="3"/>
  <c r="V371" i="3" l="1"/>
  <c r="A372" i="3"/>
  <c r="B372" i="3" s="1"/>
  <c r="F371" i="3"/>
  <c r="G371" i="3"/>
  <c r="I371" i="3" l="1"/>
  <c r="W371" i="3" s="1"/>
  <c r="J371" i="3"/>
  <c r="M371" i="3"/>
  <c r="N371" i="3" s="1"/>
  <c r="P372" i="3"/>
  <c r="Q372" i="3" s="1"/>
  <c r="R372" i="3" s="1"/>
  <c r="S372" i="3" s="1"/>
  <c r="AA372" i="3"/>
  <c r="AC372" i="3"/>
  <c r="Z372" i="3"/>
  <c r="L371" i="3" l="1"/>
  <c r="T372" i="3"/>
  <c r="U371" i="3" l="1"/>
  <c r="E372" i="3" s="1"/>
  <c r="H372" i="3" s="1"/>
  <c r="AG372" i="3"/>
  <c r="AH372" i="3"/>
  <c r="Y370" i="3"/>
  <c r="D372" i="3" l="1"/>
  <c r="F372" i="3" s="1"/>
  <c r="K372" i="3"/>
  <c r="AE372" i="3" s="1"/>
  <c r="G372" i="3" l="1"/>
  <c r="M372" i="3" s="1"/>
  <c r="N372" i="3" s="1"/>
  <c r="V372" i="3"/>
  <c r="A373" i="3"/>
  <c r="B373" i="3" s="1"/>
  <c r="J372" i="3" l="1"/>
  <c r="I372" i="3"/>
  <c r="W372" i="3" s="1"/>
  <c r="AD373" i="3"/>
  <c r="Z373" i="3"/>
  <c r="AC373" i="3"/>
  <c r="P373" i="3"/>
  <c r="Q373" i="3" s="1"/>
  <c r="R373" i="3" s="1"/>
  <c r="S373" i="3" s="1"/>
  <c r="AA373" i="3"/>
  <c r="L372" i="3" l="1"/>
  <c r="U372" i="3" s="1"/>
  <c r="AD372" i="3"/>
  <c r="T373" i="3"/>
  <c r="Y371" i="3" l="1"/>
  <c r="AH373" i="3"/>
  <c r="D373" i="3"/>
  <c r="G373" i="3" s="1"/>
  <c r="E373" i="3"/>
  <c r="H373" i="3" s="1"/>
  <c r="AG373" i="3"/>
  <c r="F373" i="3" l="1"/>
  <c r="I373" i="3"/>
  <c r="J373" i="3"/>
  <c r="M373" i="3"/>
  <c r="N373" i="3" s="1"/>
  <c r="K373" i="3"/>
  <c r="AE373" i="3" s="1"/>
  <c r="V373" i="3" l="1"/>
  <c r="W373" i="3" s="1"/>
  <c r="A374" i="3"/>
  <c r="B374" i="3" s="1"/>
  <c r="L373" i="3"/>
  <c r="U373" i="3" l="1"/>
  <c r="Y372" i="3"/>
  <c r="AA374" i="3"/>
  <c r="AC374" i="3"/>
  <c r="Z374" i="3"/>
  <c r="P374" i="3"/>
  <c r="Q374" i="3" s="1"/>
  <c r="R374" i="3" s="1"/>
  <c r="S374" i="3" s="1"/>
  <c r="T374" i="3" l="1"/>
  <c r="AH374" i="3" s="1"/>
  <c r="AG374" i="3" l="1"/>
  <c r="E374" i="3"/>
  <c r="H374" i="3" s="1"/>
  <c r="K374" i="3" s="1"/>
  <c r="AE374" i="3" s="1"/>
  <c r="D374" i="3"/>
  <c r="F374" i="3" l="1"/>
  <c r="G374" i="3"/>
  <c r="I374" i="3" s="1"/>
  <c r="V374" i="3"/>
  <c r="A375" i="3"/>
  <c r="B375" i="3" s="1"/>
  <c r="J374" i="3" l="1"/>
  <c r="M374" i="3"/>
  <c r="N374" i="3" s="1"/>
  <c r="W374" i="3"/>
  <c r="P375" i="3"/>
  <c r="Q375" i="3" s="1"/>
  <c r="R375" i="3" s="1"/>
  <c r="S375" i="3" s="1"/>
  <c r="Z375" i="3"/>
  <c r="AC375" i="3"/>
  <c r="AA375" i="3"/>
  <c r="AD375" i="3"/>
  <c r="L374" i="3" l="1"/>
  <c r="Y373" i="3" s="1"/>
  <c r="AD374" i="3"/>
  <c r="T375" i="3"/>
  <c r="U374" i="3" l="1"/>
  <c r="E375" i="3" s="1"/>
  <c r="H375" i="3" s="1"/>
  <c r="K375" i="3" s="1"/>
  <c r="AE375" i="3" s="1"/>
  <c r="AG375" i="3"/>
  <c r="AH375" i="3"/>
  <c r="D375" i="3" l="1"/>
  <c r="G375" i="3" s="1"/>
  <c r="I375" i="3" s="1"/>
  <c r="V375" i="3"/>
  <c r="A376" i="3"/>
  <c r="B376" i="3" s="1"/>
  <c r="M375" i="3" l="1"/>
  <c r="N375" i="3" s="1"/>
  <c r="F375" i="3"/>
  <c r="J375" i="3"/>
  <c r="L375" i="3" s="1"/>
  <c r="W375" i="3"/>
  <c r="AA376" i="3"/>
  <c r="P376" i="3"/>
  <c r="Q376" i="3" s="1"/>
  <c r="R376" i="3" s="1"/>
  <c r="S376" i="3" s="1"/>
  <c r="AC376" i="3"/>
  <c r="Z376" i="3"/>
  <c r="AD376" i="3"/>
  <c r="T376" i="3" l="1"/>
  <c r="U375" i="3"/>
  <c r="Y374" i="3"/>
  <c r="D376" i="3" l="1"/>
  <c r="G376" i="3" s="1"/>
  <c r="AG376" i="3"/>
  <c r="AH376" i="3"/>
  <c r="E376" i="3"/>
  <c r="H376" i="3" s="1"/>
  <c r="F376" i="3" l="1"/>
  <c r="I376" i="3"/>
  <c r="J376" i="3"/>
  <c r="M376" i="3"/>
  <c r="N376" i="3" s="1"/>
  <c r="K376" i="3"/>
  <c r="AE376" i="3" s="1"/>
  <c r="V376" i="3" l="1"/>
  <c r="W376" i="3" s="1"/>
  <c r="A377" i="3"/>
  <c r="B377" i="3" s="1"/>
  <c r="L376" i="3"/>
  <c r="AC377" i="3" l="1"/>
  <c r="AA377" i="3"/>
  <c r="P377" i="3"/>
  <c r="Q377" i="3" s="1"/>
  <c r="R377" i="3" s="1"/>
  <c r="S377" i="3" s="1"/>
  <c r="Z377" i="3"/>
  <c r="U376" i="3"/>
  <c r="Y375" i="3"/>
  <c r="T377" i="3" l="1"/>
  <c r="AH377" i="3" s="1"/>
  <c r="E377" i="3" l="1"/>
  <c r="H377" i="3" s="1"/>
  <c r="K377" i="3" s="1"/>
  <c r="AE377" i="3" s="1"/>
  <c r="D377" i="3"/>
  <c r="AG377" i="3"/>
  <c r="F377" i="3" l="1"/>
  <c r="G377" i="3"/>
  <c r="M377" i="3" s="1"/>
  <c r="N377" i="3" s="1"/>
  <c r="V377" i="3"/>
  <c r="A378" i="3"/>
  <c r="B378" i="3" s="1"/>
  <c r="I377" i="3" l="1"/>
  <c r="W377" i="3" s="1"/>
  <c r="J377" i="3"/>
  <c r="Z378" i="3"/>
  <c r="AC378" i="3"/>
  <c r="P378" i="3"/>
  <c r="Q378" i="3" s="1"/>
  <c r="R378" i="3" s="1"/>
  <c r="S378" i="3" s="1"/>
  <c r="AA378" i="3"/>
  <c r="L377" i="3" l="1"/>
  <c r="U377" i="3" s="1"/>
  <c r="AD377" i="3"/>
  <c r="T378" i="3"/>
  <c r="Y376" i="3" l="1"/>
  <c r="D378" i="3"/>
  <c r="G378" i="3" s="1"/>
  <c r="AG378" i="3"/>
  <c r="E378" i="3"/>
  <c r="H378" i="3" s="1"/>
  <c r="K378" i="3" s="1"/>
  <c r="AE378" i="3" s="1"/>
  <c r="AH378" i="3"/>
  <c r="F378" i="3" l="1"/>
  <c r="V378" i="3"/>
  <c r="A379" i="3"/>
  <c r="B379" i="3" s="1"/>
  <c r="I378" i="3"/>
  <c r="J378" i="3"/>
  <c r="AD378" i="3" s="1"/>
  <c r="M378" i="3"/>
  <c r="N378" i="3" s="1"/>
  <c r="W378" i="3" l="1"/>
  <c r="L378" i="3"/>
  <c r="Z379" i="3"/>
  <c r="AA379" i="3"/>
  <c r="AD379" i="3"/>
  <c r="P379" i="3"/>
  <c r="Q379" i="3" s="1"/>
  <c r="R379" i="3" s="1"/>
  <c r="S379" i="3" s="1"/>
  <c r="AC379" i="3"/>
  <c r="U378" i="3" l="1"/>
  <c r="Y377" i="3"/>
  <c r="T379" i="3"/>
  <c r="AH379" i="3" s="1"/>
  <c r="E379" i="3" l="1"/>
  <c r="H379" i="3" s="1"/>
  <c r="K379" i="3" s="1"/>
  <c r="AE379" i="3" s="1"/>
  <c r="D379" i="3"/>
  <c r="G379" i="3" s="1"/>
  <c r="AG379" i="3"/>
  <c r="F379" i="3" l="1"/>
  <c r="I379" i="3"/>
  <c r="J379" i="3"/>
  <c r="M379" i="3"/>
  <c r="N379" i="3" s="1"/>
  <c r="V379" i="3"/>
  <c r="A380" i="3"/>
  <c r="B380" i="3" s="1"/>
  <c r="W379" i="3" l="1"/>
  <c r="L379" i="3"/>
  <c r="Z380" i="3"/>
  <c r="P380" i="3"/>
  <c r="Q380" i="3" s="1"/>
  <c r="R380" i="3" s="1"/>
  <c r="S380" i="3" s="1"/>
  <c r="AD380" i="3"/>
  <c r="AC380" i="3"/>
  <c r="AA380" i="3"/>
  <c r="T380" i="3" l="1"/>
  <c r="AH380" i="3" s="1"/>
  <c r="U379" i="3"/>
  <c r="Y378" i="3"/>
  <c r="AG380" i="3" l="1"/>
  <c r="E380" i="3"/>
  <c r="H380" i="3" s="1"/>
  <c r="K380" i="3" s="1"/>
  <c r="AE380" i="3" s="1"/>
  <c r="D380" i="3"/>
  <c r="V380" i="3" l="1"/>
  <c r="A381" i="3"/>
  <c r="B381" i="3" s="1"/>
  <c r="F380" i="3"/>
  <c r="G380" i="3"/>
  <c r="I380" i="3" l="1"/>
  <c r="W380" i="3" s="1"/>
  <c r="J380" i="3"/>
  <c r="M380" i="3"/>
  <c r="N380" i="3" s="1"/>
  <c r="Z381" i="3"/>
  <c r="AA381" i="3"/>
  <c r="AC381" i="3"/>
  <c r="P381" i="3"/>
  <c r="Q381" i="3" s="1"/>
  <c r="R381" i="3" s="1"/>
  <c r="S381" i="3" s="1"/>
  <c r="AD381" i="3"/>
  <c r="T381" i="3" l="1"/>
  <c r="L380" i="3"/>
  <c r="U380" i="3" l="1"/>
  <c r="E381" i="3" s="1"/>
  <c r="H381" i="3" s="1"/>
  <c r="AH381" i="3"/>
  <c r="AG381" i="3"/>
  <c r="Y379" i="3"/>
  <c r="K381" i="3" l="1"/>
  <c r="AE381" i="3" s="1"/>
  <c r="D381" i="3"/>
  <c r="V381" i="3" l="1"/>
  <c r="A382" i="3"/>
  <c r="B382" i="3" s="1"/>
  <c r="F381" i="3"/>
  <c r="G381" i="3"/>
  <c r="I381" i="3" l="1"/>
  <c r="W381" i="3" s="1"/>
  <c r="J381" i="3"/>
  <c r="M381" i="3"/>
  <c r="N381" i="3" s="1"/>
  <c r="AA382" i="3"/>
  <c r="Z382" i="3"/>
  <c r="P382" i="3"/>
  <c r="Q382" i="3" s="1"/>
  <c r="R382" i="3" s="1"/>
  <c r="S382" i="3" s="1"/>
  <c r="AC382" i="3"/>
  <c r="L381" i="3" l="1"/>
  <c r="T382" i="3"/>
  <c r="U381" i="3" l="1"/>
  <c r="E382" i="3" s="1"/>
  <c r="H382" i="3" s="1"/>
  <c r="AH382" i="3"/>
  <c r="AG382" i="3"/>
  <c r="Y380" i="3"/>
  <c r="D382" i="3" l="1"/>
  <c r="G382" i="3" s="1"/>
  <c r="K382" i="3"/>
  <c r="AE382" i="3" s="1"/>
  <c r="F382" i="3" l="1"/>
  <c r="I382" i="3"/>
  <c r="J382" i="3"/>
  <c r="AD382" i="3" s="1"/>
  <c r="M382" i="3"/>
  <c r="N382" i="3" s="1"/>
  <c r="V382" i="3"/>
  <c r="A383" i="3"/>
  <c r="B383" i="3" s="1"/>
  <c r="W382" i="3" l="1"/>
  <c r="L382" i="3"/>
  <c r="AD383" i="3"/>
  <c r="AA383" i="3"/>
  <c r="P383" i="3"/>
  <c r="Q383" i="3" s="1"/>
  <c r="R383" i="3" s="1"/>
  <c r="S383" i="3" s="1"/>
  <c r="Z383" i="3"/>
  <c r="AC383" i="3"/>
  <c r="U382" i="3" l="1"/>
  <c r="Y381" i="3"/>
  <c r="T383" i="3"/>
  <c r="E383" i="3" l="1"/>
  <c r="H383" i="3" s="1"/>
  <c r="K383" i="3" s="1"/>
  <c r="AE383" i="3" s="1"/>
  <c r="D383" i="3"/>
  <c r="AH383" i="3"/>
  <c r="AG383" i="3"/>
  <c r="V383" i="3" l="1"/>
  <c r="A384" i="3"/>
  <c r="B384" i="3" s="1"/>
  <c r="F383" i="3"/>
  <c r="G383" i="3"/>
  <c r="I383" i="3" l="1"/>
  <c r="W383" i="3" s="1"/>
  <c r="J383" i="3"/>
  <c r="M383" i="3"/>
  <c r="N383" i="3" s="1"/>
  <c r="P384" i="3"/>
  <c r="Q384" i="3" s="1"/>
  <c r="R384" i="3" s="1"/>
  <c r="S384" i="3" s="1"/>
  <c r="Z384" i="3"/>
  <c r="AC384" i="3"/>
  <c r="AA384" i="3"/>
  <c r="T384" i="3" l="1"/>
  <c r="L383" i="3"/>
  <c r="AG384" i="3" l="1"/>
  <c r="AH384" i="3"/>
  <c r="U383" i="3"/>
  <c r="D384" i="3" s="1"/>
  <c r="Y382" i="3"/>
  <c r="E384" i="3" l="1"/>
  <c r="H384" i="3" s="1"/>
  <c r="K384" i="3" s="1"/>
  <c r="AE384" i="3" s="1"/>
  <c r="G384" i="3"/>
  <c r="F384" i="3" l="1"/>
  <c r="I384" i="3"/>
  <c r="J384" i="3"/>
  <c r="AD384" i="3" s="1"/>
  <c r="M384" i="3"/>
  <c r="N384" i="3" s="1"/>
  <c r="V384" i="3"/>
  <c r="A385" i="3"/>
  <c r="B385" i="3" s="1"/>
  <c r="W384" i="3" l="1"/>
  <c r="L384" i="3"/>
  <c r="P385" i="3"/>
  <c r="Q385" i="3" s="1"/>
  <c r="R385" i="3" s="1"/>
  <c r="S385" i="3" s="1"/>
  <c r="AD385" i="3"/>
  <c r="Z385" i="3"/>
  <c r="AC385" i="3"/>
  <c r="AA385" i="3"/>
  <c r="U384" i="3" l="1"/>
  <c r="Y383" i="3"/>
  <c r="T385" i="3"/>
  <c r="AG385" i="3" s="1"/>
  <c r="D385" i="3" l="1"/>
  <c r="G385" i="3" s="1"/>
  <c r="E385" i="3"/>
  <c r="H385" i="3" s="1"/>
  <c r="K385" i="3" s="1"/>
  <c r="AE385" i="3" s="1"/>
  <c r="AH385" i="3"/>
  <c r="F385" i="3" l="1"/>
  <c r="V385" i="3"/>
  <c r="A386" i="3"/>
  <c r="B386" i="3" s="1"/>
  <c r="I385" i="3"/>
  <c r="J385" i="3"/>
  <c r="M385" i="3"/>
  <c r="N385" i="3" s="1"/>
  <c r="L385" i="3" l="1"/>
  <c r="W385" i="3"/>
  <c r="AC386" i="3"/>
  <c r="P386" i="3"/>
  <c r="Q386" i="3" s="1"/>
  <c r="R386" i="3" s="1"/>
  <c r="S386" i="3" s="1"/>
  <c r="AA386" i="3"/>
  <c r="AD386" i="3"/>
  <c r="Z386" i="3"/>
  <c r="T386" i="3" l="1"/>
  <c r="AH386" i="3" s="1"/>
  <c r="U385" i="3"/>
  <c r="Y384" i="3"/>
  <c r="D386" i="3" l="1"/>
  <c r="E386" i="3"/>
  <c r="H386" i="3" s="1"/>
  <c r="AG386" i="3"/>
  <c r="F386" i="3" l="1"/>
  <c r="G386" i="3"/>
  <c r="K386" i="3"/>
  <c r="AE386" i="3" s="1"/>
  <c r="I386" i="3" l="1"/>
  <c r="J386" i="3"/>
  <c r="M386" i="3"/>
  <c r="N386" i="3" s="1"/>
  <c r="V386" i="3"/>
  <c r="A387" i="3"/>
  <c r="B387" i="3" s="1"/>
  <c r="W386" i="3" l="1"/>
  <c r="L386" i="3"/>
  <c r="AA387" i="3"/>
  <c r="P387" i="3"/>
  <c r="Q387" i="3" s="1"/>
  <c r="R387" i="3" s="1"/>
  <c r="S387" i="3" s="1"/>
  <c r="AC387" i="3"/>
  <c r="Z387" i="3"/>
  <c r="U386" i="3" l="1"/>
  <c r="Y385" i="3"/>
  <c r="T387" i="3"/>
  <c r="AG387" i="3" s="1"/>
  <c r="AH387" i="3" l="1"/>
  <c r="D387" i="3"/>
  <c r="G387" i="3" s="1"/>
  <c r="E387" i="3"/>
  <c r="H387" i="3" s="1"/>
  <c r="F387" i="3" l="1"/>
  <c r="I387" i="3"/>
  <c r="J387" i="3"/>
  <c r="AD387" i="3" s="1"/>
  <c r="M387" i="3"/>
  <c r="N387" i="3" s="1"/>
  <c r="K387" i="3"/>
  <c r="AE387" i="3" s="1"/>
  <c r="V387" i="3" l="1"/>
  <c r="W387" i="3" s="1"/>
  <c r="A388" i="3"/>
  <c r="B388" i="3" s="1"/>
  <c r="L387" i="3"/>
  <c r="U387" i="3" l="1"/>
  <c r="Y386" i="3"/>
  <c r="AA388" i="3"/>
  <c r="Z388" i="3"/>
  <c r="P388" i="3"/>
  <c r="Q388" i="3" s="1"/>
  <c r="R388" i="3" s="1"/>
  <c r="S388" i="3" s="1"/>
  <c r="AC388" i="3"/>
  <c r="T388" i="3" l="1"/>
  <c r="E388" i="3" s="1"/>
  <c r="H388" i="3" s="1"/>
  <c r="K388" i="3" l="1"/>
  <c r="AE388" i="3" s="1"/>
  <c r="D388" i="3"/>
  <c r="AG388" i="3"/>
  <c r="AH388" i="3"/>
  <c r="V388" i="3" l="1"/>
  <c r="A389" i="3"/>
  <c r="B389" i="3" s="1"/>
  <c r="F388" i="3"/>
  <c r="G388" i="3"/>
  <c r="I388" i="3" l="1"/>
  <c r="W388" i="3" s="1"/>
  <c r="J388" i="3"/>
  <c r="AD388" i="3" s="1"/>
  <c r="M388" i="3"/>
  <c r="N388" i="3" s="1"/>
  <c r="P389" i="3"/>
  <c r="Q389" i="3" s="1"/>
  <c r="R389" i="3" s="1"/>
  <c r="S389" i="3" s="1"/>
  <c r="AA389" i="3"/>
  <c r="AD389" i="3"/>
  <c r="AC389" i="3"/>
  <c r="Z389" i="3"/>
  <c r="T389" i="3" l="1"/>
  <c r="L388" i="3"/>
  <c r="U388" i="3" l="1"/>
  <c r="E389" i="3" s="1"/>
  <c r="H389" i="3" s="1"/>
  <c r="AH389" i="3"/>
  <c r="AG389" i="3"/>
  <c r="Y387" i="3"/>
  <c r="D389" i="3" l="1"/>
  <c r="G389" i="3" s="1"/>
  <c r="K389" i="3"/>
  <c r="AE389" i="3" s="1"/>
  <c r="F389" i="3" l="1"/>
  <c r="V389" i="3"/>
  <c r="A390" i="3"/>
  <c r="B390" i="3" s="1"/>
  <c r="I389" i="3"/>
  <c r="J389" i="3"/>
  <c r="M389" i="3"/>
  <c r="N389" i="3" s="1"/>
  <c r="W389" i="3" l="1"/>
  <c r="L389" i="3"/>
  <c r="P390" i="3"/>
  <c r="Q390" i="3" s="1"/>
  <c r="R390" i="3" s="1"/>
  <c r="S390" i="3" s="1"/>
  <c r="AC390" i="3"/>
  <c r="AA390" i="3"/>
  <c r="Z390" i="3"/>
  <c r="AD390" i="3"/>
  <c r="U389" i="3" l="1"/>
  <c r="Y388" i="3"/>
  <c r="T390" i="3"/>
  <c r="AG390" i="3" s="1"/>
  <c r="D390" i="3" l="1"/>
  <c r="AH390" i="3"/>
  <c r="E390" i="3"/>
  <c r="H390" i="3" s="1"/>
  <c r="F390" i="3" l="1"/>
  <c r="G390" i="3"/>
  <c r="K390" i="3"/>
  <c r="AE390" i="3" s="1"/>
  <c r="I390" i="3" l="1"/>
  <c r="J390" i="3"/>
  <c r="M390" i="3"/>
  <c r="N390" i="3" s="1"/>
  <c r="V390" i="3"/>
  <c r="A391" i="3"/>
  <c r="B391" i="3" s="1"/>
  <c r="W390" i="3" l="1"/>
  <c r="L390" i="3"/>
  <c r="AC391" i="3"/>
  <c r="AA391" i="3"/>
  <c r="AD391" i="3"/>
  <c r="Z391" i="3"/>
  <c r="P391" i="3"/>
  <c r="Q391" i="3" s="1"/>
  <c r="R391" i="3" s="1"/>
  <c r="S391" i="3" s="1"/>
  <c r="U390" i="3" l="1"/>
  <c r="Y389" i="3"/>
  <c r="T391" i="3"/>
  <c r="E391" i="3" l="1"/>
  <c r="H391" i="3" s="1"/>
  <c r="K391" i="3" s="1"/>
  <c r="AE391" i="3" s="1"/>
  <c r="AG391" i="3"/>
  <c r="AH391" i="3"/>
  <c r="D391" i="3"/>
  <c r="V391" i="3" l="1"/>
  <c r="A392" i="3"/>
  <c r="B392" i="3" s="1"/>
  <c r="F391" i="3"/>
  <c r="G391" i="3"/>
  <c r="I391" i="3" l="1"/>
  <c r="W391" i="3" s="1"/>
  <c r="J391" i="3"/>
  <c r="M391" i="3"/>
  <c r="N391" i="3" s="1"/>
  <c r="Z392" i="3"/>
  <c r="P392" i="3"/>
  <c r="Q392" i="3" s="1"/>
  <c r="R392" i="3" s="1"/>
  <c r="S392" i="3" s="1"/>
  <c r="AA392" i="3"/>
  <c r="AC392" i="3"/>
  <c r="T392" i="3" l="1"/>
  <c r="L391" i="3"/>
  <c r="U391" i="3" l="1"/>
  <c r="D392" i="3" s="1"/>
  <c r="AH392" i="3"/>
  <c r="AG392" i="3"/>
  <c r="Y390" i="3"/>
  <c r="G392" i="3" l="1"/>
  <c r="E392" i="3"/>
  <c r="H392" i="3" s="1"/>
  <c r="F392" i="3" l="1"/>
  <c r="I392" i="3"/>
  <c r="J392" i="3"/>
  <c r="AD392" i="3" s="1"/>
  <c r="M392" i="3"/>
  <c r="N392" i="3" s="1"/>
  <c r="K392" i="3"/>
  <c r="AE392" i="3" s="1"/>
  <c r="V392" i="3" l="1"/>
  <c r="W392" i="3" s="1"/>
  <c r="A393" i="3"/>
  <c r="B393" i="3" s="1"/>
  <c r="L392" i="3"/>
  <c r="U392" i="3" l="1"/>
  <c r="Y391" i="3"/>
  <c r="Z393" i="3"/>
  <c r="AA393" i="3"/>
  <c r="P393" i="3"/>
  <c r="Q393" i="3" s="1"/>
  <c r="R393" i="3" s="1"/>
  <c r="S393" i="3" s="1"/>
  <c r="AC393" i="3"/>
  <c r="T393" i="3" l="1"/>
  <c r="AG393" i="3" s="1"/>
  <c r="E393" i="3" l="1"/>
  <c r="H393" i="3" s="1"/>
  <c r="K393" i="3" s="1"/>
  <c r="AE393" i="3" s="1"/>
  <c r="D393" i="3"/>
  <c r="AH393" i="3"/>
  <c r="V393" i="3" l="1"/>
  <c r="A394" i="3"/>
  <c r="B394" i="3" s="1"/>
  <c r="F393" i="3"/>
  <c r="G393" i="3"/>
  <c r="I393" i="3" l="1"/>
  <c r="W393" i="3" s="1"/>
  <c r="J393" i="3"/>
  <c r="AD393" i="3" s="1"/>
  <c r="M393" i="3"/>
  <c r="N393" i="3" s="1"/>
  <c r="P394" i="3"/>
  <c r="Q394" i="3" s="1"/>
  <c r="R394" i="3" s="1"/>
  <c r="S394" i="3" s="1"/>
  <c r="AC394" i="3"/>
  <c r="Z394" i="3"/>
  <c r="AA394" i="3"/>
  <c r="T394" i="3" l="1"/>
  <c r="L393" i="3"/>
  <c r="AH394" i="3" l="1"/>
  <c r="AG394" i="3"/>
  <c r="U393" i="3"/>
  <c r="D394" i="3" s="1"/>
  <c r="Y392" i="3"/>
  <c r="G394" i="3" l="1"/>
  <c r="E394" i="3"/>
  <c r="H394" i="3" s="1"/>
  <c r="F394" i="3" l="1"/>
  <c r="I394" i="3"/>
  <c r="J394" i="3"/>
  <c r="AD394" i="3" s="1"/>
  <c r="M394" i="3"/>
  <c r="N394" i="3" s="1"/>
  <c r="K394" i="3"/>
  <c r="AE394" i="3" s="1"/>
  <c r="L394" i="3" l="1"/>
  <c r="V394" i="3"/>
  <c r="W394" i="3" s="1"/>
  <c r="A395" i="3"/>
  <c r="B395" i="3" s="1"/>
  <c r="U394" i="3" l="1"/>
  <c r="Y393" i="3"/>
  <c r="AA395" i="3"/>
  <c r="P395" i="3"/>
  <c r="Q395" i="3" s="1"/>
  <c r="R395" i="3" s="1"/>
  <c r="S395" i="3" s="1"/>
  <c r="Z395" i="3"/>
  <c r="AC395" i="3"/>
  <c r="T395" i="3" l="1"/>
  <c r="AG395" i="3" s="1"/>
  <c r="AH395" i="3" l="1"/>
  <c r="E395" i="3"/>
  <c r="H395" i="3" s="1"/>
  <c r="K395" i="3" s="1"/>
  <c r="AE395" i="3" s="1"/>
  <c r="D395" i="3"/>
  <c r="G395" i="3" s="1"/>
  <c r="F395" i="3" l="1"/>
  <c r="V395" i="3"/>
  <c r="A396" i="3"/>
  <c r="B396" i="3" s="1"/>
  <c r="I395" i="3"/>
  <c r="J395" i="3"/>
  <c r="AD395" i="3" s="1"/>
  <c r="M395" i="3"/>
  <c r="N395" i="3" s="1"/>
  <c r="W395" i="3" l="1"/>
  <c r="L395" i="3"/>
  <c r="AA396" i="3"/>
  <c r="Z396" i="3"/>
  <c r="P396" i="3"/>
  <c r="Q396" i="3" s="1"/>
  <c r="R396" i="3" s="1"/>
  <c r="S396" i="3" s="1"/>
  <c r="AC396" i="3"/>
  <c r="U395" i="3" l="1"/>
  <c r="Y394" i="3"/>
  <c r="T396" i="3"/>
  <c r="E396" i="3" l="1"/>
  <c r="H396" i="3" s="1"/>
  <c r="K396" i="3" s="1"/>
  <c r="AE396" i="3" s="1"/>
  <c r="AG396" i="3"/>
  <c r="AH396" i="3"/>
  <c r="D396" i="3"/>
  <c r="F396" i="3" l="1"/>
  <c r="G396" i="3"/>
  <c r="V396" i="3"/>
  <c r="A397" i="3"/>
  <c r="B397" i="3" s="1"/>
  <c r="P397" i="3" l="1"/>
  <c r="Q397" i="3" s="1"/>
  <c r="R397" i="3" s="1"/>
  <c r="S397" i="3" s="1"/>
  <c r="AC397" i="3"/>
  <c r="AA397" i="3"/>
  <c r="Z397" i="3"/>
  <c r="I396" i="3"/>
  <c r="W396" i="3" s="1"/>
  <c r="J396" i="3"/>
  <c r="AD396" i="3" s="1"/>
  <c r="M396" i="3"/>
  <c r="N396" i="3" s="1"/>
  <c r="T397" i="3" l="1"/>
  <c r="L396" i="3"/>
  <c r="U396" i="3" l="1"/>
  <c r="E397" i="3" s="1"/>
  <c r="H397" i="3" s="1"/>
  <c r="AG397" i="3"/>
  <c r="AH397" i="3"/>
  <c r="Y395" i="3"/>
  <c r="D397" i="3" l="1"/>
  <c r="F397" i="3" s="1"/>
  <c r="K397" i="3"/>
  <c r="AE397" i="3" s="1"/>
  <c r="G397" i="3" l="1"/>
  <c r="M397" i="3" s="1"/>
  <c r="N397" i="3" s="1"/>
  <c r="V397" i="3"/>
  <c r="A398" i="3"/>
  <c r="B398" i="3" s="1"/>
  <c r="I397" i="3" l="1"/>
  <c r="W397" i="3" s="1"/>
  <c r="J397" i="3"/>
  <c r="AC398" i="3"/>
  <c r="AA398" i="3"/>
  <c r="P398" i="3"/>
  <c r="Q398" i="3" s="1"/>
  <c r="R398" i="3" s="1"/>
  <c r="S398" i="3" s="1"/>
  <c r="Z398" i="3"/>
  <c r="L397" i="3" l="1"/>
  <c r="U397" i="3" s="1"/>
  <c r="AD397" i="3"/>
  <c r="T398" i="3"/>
  <c r="Y396" i="3" l="1"/>
  <c r="E398" i="3"/>
  <c r="H398" i="3" s="1"/>
  <c r="K398" i="3" s="1"/>
  <c r="AE398" i="3" s="1"/>
  <c r="D398" i="3"/>
  <c r="G398" i="3" s="1"/>
  <c r="AH398" i="3"/>
  <c r="AG398" i="3"/>
  <c r="F398" i="3" l="1"/>
  <c r="V398" i="3"/>
  <c r="A399" i="3"/>
  <c r="B399" i="3" s="1"/>
  <c r="I398" i="3"/>
  <c r="J398" i="3"/>
  <c r="AD398" i="3" s="1"/>
  <c r="M398" i="3"/>
  <c r="N398" i="3" s="1"/>
  <c r="L398" i="3" l="1"/>
  <c r="W398" i="3"/>
  <c r="Z399" i="3"/>
  <c r="P399" i="3"/>
  <c r="Q399" i="3" s="1"/>
  <c r="R399" i="3" s="1"/>
  <c r="S399" i="3" s="1"/>
  <c r="AA399" i="3"/>
  <c r="AC399" i="3"/>
  <c r="U398" i="3" l="1"/>
  <c r="Y397" i="3"/>
  <c r="T399" i="3"/>
  <c r="AH399" i="3" s="1"/>
  <c r="D399" i="3" l="1"/>
  <c r="G399" i="3" s="1"/>
  <c r="AG399" i="3"/>
  <c r="E399" i="3"/>
  <c r="H399" i="3" s="1"/>
  <c r="F399" i="3" l="1"/>
  <c r="I399" i="3"/>
  <c r="J399" i="3"/>
  <c r="AD399" i="3" s="1"/>
  <c r="M399" i="3"/>
  <c r="N399" i="3" s="1"/>
  <c r="K399" i="3"/>
  <c r="AE399" i="3" s="1"/>
  <c r="V399" i="3" l="1"/>
  <c r="W399" i="3" s="1"/>
  <c r="A400" i="3"/>
  <c r="B400" i="3" s="1"/>
  <c r="L399" i="3"/>
  <c r="U399" i="3" l="1"/>
  <c r="Y398" i="3"/>
  <c r="AC400" i="3"/>
  <c r="Z400" i="3"/>
  <c r="P400" i="3"/>
  <c r="Q400" i="3" s="1"/>
  <c r="R400" i="3" s="1"/>
  <c r="S400" i="3" s="1"/>
  <c r="AA400" i="3"/>
  <c r="T400" i="3" l="1"/>
  <c r="AH400" i="3" s="1"/>
  <c r="AG400" i="3" l="1"/>
  <c r="D400" i="3"/>
  <c r="G400" i="3" s="1"/>
  <c r="E400" i="3"/>
  <c r="H400" i="3" s="1"/>
  <c r="K400" i="3" s="1"/>
  <c r="AE400" i="3" s="1"/>
  <c r="F400" i="3" l="1"/>
  <c r="V400" i="3"/>
  <c r="A401" i="3"/>
  <c r="B401" i="3" s="1"/>
  <c r="I400" i="3"/>
  <c r="J400" i="3"/>
  <c r="AD400" i="3" s="1"/>
  <c r="M400" i="3"/>
  <c r="N400" i="3" s="1"/>
  <c r="W400" i="3" l="1"/>
  <c r="L400" i="3"/>
  <c r="AA401" i="3"/>
  <c r="Z401" i="3"/>
  <c r="AC401" i="3"/>
  <c r="P401" i="3"/>
  <c r="Q401" i="3" s="1"/>
  <c r="R401" i="3" s="1"/>
  <c r="S401" i="3" s="1"/>
  <c r="U400" i="3" l="1"/>
  <c r="Y399" i="3"/>
  <c r="T401" i="3"/>
  <c r="AG401" i="3" s="1"/>
  <c r="D401" i="3" l="1"/>
  <c r="E401" i="3"/>
  <c r="H401" i="3" s="1"/>
  <c r="K401" i="3" s="1"/>
  <c r="AE401" i="3" s="1"/>
  <c r="AH401" i="3"/>
  <c r="F401" i="3" l="1"/>
  <c r="G401" i="3"/>
  <c r="J401" i="3" s="1"/>
  <c r="AD401" i="3" s="1"/>
  <c r="V401" i="3"/>
  <c r="A402" i="3"/>
  <c r="B402" i="3" s="1"/>
  <c r="M401" i="3" l="1"/>
  <c r="N401" i="3" s="1"/>
  <c r="I401" i="3"/>
  <c r="W401" i="3" s="1"/>
  <c r="L401" i="3"/>
  <c r="AA402" i="3"/>
  <c r="AC402" i="3"/>
  <c r="Z402" i="3"/>
  <c r="P402" i="3"/>
  <c r="Q402" i="3" s="1"/>
  <c r="R402" i="3" s="1"/>
  <c r="S402" i="3" s="1"/>
  <c r="U401" i="3" l="1"/>
  <c r="Y400" i="3"/>
  <c r="T402" i="3"/>
  <c r="AG402" i="3" s="1"/>
  <c r="AH402" i="3" l="1"/>
  <c r="E402" i="3"/>
  <c r="H402" i="3" s="1"/>
  <c r="K402" i="3" s="1"/>
  <c r="AE402" i="3" s="1"/>
  <c r="D402" i="3"/>
  <c r="G402" i="3" s="1"/>
  <c r="F402" i="3" l="1"/>
  <c r="I402" i="3"/>
  <c r="J402" i="3"/>
  <c r="AD402" i="3" s="1"/>
  <c r="M402" i="3"/>
  <c r="N402" i="3" s="1"/>
  <c r="V402" i="3"/>
  <c r="A403" i="3"/>
  <c r="B403" i="3" s="1"/>
  <c r="W402" i="3" l="1"/>
  <c r="L402" i="3"/>
  <c r="AC403" i="3"/>
  <c r="AA403" i="3"/>
  <c r="P403" i="3"/>
  <c r="Q403" i="3" s="1"/>
  <c r="R403" i="3" s="1"/>
  <c r="S403" i="3" s="1"/>
  <c r="Z403" i="3"/>
  <c r="T403" i="3" l="1"/>
  <c r="AH403" i="3" s="1"/>
  <c r="U402" i="3"/>
  <c r="Y401" i="3"/>
  <c r="AG403" i="3" l="1"/>
  <c r="D403" i="3"/>
  <c r="E403" i="3"/>
  <c r="H403" i="3" s="1"/>
  <c r="F403" i="3" l="1"/>
  <c r="G403" i="3"/>
  <c r="K403" i="3"/>
  <c r="AE403" i="3" s="1"/>
  <c r="V403" i="3" l="1"/>
  <c r="A404" i="3"/>
  <c r="B404" i="3" s="1"/>
  <c r="I403" i="3"/>
  <c r="J403" i="3"/>
  <c r="AD403" i="3" s="1"/>
  <c r="M403" i="3"/>
  <c r="N403" i="3" s="1"/>
  <c r="W403" i="3" l="1"/>
  <c r="L403" i="3"/>
  <c r="P404" i="3"/>
  <c r="Q404" i="3" s="1"/>
  <c r="R404" i="3" s="1"/>
  <c r="S404" i="3" s="1"/>
  <c r="AA404" i="3"/>
  <c r="Z404" i="3"/>
  <c r="AC404" i="3"/>
  <c r="U403" i="3" l="1"/>
  <c r="Y402" i="3"/>
  <c r="T404" i="3"/>
  <c r="AG404" i="3" s="1"/>
  <c r="E404" i="3" l="1"/>
  <c r="H404" i="3" s="1"/>
  <c r="K404" i="3" s="1"/>
  <c r="AE404" i="3" s="1"/>
  <c r="AH404" i="3"/>
  <c r="D404" i="3"/>
  <c r="G404" i="3" s="1"/>
  <c r="F404" i="3" l="1"/>
  <c r="I404" i="3"/>
  <c r="J404" i="3"/>
  <c r="AD404" i="3" s="1"/>
  <c r="M404" i="3"/>
  <c r="N404" i="3" s="1"/>
  <c r="V404" i="3"/>
  <c r="A405" i="3"/>
  <c r="B405" i="3" s="1"/>
  <c r="W404" i="3" l="1"/>
  <c r="L404" i="3"/>
  <c r="P405" i="3"/>
  <c r="Q405" i="3" s="1"/>
  <c r="R405" i="3" s="1"/>
  <c r="S405" i="3" s="1"/>
  <c r="AC405" i="3"/>
  <c r="Z405" i="3"/>
  <c r="AA405" i="3"/>
  <c r="U404" i="3" l="1"/>
  <c r="Y403" i="3"/>
  <c r="T405" i="3"/>
  <c r="E405" i="3" l="1"/>
  <c r="H405" i="3" s="1"/>
  <c r="K405" i="3" s="1"/>
  <c r="AE405" i="3" s="1"/>
  <c r="AH405" i="3"/>
  <c r="D405" i="3"/>
  <c r="AG405" i="3"/>
  <c r="F405" i="3" l="1"/>
  <c r="G405" i="3"/>
  <c r="V405" i="3"/>
  <c r="A406" i="3"/>
  <c r="B406" i="3" s="1"/>
  <c r="AA406" i="3" l="1"/>
  <c r="AC406" i="3"/>
  <c r="Z406" i="3"/>
  <c r="P406" i="3"/>
  <c r="Q406" i="3" s="1"/>
  <c r="R406" i="3" s="1"/>
  <c r="S406" i="3" s="1"/>
  <c r="I405" i="3"/>
  <c r="W405" i="3" s="1"/>
  <c r="J405" i="3"/>
  <c r="AD405" i="3" s="1"/>
  <c r="M405" i="3"/>
  <c r="N405" i="3" s="1"/>
  <c r="T406" i="3" l="1"/>
  <c r="L405" i="3"/>
  <c r="U405" i="3" l="1"/>
  <c r="E406" i="3" s="1"/>
  <c r="H406" i="3" s="1"/>
  <c r="AH406" i="3"/>
  <c r="AG406" i="3"/>
  <c r="Y404" i="3"/>
  <c r="K406" i="3" l="1"/>
  <c r="AE406" i="3" s="1"/>
  <c r="D406" i="3"/>
  <c r="V406" i="3" l="1"/>
  <c r="A407" i="3"/>
  <c r="B407" i="3" s="1"/>
  <c r="F406" i="3"/>
  <c r="G406" i="3"/>
  <c r="I406" i="3" l="1"/>
  <c r="W406" i="3" s="1"/>
  <c r="J406" i="3"/>
  <c r="AD406" i="3" s="1"/>
  <c r="M406" i="3"/>
  <c r="N406" i="3" s="1"/>
  <c r="AC407" i="3"/>
  <c r="Z407" i="3"/>
  <c r="P407" i="3"/>
  <c r="Q407" i="3" s="1"/>
  <c r="R407" i="3" s="1"/>
  <c r="S407" i="3" s="1"/>
  <c r="AA407" i="3"/>
  <c r="L406" i="3" l="1"/>
  <c r="T407" i="3"/>
  <c r="U406" i="3" l="1"/>
  <c r="D407" i="3" s="1"/>
  <c r="AG407" i="3"/>
  <c r="AH407" i="3"/>
  <c r="Y405" i="3"/>
  <c r="G407" i="3" l="1"/>
  <c r="E407" i="3"/>
  <c r="H407" i="3" s="1"/>
  <c r="F407" i="3" l="1"/>
  <c r="I407" i="3"/>
  <c r="J407" i="3"/>
  <c r="AD407" i="3" s="1"/>
  <c r="M407" i="3"/>
  <c r="N407" i="3" s="1"/>
  <c r="K407" i="3"/>
  <c r="AE407" i="3" s="1"/>
  <c r="V407" i="3" l="1"/>
  <c r="W407" i="3" s="1"/>
  <c r="A408" i="3"/>
  <c r="B408" i="3" s="1"/>
  <c r="L407" i="3"/>
  <c r="U407" i="3" l="1"/>
  <c r="Y406" i="3"/>
  <c r="Z408" i="3"/>
  <c r="AC408" i="3"/>
  <c r="P408" i="3"/>
  <c r="Q408" i="3" s="1"/>
  <c r="R408" i="3" s="1"/>
  <c r="S408" i="3" s="1"/>
  <c r="AA408" i="3"/>
  <c r="T408" i="3" l="1"/>
  <c r="AH408" i="3" s="1"/>
  <c r="E408" i="3" l="1"/>
  <c r="H408" i="3" s="1"/>
  <c r="K408" i="3" s="1"/>
  <c r="AE408" i="3" s="1"/>
  <c r="D408" i="3"/>
  <c r="G408" i="3" s="1"/>
  <c r="AG408" i="3"/>
  <c r="F408" i="3" l="1"/>
  <c r="I408" i="3"/>
  <c r="J408" i="3"/>
  <c r="AD408" i="3" s="1"/>
  <c r="M408" i="3"/>
  <c r="N408" i="3" s="1"/>
  <c r="V408" i="3"/>
  <c r="A409" i="3"/>
  <c r="B409" i="3" s="1"/>
  <c r="W408" i="3" l="1"/>
  <c r="L408" i="3"/>
  <c r="AA409" i="3"/>
  <c r="AC409" i="3"/>
  <c r="P409" i="3"/>
  <c r="Q409" i="3" s="1"/>
  <c r="R409" i="3" s="1"/>
  <c r="S409" i="3" s="1"/>
  <c r="Z409" i="3"/>
  <c r="U408" i="3" l="1"/>
  <c r="Y407" i="3"/>
  <c r="T409" i="3"/>
  <c r="E409" i="3" l="1"/>
  <c r="H409" i="3" s="1"/>
  <c r="K409" i="3" s="1"/>
  <c r="AE409" i="3" s="1"/>
  <c r="AH409" i="3"/>
  <c r="D409" i="3"/>
  <c r="AG409" i="3"/>
  <c r="F409" i="3" l="1"/>
  <c r="G409" i="3"/>
  <c r="V409" i="3"/>
  <c r="A410" i="3"/>
  <c r="B410" i="3" s="1"/>
  <c r="P410" i="3" l="1"/>
  <c r="Q410" i="3" s="1"/>
  <c r="R410" i="3" s="1"/>
  <c r="S410" i="3" s="1"/>
  <c r="AA410" i="3"/>
  <c r="AC410" i="3"/>
  <c r="Z410" i="3"/>
  <c r="I409" i="3"/>
  <c r="W409" i="3" s="1"/>
  <c r="J409" i="3"/>
  <c r="AD409" i="3" s="1"/>
  <c r="M409" i="3"/>
  <c r="N409" i="3" s="1"/>
  <c r="T410" i="3" l="1"/>
  <c r="L409" i="3"/>
  <c r="AG410" i="3" l="1"/>
  <c r="U409" i="3"/>
  <c r="D410" i="3" s="1"/>
  <c r="AH410" i="3"/>
  <c r="Y408" i="3"/>
  <c r="E410" i="3" l="1"/>
  <c r="H410" i="3" s="1"/>
  <c r="K410" i="3" s="1"/>
  <c r="AE410" i="3" s="1"/>
  <c r="G410" i="3"/>
  <c r="F410" i="3" l="1"/>
  <c r="I410" i="3"/>
  <c r="J410" i="3"/>
  <c r="AD410" i="3" s="1"/>
  <c r="M410" i="3"/>
  <c r="N410" i="3" s="1"/>
  <c r="V410" i="3"/>
  <c r="A411" i="3"/>
  <c r="B411" i="3" s="1"/>
  <c r="W410" i="3" l="1"/>
  <c r="L410" i="3"/>
  <c r="AC411" i="3"/>
  <c r="P411" i="3"/>
  <c r="Q411" i="3" s="1"/>
  <c r="R411" i="3" s="1"/>
  <c r="S411" i="3" s="1"/>
  <c r="AA411" i="3"/>
  <c r="Z411" i="3"/>
  <c r="U410" i="3" l="1"/>
  <c r="Y409" i="3"/>
  <c r="T411" i="3"/>
  <c r="AG411" i="3" s="1"/>
  <c r="E411" i="3" l="1"/>
  <c r="H411" i="3" s="1"/>
  <c r="K411" i="3" s="1"/>
  <c r="AE411" i="3" s="1"/>
  <c r="AH411" i="3"/>
  <c r="D411" i="3"/>
  <c r="F411" i="3" l="1"/>
  <c r="G411" i="3"/>
  <c r="V411" i="3"/>
  <c r="A412" i="3"/>
  <c r="B412" i="3" s="1"/>
  <c r="AA412" i="3" l="1"/>
  <c r="AC412" i="3"/>
  <c r="P412" i="3"/>
  <c r="Q412" i="3" s="1"/>
  <c r="R412" i="3" s="1"/>
  <c r="S412" i="3" s="1"/>
  <c r="Z412" i="3"/>
  <c r="I411" i="3"/>
  <c r="W411" i="3" s="1"/>
  <c r="J411" i="3"/>
  <c r="AD411" i="3" s="1"/>
  <c r="M411" i="3"/>
  <c r="N411" i="3" s="1"/>
  <c r="T412" i="3" l="1"/>
  <c r="L411" i="3"/>
  <c r="U411" i="3" l="1"/>
  <c r="D412" i="3" s="1"/>
  <c r="AG412" i="3"/>
  <c r="AH412" i="3"/>
  <c r="Y410" i="3"/>
  <c r="G412" i="3" l="1"/>
  <c r="E412" i="3"/>
  <c r="H412" i="3" s="1"/>
  <c r="F412" i="3" l="1"/>
  <c r="I412" i="3"/>
  <c r="J412" i="3"/>
  <c r="AD412" i="3" s="1"/>
  <c r="M412" i="3"/>
  <c r="N412" i="3" s="1"/>
  <c r="K412" i="3"/>
  <c r="AE412" i="3" s="1"/>
  <c r="V412" i="3" l="1"/>
  <c r="W412" i="3" s="1"/>
  <c r="A413" i="3"/>
  <c r="B413" i="3" s="1"/>
  <c r="L412" i="3"/>
  <c r="U412" i="3" l="1"/>
  <c r="Y411" i="3"/>
  <c r="Z413" i="3"/>
  <c r="P413" i="3"/>
  <c r="Q413" i="3" s="1"/>
  <c r="R413" i="3" s="1"/>
  <c r="S413" i="3" s="1"/>
  <c r="AA413" i="3"/>
  <c r="AC413" i="3"/>
  <c r="AD413" i="3"/>
  <c r="T413" i="3" l="1"/>
  <c r="D413" i="3" s="1"/>
  <c r="E413" i="3" l="1"/>
  <c r="H413" i="3" s="1"/>
  <c r="K413" i="3" s="1"/>
  <c r="AE413" i="3" s="1"/>
  <c r="AH413" i="3"/>
  <c r="G413" i="3"/>
  <c r="AG413" i="3"/>
  <c r="F413" i="3" l="1"/>
  <c r="I413" i="3"/>
  <c r="J413" i="3"/>
  <c r="M413" i="3"/>
  <c r="N413" i="3" s="1"/>
  <c r="V413" i="3"/>
  <c r="A414" i="3"/>
  <c r="B414" i="3" s="1"/>
  <c r="L413" i="3" l="1"/>
  <c r="P414" i="3"/>
  <c r="Q414" i="3" s="1"/>
  <c r="R414" i="3" s="1"/>
  <c r="S414" i="3" s="1"/>
  <c r="Z414" i="3"/>
  <c r="AA414" i="3"/>
  <c r="AC414" i="3"/>
  <c r="W413" i="3"/>
  <c r="U413" i="3" l="1"/>
  <c r="Y412" i="3"/>
  <c r="T414" i="3"/>
  <c r="D414" i="3" l="1"/>
  <c r="G414" i="3" s="1"/>
  <c r="E414" i="3"/>
  <c r="H414" i="3" s="1"/>
  <c r="K414" i="3" s="1"/>
  <c r="AE414" i="3" s="1"/>
  <c r="AG414" i="3"/>
  <c r="AH414" i="3"/>
  <c r="F414" i="3" l="1"/>
  <c r="I414" i="3"/>
  <c r="J414" i="3"/>
  <c r="AD414" i="3" s="1"/>
  <c r="M414" i="3"/>
  <c r="N414" i="3" s="1"/>
  <c r="V414" i="3"/>
  <c r="A415" i="3"/>
  <c r="B415" i="3" s="1"/>
  <c r="W414" i="3" l="1"/>
  <c r="L414" i="3"/>
  <c r="P415" i="3"/>
  <c r="Q415" i="3" s="1"/>
  <c r="R415" i="3" s="1"/>
  <c r="S415" i="3" s="1"/>
  <c r="AA415" i="3"/>
  <c r="Z415" i="3"/>
  <c r="AC415" i="3"/>
  <c r="U414" i="3" l="1"/>
  <c r="Y413" i="3"/>
  <c r="T415" i="3"/>
  <c r="D415" i="3" l="1"/>
  <c r="G415" i="3" s="1"/>
  <c r="AG415" i="3"/>
  <c r="AH415" i="3"/>
  <c r="E415" i="3"/>
  <c r="H415" i="3" s="1"/>
  <c r="F415" i="3" l="1"/>
  <c r="K415" i="3"/>
  <c r="AE415" i="3" s="1"/>
  <c r="I415" i="3"/>
  <c r="J415" i="3"/>
  <c r="AD415" i="3" s="1"/>
  <c r="M415" i="3"/>
  <c r="N415" i="3" s="1"/>
  <c r="L415" i="3" l="1"/>
  <c r="V415" i="3"/>
  <c r="W415" i="3" s="1"/>
  <c r="A416" i="3"/>
  <c r="B416" i="3" s="1"/>
  <c r="Z416" i="3" l="1"/>
  <c r="AA416" i="3"/>
  <c r="P416" i="3"/>
  <c r="Q416" i="3" s="1"/>
  <c r="R416" i="3" s="1"/>
  <c r="S416" i="3" s="1"/>
  <c r="AC416" i="3"/>
  <c r="U415" i="3"/>
  <c r="Y414" i="3"/>
  <c r="T416" i="3" l="1"/>
  <c r="AG416" i="3" s="1"/>
  <c r="D416" i="3" l="1"/>
  <c r="G416" i="3" s="1"/>
  <c r="E416" i="3"/>
  <c r="H416" i="3" s="1"/>
  <c r="K416" i="3" s="1"/>
  <c r="AE416" i="3" s="1"/>
  <c r="AH416" i="3"/>
  <c r="F416" i="3" l="1"/>
  <c r="V416" i="3"/>
  <c r="A417" i="3"/>
  <c r="B417" i="3" s="1"/>
  <c r="I416" i="3"/>
  <c r="J416" i="3"/>
  <c r="AD416" i="3" s="1"/>
  <c r="M416" i="3"/>
  <c r="N416" i="3" s="1"/>
  <c r="W416" i="3" l="1"/>
  <c r="L416" i="3"/>
  <c r="Z417" i="3"/>
  <c r="AC417" i="3"/>
  <c r="AA417" i="3"/>
  <c r="P417" i="3"/>
  <c r="Q417" i="3" s="1"/>
  <c r="R417" i="3" s="1"/>
  <c r="S417" i="3" s="1"/>
  <c r="U416" i="3" l="1"/>
  <c r="Y415" i="3"/>
  <c r="T417" i="3"/>
  <c r="D417" i="3" l="1"/>
  <c r="G417" i="3" s="1"/>
  <c r="AH417" i="3"/>
  <c r="E417" i="3"/>
  <c r="H417" i="3" s="1"/>
  <c r="K417" i="3" s="1"/>
  <c r="AE417" i="3" s="1"/>
  <c r="AG417" i="3"/>
  <c r="F417" i="3" l="1"/>
  <c r="V417" i="3"/>
  <c r="A418" i="3"/>
  <c r="B418" i="3" s="1"/>
  <c r="I417" i="3"/>
  <c r="J417" i="3"/>
  <c r="AD417" i="3" s="1"/>
  <c r="M417" i="3"/>
  <c r="N417" i="3" s="1"/>
  <c r="W417" i="3" l="1"/>
  <c r="L417" i="3"/>
  <c r="Z418" i="3"/>
  <c r="AA418" i="3"/>
  <c r="AC418" i="3"/>
  <c r="P418" i="3"/>
  <c r="Q418" i="3" s="1"/>
  <c r="R418" i="3" s="1"/>
  <c r="S418" i="3" s="1"/>
  <c r="T418" i="3" l="1"/>
  <c r="U417" i="3"/>
  <c r="Y416" i="3"/>
  <c r="D418" i="3" l="1"/>
  <c r="G418" i="3" s="1"/>
  <c r="E418" i="3"/>
  <c r="H418" i="3" s="1"/>
  <c r="AG418" i="3"/>
  <c r="AH418" i="3"/>
  <c r="F418" i="3" l="1"/>
  <c r="I418" i="3"/>
  <c r="J418" i="3"/>
  <c r="AD418" i="3" s="1"/>
  <c r="M418" i="3"/>
  <c r="N418" i="3" s="1"/>
  <c r="K418" i="3"/>
  <c r="AE418" i="3" s="1"/>
  <c r="V418" i="3" l="1"/>
  <c r="W418" i="3" s="1"/>
  <c r="A419" i="3"/>
  <c r="B419" i="3" s="1"/>
  <c r="L418" i="3"/>
  <c r="U418" i="3" l="1"/>
  <c r="Y417" i="3"/>
  <c r="AA419" i="3"/>
  <c r="P419" i="3"/>
  <c r="Q419" i="3" s="1"/>
  <c r="R419" i="3" s="1"/>
  <c r="S419" i="3" s="1"/>
  <c r="Z419" i="3"/>
  <c r="AC419" i="3"/>
  <c r="T419" i="3" l="1"/>
  <c r="AG419" i="3" s="1"/>
  <c r="AH419" i="3" l="1"/>
  <c r="E419" i="3"/>
  <c r="H419" i="3" s="1"/>
  <c r="K419" i="3" s="1"/>
  <c r="AE419" i="3" s="1"/>
  <c r="D419" i="3"/>
  <c r="F419" i="3" l="1"/>
  <c r="G419" i="3"/>
  <c r="J419" i="3" s="1"/>
  <c r="AD419" i="3" s="1"/>
  <c r="V419" i="3"/>
  <c r="A420" i="3"/>
  <c r="B420" i="3" s="1"/>
  <c r="I419" i="3" l="1"/>
  <c r="W419" i="3" s="1"/>
  <c r="M419" i="3"/>
  <c r="N419" i="3" s="1"/>
  <c r="L419" i="3"/>
  <c r="AC420" i="3"/>
  <c r="AA420" i="3"/>
  <c r="Z420" i="3"/>
  <c r="P420" i="3"/>
  <c r="Q420" i="3" s="1"/>
  <c r="R420" i="3" s="1"/>
  <c r="S420" i="3" s="1"/>
  <c r="T420" i="3" l="1"/>
  <c r="AH420" i="3" s="1"/>
  <c r="U419" i="3"/>
  <c r="Y418" i="3"/>
  <c r="E420" i="3" l="1"/>
  <c r="H420" i="3" s="1"/>
  <c r="K420" i="3" s="1"/>
  <c r="AE420" i="3" s="1"/>
  <c r="D420" i="3"/>
  <c r="AG420" i="3"/>
  <c r="V420" i="3" l="1"/>
  <c r="A421" i="3"/>
  <c r="B421" i="3" s="1"/>
  <c r="F420" i="3"/>
  <c r="G420" i="3"/>
  <c r="I420" i="3" l="1"/>
  <c r="W420" i="3" s="1"/>
  <c r="J420" i="3"/>
  <c r="AD420" i="3" s="1"/>
  <c r="M420" i="3"/>
  <c r="N420" i="3" s="1"/>
  <c r="Z421" i="3"/>
  <c r="P421" i="3"/>
  <c r="Q421" i="3" s="1"/>
  <c r="R421" i="3" s="1"/>
  <c r="S421" i="3" s="1"/>
  <c r="AC421" i="3"/>
  <c r="AA421" i="3"/>
  <c r="T421" i="3" l="1"/>
  <c r="L420" i="3"/>
  <c r="U420" i="3" l="1"/>
  <c r="D421" i="3" s="1"/>
  <c r="AH421" i="3"/>
  <c r="AG421" i="3"/>
  <c r="Y419" i="3"/>
  <c r="E421" i="3" l="1"/>
  <c r="H421" i="3" s="1"/>
  <c r="K421" i="3" s="1"/>
  <c r="AE421" i="3" s="1"/>
  <c r="G421" i="3"/>
  <c r="F421" i="3" l="1"/>
  <c r="V421" i="3"/>
  <c r="A422" i="3"/>
  <c r="B422" i="3" s="1"/>
  <c r="I421" i="3"/>
  <c r="J421" i="3"/>
  <c r="AD421" i="3" s="1"/>
  <c r="M421" i="3"/>
  <c r="N421" i="3" s="1"/>
  <c r="W421" i="3" l="1"/>
  <c r="L421" i="3"/>
  <c r="Z422" i="3"/>
  <c r="P422" i="3"/>
  <c r="Q422" i="3" s="1"/>
  <c r="R422" i="3" s="1"/>
  <c r="S422" i="3" s="1"/>
  <c r="AC422" i="3"/>
  <c r="AA422" i="3"/>
  <c r="U421" i="3" l="1"/>
  <c r="Y420" i="3"/>
  <c r="T422" i="3"/>
  <c r="D422" i="3" l="1"/>
  <c r="G422" i="3" s="1"/>
  <c r="AG422" i="3"/>
  <c r="E422" i="3"/>
  <c r="H422" i="3" s="1"/>
  <c r="K422" i="3" s="1"/>
  <c r="AE422" i="3" s="1"/>
  <c r="AH422" i="3"/>
  <c r="F422" i="3" l="1"/>
  <c r="V422" i="3"/>
  <c r="A423" i="3"/>
  <c r="B423" i="3" s="1"/>
  <c r="I422" i="3"/>
  <c r="J422" i="3"/>
  <c r="AD422" i="3" s="1"/>
  <c r="M422" i="3"/>
  <c r="N422" i="3" s="1"/>
  <c r="L422" i="3" l="1"/>
  <c r="W422" i="3"/>
  <c r="P423" i="3"/>
  <c r="Q423" i="3" s="1"/>
  <c r="R423" i="3" s="1"/>
  <c r="S423" i="3" s="1"/>
  <c r="Z423" i="3"/>
  <c r="AC423" i="3"/>
  <c r="AA423" i="3"/>
  <c r="U422" i="3" l="1"/>
  <c r="Y421" i="3"/>
  <c r="T423" i="3"/>
  <c r="D423" i="3" l="1"/>
  <c r="G423" i="3" s="1"/>
  <c r="AH423" i="3"/>
  <c r="E423" i="3"/>
  <c r="H423" i="3" s="1"/>
  <c r="K423" i="3" s="1"/>
  <c r="AE423" i="3" s="1"/>
  <c r="AG423" i="3"/>
  <c r="F423" i="3" l="1"/>
  <c r="V423" i="3"/>
  <c r="A424" i="3"/>
  <c r="B424" i="3" s="1"/>
  <c r="I423" i="3"/>
  <c r="J423" i="3"/>
  <c r="AD423" i="3" s="1"/>
  <c r="M423" i="3"/>
  <c r="N423" i="3" s="1"/>
  <c r="W423" i="3" l="1"/>
  <c r="L423" i="3"/>
  <c r="AA424" i="3"/>
  <c r="P424" i="3"/>
  <c r="Q424" i="3" s="1"/>
  <c r="R424" i="3" s="1"/>
  <c r="S424" i="3" s="1"/>
  <c r="Z424" i="3"/>
  <c r="AC424" i="3"/>
  <c r="T424" i="3" l="1"/>
  <c r="U423" i="3"/>
  <c r="Y422" i="3"/>
  <c r="D424" i="3" l="1"/>
  <c r="G424" i="3" s="1"/>
  <c r="E424" i="3"/>
  <c r="H424" i="3" s="1"/>
  <c r="K424" i="3" s="1"/>
  <c r="AE424" i="3" s="1"/>
  <c r="AG424" i="3"/>
  <c r="AH424" i="3"/>
  <c r="F424" i="3" l="1"/>
  <c r="V424" i="3"/>
  <c r="A425" i="3"/>
  <c r="B425" i="3" s="1"/>
  <c r="I424" i="3"/>
  <c r="J424" i="3"/>
  <c r="AD424" i="3" s="1"/>
  <c r="M424" i="3"/>
  <c r="N424" i="3" s="1"/>
  <c r="W424" i="3" l="1"/>
  <c r="L424" i="3"/>
  <c r="Z425" i="3"/>
  <c r="AA425" i="3"/>
  <c r="P425" i="3"/>
  <c r="Q425" i="3" s="1"/>
  <c r="R425" i="3" s="1"/>
  <c r="S425" i="3" s="1"/>
  <c r="AC425" i="3"/>
  <c r="U424" i="3" l="1"/>
  <c r="Y423" i="3"/>
  <c r="T425" i="3"/>
  <c r="E425" i="3" l="1"/>
  <c r="H425" i="3" s="1"/>
  <c r="K425" i="3" s="1"/>
  <c r="AE425" i="3" s="1"/>
  <c r="D425" i="3"/>
  <c r="G425" i="3" s="1"/>
  <c r="AH425" i="3"/>
  <c r="AG425" i="3"/>
  <c r="F425" i="3" l="1"/>
  <c r="I425" i="3"/>
  <c r="J425" i="3"/>
  <c r="AD425" i="3" s="1"/>
  <c r="M425" i="3"/>
  <c r="N425" i="3" s="1"/>
  <c r="V425" i="3"/>
  <c r="A426" i="3"/>
  <c r="B426" i="3" s="1"/>
  <c r="L425" i="3" l="1"/>
  <c r="W425" i="3"/>
  <c r="P426" i="3"/>
  <c r="Q426" i="3" s="1"/>
  <c r="R426" i="3" s="1"/>
  <c r="S426" i="3" s="1"/>
  <c r="AA426" i="3"/>
  <c r="Z426" i="3"/>
  <c r="AC426" i="3"/>
  <c r="U425" i="3" l="1"/>
  <c r="Y424" i="3"/>
  <c r="T426" i="3"/>
  <c r="AH426" i="3" s="1"/>
  <c r="E426" i="3" l="1"/>
  <c r="H426" i="3" s="1"/>
  <c r="D426" i="3"/>
  <c r="AG426" i="3"/>
  <c r="K426" i="3" l="1"/>
  <c r="AE426" i="3" s="1"/>
  <c r="F426" i="3"/>
  <c r="G426" i="3"/>
  <c r="V426" i="3" l="1"/>
  <c r="A427" i="3"/>
  <c r="B427" i="3" s="1"/>
  <c r="I426" i="3"/>
  <c r="J426" i="3"/>
  <c r="AD426" i="3" s="1"/>
  <c r="M426" i="3"/>
  <c r="N426" i="3" s="1"/>
  <c r="W426" i="3" l="1"/>
  <c r="L426" i="3"/>
  <c r="P427" i="3"/>
  <c r="Q427" i="3" s="1"/>
  <c r="R427" i="3" s="1"/>
  <c r="S427" i="3" s="1"/>
  <c r="AC427" i="3"/>
  <c r="Z427" i="3"/>
  <c r="AA427" i="3"/>
  <c r="U426" i="3" l="1"/>
  <c r="Y425" i="3"/>
  <c r="T427" i="3"/>
  <c r="AG427" i="3" s="1"/>
  <c r="D427" i="3" l="1"/>
  <c r="G427" i="3" s="1"/>
  <c r="E427" i="3"/>
  <c r="H427" i="3" s="1"/>
  <c r="K427" i="3" s="1"/>
  <c r="AE427" i="3" s="1"/>
  <c r="AH427" i="3"/>
  <c r="F427" i="3" l="1"/>
  <c r="I427" i="3"/>
  <c r="J427" i="3"/>
  <c r="AD427" i="3" s="1"/>
  <c r="M427" i="3"/>
  <c r="N427" i="3" s="1"/>
  <c r="V427" i="3"/>
  <c r="A428" i="3"/>
  <c r="B428" i="3" s="1"/>
  <c r="W427" i="3" l="1"/>
  <c r="L427" i="3"/>
  <c r="P428" i="3"/>
  <c r="Q428" i="3" s="1"/>
  <c r="R428" i="3" s="1"/>
  <c r="S428" i="3" s="1"/>
  <c r="AC428" i="3"/>
  <c r="Z428" i="3"/>
  <c r="AA428" i="3"/>
  <c r="U427" i="3" l="1"/>
  <c r="Y426" i="3"/>
  <c r="T428" i="3"/>
  <c r="AG428" i="3" s="1"/>
  <c r="E428" i="3" l="1"/>
  <c r="H428" i="3" s="1"/>
  <c r="AH428" i="3"/>
  <c r="D428" i="3"/>
  <c r="K428" i="3" l="1"/>
  <c r="AE428" i="3" s="1"/>
  <c r="F428" i="3"/>
  <c r="G428" i="3"/>
  <c r="I428" i="3" l="1"/>
  <c r="J428" i="3"/>
  <c r="AD428" i="3" s="1"/>
  <c r="M428" i="3"/>
  <c r="N428" i="3" s="1"/>
  <c r="V428" i="3"/>
  <c r="A429" i="3"/>
  <c r="B429" i="3" s="1"/>
  <c r="W428" i="3" l="1"/>
  <c r="Z429" i="3"/>
  <c r="AC429" i="3"/>
  <c r="P429" i="3"/>
  <c r="Q429" i="3" s="1"/>
  <c r="R429" i="3" s="1"/>
  <c r="S429" i="3" s="1"/>
  <c r="AA429" i="3"/>
  <c r="L428" i="3"/>
  <c r="U428" i="3" l="1"/>
  <c r="Y427" i="3"/>
  <c r="T429" i="3"/>
  <c r="D429" i="3" l="1"/>
  <c r="G429" i="3" s="1"/>
  <c r="E429" i="3"/>
  <c r="H429" i="3" s="1"/>
  <c r="K429" i="3" s="1"/>
  <c r="AE429" i="3" s="1"/>
  <c r="AG429" i="3"/>
  <c r="AH429" i="3"/>
  <c r="F429" i="3" l="1"/>
  <c r="I429" i="3"/>
  <c r="J429" i="3"/>
  <c r="AD429" i="3" s="1"/>
  <c r="M429" i="3"/>
  <c r="N429" i="3" s="1"/>
  <c r="V429" i="3"/>
  <c r="A430" i="3"/>
  <c r="B430" i="3" s="1"/>
  <c r="L429" i="3" l="1"/>
  <c r="W429" i="3"/>
  <c r="AA430" i="3"/>
  <c r="Z430" i="3"/>
  <c r="P430" i="3"/>
  <c r="Q430" i="3" s="1"/>
  <c r="R430" i="3" s="1"/>
  <c r="S430" i="3" s="1"/>
  <c r="AC430" i="3"/>
  <c r="U429" i="3" l="1"/>
  <c r="Y428" i="3"/>
  <c r="T430" i="3"/>
  <c r="D430" i="3" l="1"/>
  <c r="G430" i="3" s="1"/>
  <c r="AH430" i="3"/>
  <c r="E430" i="3"/>
  <c r="H430" i="3" s="1"/>
  <c r="AG430" i="3"/>
  <c r="F430" i="3" l="1"/>
  <c r="I430" i="3"/>
  <c r="J430" i="3"/>
  <c r="AD430" i="3" s="1"/>
  <c r="M430" i="3"/>
  <c r="N430" i="3" s="1"/>
  <c r="K430" i="3"/>
  <c r="AE430" i="3" s="1"/>
  <c r="V430" i="3" l="1"/>
  <c r="W430" i="3" s="1"/>
  <c r="A431" i="3"/>
  <c r="B431" i="3" s="1"/>
  <c r="L430" i="3"/>
  <c r="U430" i="3" l="1"/>
  <c r="Y429" i="3"/>
  <c r="AC431" i="3"/>
  <c r="Z431" i="3"/>
  <c r="P431" i="3"/>
  <c r="Q431" i="3" s="1"/>
  <c r="R431" i="3" s="1"/>
  <c r="S431" i="3" s="1"/>
  <c r="AA431" i="3"/>
  <c r="T431" i="3" l="1"/>
  <c r="AH431" i="3" s="1"/>
  <c r="E431" i="3" l="1"/>
  <c r="H431" i="3" s="1"/>
  <c r="AG431" i="3"/>
  <c r="D431" i="3"/>
  <c r="K431" i="3" l="1"/>
  <c r="AE431" i="3" s="1"/>
  <c r="F431" i="3"/>
  <c r="G431" i="3"/>
  <c r="V431" i="3" l="1"/>
  <c r="A432" i="3"/>
  <c r="B432" i="3" s="1"/>
  <c r="I431" i="3"/>
  <c r="J431" i="3"/>
  <c r="AD431" i="3" s="1"/>
  <c r="M431" i="3"/>
  <c r="N431" i="3" s="1"/>
  <c r="W431" i="3" l="1"/>
  <c r="L431" i="3"/>
  <c r="AA432" i="3"/>
  <c r="P432" i="3"/>
  <c r="Q432" i="3" s="1"/>
  <c r="R432" i="3" s="1"/>
  <c r="S432" i="3" s="1"/>
  <c r="AC432" i="3"/>
  <c r="Z432" i="3"/>
  <c r="T432" i="3" l="1"/>
  <c r="AH432" i="3" s="1"/>
  <c r="U431" i="3"/>
  <c r="Y430" i="3"/>
  <c r="AG432" i="3" l="1"/>
  <c r="E432" i="3"/>
  <c r="H432" i="3" s="1"/>
  <c r="D432" i="3"/>
  <c r="K432" i="3" l="1"/>
  <c r="AE432" i="3" s="1"/>
  <c r="F432" i="3"/>
  <c r="G432" i="3"/>
  <c r="I432" i="3" l="1"/>
  <c r="J432" i="3"/>
  <c r="AD432" i="3" s="1"/>
  <c r="M432" i="3"/>
  <c r="N432" i="3" s="1"/>
  <c r="V432" i="3"/>
  <c r="A433" i="3"/>
  <c r="B433" i="3" s="1"/>
  <c r="W432" i="3" l="1"/>
  <c r="L432" i="3"/>
  <c r="P433" i="3"/>
  <c r="Q433" i="3" s="1"/>
  <c r="R433" i="3" s="1"/>
  <c r="S433" i="3" s="1"/>
  <c r="AC433" i="3"/>
  <c r="Z433" i="3"/>
  <c r="AA433" i="3"/>
  <c r="U432" i="3" l="1"/>
  <c r="Y431" i="3"/>
  <c r="T433" i="3"/>
  <c r="E433" i="3" l="1"/>
  <c r="H433" i="3" s="1"/>
  <c r="K433" i="3" s="1"/>
  <c r="AE433" i="3" s="1"/>
  <c r="D433" i="3"/>
  <c r="AG433" i="3"/>
  <c r="AH433" i="3"/>
  <c r="F433" i="3" l="1"/>
  <c r="G433" i="3"/>
  <c r="M433" i="3" s="1"/>
  <c r="N433" i="3" s="1"/>
  <c r="V433" i="3"/>
  <c r="A434" i="3"/>
  <c r="B434" i="3" s="1"/>
  <c r="I433" i="3" l="1"/>
  <c r="W433" i="3" s="1"/>
  <c r="J433" i="3"/>
  <c r="P434" i="3"/>
  <c r="Q434" i="3" s="1"/>
  <c r="R434" i="3" s="1"/>
  <c r="S434" i="3" s="1"/>
  <c r="Z434" i="3"/>
  <c r="AA434" i="3"/>
  <c r="AC434" i="3"/>
  <c r="L433" i="3" l="1"/>
  <c r="U433" i="3" s="1"/>
  <c r="AD433" i="3"/>
  <c r="T434" i="3"/>
  <c r="AH434" i="3" l="1"/>
  <c r="Y432" i="3"/>
  <c r="E434" i="3"/>
  <c r="H434" i="3" s="1"/>
  <c r="K434" i="3" s="1"/>
  <c r="AE434" i="3" s="1"/>
  <c r="AG434" i="3"/>
  <c r="D434" i="3"/>
  <c r="F434" i="3" l="1"/>
  <c r="G434" i="3"/>
  <c r="M434" i="3" s="1"/>
  <c r="N434" i="3" s="1"/>
  <c r="V434" i="3"/>
  <c r="A435" i="3"/>
  <c r="B435" i="3" s="1"/>
  <c r="I434" i="3" l="1"/>
  <c r="W434" i="3" s="1"/>
  <c r="J434" i="3"/>
  <c r="P435" i="3"/>
  <c r="Q435" i="3" s="1"/>
  <c r="R435" i="3" s="1"/>
  <c r="S435" i="3" s="1"/>
  <c r="AA435" i="3"/>
  <c r="AC435" i="3"/>
  <c r="Z435" i="3"/>
  <c r="L434" i="3" l="1"/>
  <c r="Y433" i="3" s="1"/>
  <c r="AD434" i="3"/>
  <c r="T435" i="3"/>
  <c r="U434" i="3" l="1"/>
  <c r="E435" i="3" s="1"/>
  <c r="H435" i="3" s="1"/>
  <c r="AG435" i="3"/>
  <c r="AH435" i="3"/>
  <c r="D435" i="3" l="1"/>
  <c r="G435" i="3" s="1"/>
  <c r="I435" i="3" s="1"/>
  <c r="K435" i="3"/>
  <c r="AE435" i="3" s="1"/>
  <c r="J435" i="3" l="1"/>
  <c r="M435" i="3"/>
  <c r="N435" i="3" s="1"/>
  <c r="F435" i="3"/>
  <c r="V435" i="3"/>
  <c r="W435" i="3" s="1"/>
  <c r="A436" i="3"/>
  <c r="B436" i="3" s="1"/>
  <c r="L435" i="3" l="1"/>
  <c r="Y434" i="3" s="1"/>
  <c r="AD435" i="3"/>
  <c r="AC436" i="3"/>
  <c r="Z436" i="3"/>
  <c r="P436" i="3"/>
  <c r="Q436" i="3" s="1"/>
  <c r="R436" i="3" s="1"/>
  <c r="S436" i="3" s="1"/>
  <c r="AA436" i="3"/>
  <c r="U435" i="3" l="1"/>
  <c r="T436" i="3"/>
  <c r="E436" i="3" l="1"/>
  <c r="H436" i="3" s="1"/>
  <c r="D436" i="3"/>
  <c r="AH436" i="3"/>
  <c r="AG436" i="3"/>
  <c r="F436" i="3" l="1"/>
  <c r="G436" i="3"/>
  <c r="K436" i="3"/>
  <c r="AE436" i="3" s="1"/>
  <c r="I436" i="3" l="1"/>
  <c r="J436" i="3"/>
  <c r="AD436" i="3" s="1"/>
  <c r="M436" i="3"/>
  <c r="N436" i="3" s="1"/>
  <c r="V436" i="3"/>
  <c r="A437" i="3"/>
  <c r="B437" i="3" s="1"/>
  <c r="W436" i="3" l="1"/>
  <c r="L436" i="3"/>
  <c r="AC437" i="3"/>
  <c r="AA437" i="3"/>
  <c r="P437" i="3"/>
  <c r="Q437" i="3" s="1"/>
  <c r="R437" i="3" s="1"/>
  <c r="S437" i="3" s="1"/>
  <c r="Z437" i="3"/>
  <c r="U436" i="3" l="1"/>
  <c r="Y435" i="3"/>
  <c r="T437" i="3"/>
  <c r="AH437" i="3" s="1"/>
  <c r="D437" i="3" l="1"/>
  <c r="G437" i="3" s="1"/>
  <c r="E437" i="3"/>
  <c r="H437" i="3" s="1"/>
  <c r="K437" i="3" s="1"/>
  <c r="AE437" i="3" s="1"/>
  <c r="AG437" i="3"/>
  <c r="F437" i="3" l="1"/>
  <c r="I437" i="3"/>
  <c r="J437" i="3"/>
  <c r="AD437" i="3" s="1"/>
  <c r="M437" i="3"/>
  <c r="N437" i="3" s="1"/>
  <c r="V437" i="3"/>
  <c r="A438" i="3"/>
  <c r="B438" i="3" s="1"/>
  <c r="W437" i="3" l="1"/>
  <c r="L437" i="3"/>
  <c r="Z438" i="3"/>
  <c r="P438" i="3"/>
  <c r="Q438" i="3" s="1"/>
  <c r="R438" i="3" s="1"/>
  <c r="S438" i="3" s="1"/>
  <c r="AC438" i="3"/>
  <c r="AA438" i="3"/>
  <c r="U437" i="3" l="1"/>
  <c r="Y436" i="3"/>
  <c r="T438" i="3"/>
  <c r="E438" i="3" l="1"/>
  <c r="H438" i="3" s="1"/>
  <c r="K438" i="3" s="1"/>
  <c r="AE438" i="3" s="1"/>
  <c r="D438" i="3"/>
  <c r="AH438" i="3"/>
  <c r="AG438" i="3"/>
  <c r="V438" i="3" l="1"/>
  <c r="A439" i="3"/>
  <c r="B439" i="3" s="1"/>
  <c r="F438" i="3"/>
  <c r="G438" i="3"/>
  <c r="I438" i="3" l="1"/>
  <c r="W438" i="3" s="1"/>
  <c r="J438" i="3"/>
  <c r="AD438" i="3" s="1"/>
  <c r="M438" i="3"/>
  <c r="N438" i="3" s="1"/>
  <c r="Z439" i="3"/>
  <c r="P439" i="3"/>
  <c r="Q439" i="3" s="1"/>
  <c r="R439" i="3" s="1"/>
  <c r="S439" i="3" s="1"/>
  <c r="AC439" i="3"/>
  <c r="AA439" i="3"/>
  <c r="T439" i="3" l="1"/>
  <c r="L438" i="3"/>
  <c r="AG439" i="3" l="1"/>
  <c r="AH439" i="3"/>
  <c r="U438" i="3"/>
  <c r="E439" i="3" s="1"/>
  <c r="H439" i="3" s="1"/>
  <c r="Y437" i="3"/>
  <c r="D439" i="3" l="1"/>
  <c r="G439" i="3" s="1"/>
  <c r="K439" i="3"/>
  <c r="AE439" i="3" s="1"/>
  <c r="F439" i="3" l="1"/>
  <c r="V439" i="3"/>
  <c r="A440" i="3"/>
  <c r="B440" i="3" s="1"/>
  <c r="I439" i="3"/>
  <c r="J439" i="3"/>
  <c r="AD439" i="3" s="1"/>
  <c r="M439" i="3"/>
  <c r="N439" i="3" s="1"/>
  <c r="W439" i="3" l="1"/>
  <c r="L439" i="3"/>
  <c r="Z440" i="3"/>
  <c r="AC440" i="3"/>
  <c r="P440" i="3"/>
  <c r="Q440" i="3" s="1"/>
  <c r="R440" i="3" s="1"/>
  <c r="S440" i="3" s="1"/>
  <c r="AA440" i="3"/>
  <c r="T440" i="3" l="1"/>
  <c r="AH440" i="3" s="1"/>
  <c r="U439" i="3"/>
  <c r="Y438" i="3"/>
  <c r="AG440" i="3" l="1"/>
  <c r="D440" i="3"/>
  <c r="E440" i="3"/>
  <c r="H440" i="3" s="1"/>
  <c r="K440" i="3" l="1"/>
  <c r="AE440" i="3" s="1"/>
  <c r="F440" i="3"/>
  <c r="G440" i="3"/>
  <c r="I440" i="3" l="1"/>
  <c r="J440" i="3"/>
  <c r="AD440" i="3" s="1"/>
  <c r="M440" i="3"/>
  <c r="N440" i="3" s="1"/>
  <c r="V440" i="3"/>
  <c r="A441" i="3"/>
  <c r="B441" i="3" s="1"/>
  <c r="W440" i="3" l="1"/>
  <c r="L440" i="3"/>
  <c r="P441" i="3"/>
  <c r="Q441" i="3" s="1"/>
  <c r="R441" i="3" s="1"/>
  <c r="S441" i="3" s="1"/>
  <c r="AC441" i="3"/>
  <c r="Z441" i="3"/>
  <c r="AA441" i="3"/>
  <c r="T441" i="3" l="1"/>
  <c r="AH441" i="3" s="1"/>
  <c r="U440" i="3"/>
  <c r="Y439" i="3"/>
  <c r="E441" i="3" l="1"/>
  <c r="H441" i="3" s="1"/>
  <c r="K441" i="3" s="1"/>
  <c r="AE441" i="3" s="1"/>
  <c r="AG441" i="3"/>
  <c r="D441" i="3"/>
  <c r="V441" i="3" l="1"/>
  <c r="A442" i="3"/>
  <c r="B442" i="3" s="1"/>
  <c r="F441" i="3"/>
  <c r="G441" i="3"/>
  <c r="I441" i="3" l="1"/>
  <c r="W441" i="3" s="1"/>
  <c r="J441" i="3"/>
  <c r="AD441" i="3" s="1"/>
  <c r="M441" i="3"/>
  <c r="N441" i="3" s="1"/>
  <c r="AC442" i="3"/>
  <c r="AA442" i="3"/>
  <c r="P442" i="3"/>
  <c r="Q442" i="3" s="1"/>
  <c r="R442" i="3" s="1"/>
  <c r="S442" i="3" s="1"/>
  <c r="Z442" i="3"/>
  <c r="T442" i="3" l="1"/>
  <c r="L441" i="3"/>
  <c r="U441" i="3" l="1"/>
  <c r="D442" i="3" s="1"/>
  <c r="AH442" i="3"/>
  <c r="AG442" i="3"/>
  <c r="Y440" i="3"/>
  <c r="G442" i="3" l="1"/>
  <c r="E442" i="3"/>
  <c r="H442" i="3" s="1"/>
  <c r="I442" i="3" l="1"/>
  <c r="J442" i="3"/>
  <c r="AD442" i="3" s="1"/>
  <c r="M442" i="3"/>
  <c r="N442" i="3" s="1"/>
  <c r="F442" i="3"/>
  <c r="K442" i="3"/>
  <c r="AE442" i="3" s="1"/>
  <c r="V442" i="3" l="1"/>
  <c r="W442" i="3" s="1"/>
  <c r="A443" i="3"/>
  <c r="B443" i="3" s="1"/>
  <c r="L442" i="3"/>
  <c r="U442" i="3" l="1"/>
  <c r="Y441" i="3"/>
  <c r="Z443" i="3"/>
  <c r="P443" i="3"/>
  <c r="Q443" i="3" s="1"/>
  <c r="R443" i="3" s="1"/>
  <c r="S443" i="3" s="1"/>
  <c r="AD443" i="3"/>
  <c r="AC443" i="3"/>
  <c r="AA443" i="3"/>
  <c r="T443" i="3" l="1"/>
  <c r="D443" i="3" s="1"/>
  <c r="E443" i="3" l="1"/>
  <c r="H443" i="3" s="1"/>
  <c r="K443" i="3" s="1"/>
  <c r="AE443" i="3" s="1"/>
  <c r="G443" i="3"/>
  <c r="AG443" i="3"/>
  <c r="AH443" i="3"/>
  <c r="F443" i="3" l="1"/>
  <c r="V443" i="3"/>
  <c r="A444" i="3"/>
  <c r="B444" i="3" s="1"/>
  <c r="I443" i="3"/>
  <c r="J443" i="3"/>
  <c r="M443" i="3"/>
  <c r="N443" i="3" s="1"/>
  <c r="W443" i="3" l="1"/>
  <c r="L443" i="3"/>
  <c r="Z444" i="3"/>
  <c r="P444" i="3"/>
  <c r="Q444" i="3" s="1"/>
  <c r="R444" i="3" s="1"/>
  <c r="S444" i="3" s="1"/>
  <c r="AA444" i="3"/>
  <c r="AC444" i="3"/>
  <c r="U443" i="3" l="1"/>
  <c r="Y442" i="3"/>
  <c r="T444" i="3"/>
  <c r="AG444" i="3" s="1"/>
  <c r="AH444" i="3" l="1"/>
  <c r="D444" i="3"/>
  <c r="E444" i="3"/>
  <c r="H444" i="3" s="1"/>
  <c r="F444" i="3" l="1"/>
  <c r="G444" i="3"/>
  <c r="K444" i="3"/>
  <c r="AE444" i="3" s="1"/>
  <c r="I444" i="3" l="1"/>
  <c r="J444" i="3"/>
  <c r="AD444" i="3" s="1"/>
  <c r="M444" i="3"/>
  <c r="N444" i="3" s="1"/>
  <c r="V444" i="3"/>
  <c r="A445" i="3"/>
  <c r="B445" i="3" s="1"/>
  <c r="W444" i="3" l="1"/>
  <c r="L444" i="3"/>
  <c r="AA445" i="3"/>
  <c r="P445" i="3"/>
  <c r="Q445" i="3" s="1"/>
  <c r="R445" i="3" s="1"/>
  <c r="S445" i="3" s="1"/>
  <c r="Z445" i="3"/>
  <c r="AD445" i="3"/>
  <c r="AC445" i="3"/>
  <c r="T445" i="3" l="1"/>
  <c r="U444" i="3"/>
  <c r="Y443" i="3"/>
  <c r="D445" i="3" l="1"/>
  <c r="G445" i="3" s="1"/>
  <c r="AG445" i="3"/>
  <c r="E445" i="3"/>
  <c r="H445" i="3" s="1"/>
  <c r="AH445" i="3"/>
  <c r="K445" i="3" l="1"/>
  <c r="AE445" i="3" s="1"/>
  <c r="I445" i="3"/>
  <c r="J445" i="3"/>
  <c r="M445" i="3"/>
  <c r="N445" i="3" s="1"/>
  <c r="F445" i="3"/>
  <c r="L445" i="3" l="1"/>
  <c r="V445" i="3"/>
  <c r="W445" i="3" s="1"/>
  <c r="A446" i="3"/>
  <c r="B446" i="3" s="1"/>
  <c r="AD446" i="3" l="1"/>
  <c r="AC446" i="3"/>
  <c r="P446" i="3"/>
  <c r="Q446" i="3" s="1"/>
  <c r="R446" i="3" s="1"/>
  <c r="S446" i="3" s="1"/>
  <c r="Z446" i="3"/>
  <c r="AA446" i="3"/>
  <c r="U445" i="3"/>
  <c r="Y444" i="3"/>
  <c r="T446" i="3" l="1"/>
  <c r="D446" i="3" s="1"/>
  <c r="AG446" i="3" l="1"/>
  <c r="G446" i="3"/>
  <c r="E446" i="3"/>
  <c r="H446" i="3" s="1"/>
  <c r="AH446" i="3"/>
  <c r="K446" i="3" l="1"/>
  <c r="AE446" i="3" s="1"/>
  <c r="F446" i="3"/>
  <c r="I446" i="3"/>
  <c r="J446" i="3"/>
  <c r="M446" i="3"/>
  <c r="N446" i="3" s="1"/>
  <c r="L446" i="3" l="1"/>
  <c r="V446" i="3"/>
  <c r="W446" i="3" s="1"/>
  <c r="A447" i="3"/>
  <c r="B447" i="3" s="1"/>
  <c r="Z447" i="3" l="1"/>
  <c r="P447" i="3"/>
  <c r="Q447" i="3" s="1"/>
  <c r="R447" i="3" s="1"/>
  <c r="S447" i="3" s="1"/>
  <c r="AC447" i="3"/>
  <c r="AA447" i="3"/>
  <c r="U446" i="3"/>
  <c r="Y445" i="3"/>
  <c r="T447" i="3" l="1"/>
  <c r="AG447" i="3" s="1"/>
  <c r="D447" i="3" l="1"/>
  <c r="G447" i="3" s="1"/>
  <c r="AH447" i="3"/>
  <c r="E447" i="3"/>
  <c r="H447" i="3" s="1"/>
  <c r="K447" i="3" s="1"/>
  <c r="AE447" i="3" s="1"/>
  <c r="F447" i="3" l="1"/>
  <c r="I447" i="3"/>
  <c r="J447" i="3"/>
  <c r="AD447" i="3" s="1"/>
  <c r="M447" i="3"/>
  <c r="N447" i="3" s="1"/>
  <c r="V447" i="3"/>
  <c r="A448" i="3"/>
  <c r="B448" i="3" s="1"/>
  <c r="W447" i="3" l="1"/>
  <c r="L447" i="3"/>
  <c r="Z448" i="3"/>
  <c r="AA448" i="3"/>
  <c r="P448" i="3"/>
  <c r="Q448" i="3" s="1"/>
  <c r="R448" i="3" s="1"/>
  <c r="S448" i="3" s="1"/>
  <c r="AC448" i="3"/>
  <c r="T448" i="3" l="1"/>
  <c r="AG448" i="3" s="1"/>
  <c r="U447" i="3"/>
  <c r="Y446" i="3"/>
  <c r="D448" i="3" l="1"/>
  <c r="G448" i="3" s="1"/>
  <c r="E448" i="3"/>
  <c r="H448" i="3" s="1"/>
  <c r="AH448" i="3"/>
  <c r="F448" i="3" l="1"/>
  <c r="I448" i="3"/>
  <c r="J448" i="3"/>
  <c r="AD448" i="3" s="1"/>
  <c r="M448" i="3"/>
  <c r="N448" i="3" s="1"/>
  <c r="K448" i="3"/>
  <c r="AE448" i="3" s="1"/>
  <c r="V448" i="3" l="1"/>
  <c r="W448" i="3" s="1"/>
  <c r="A449" i="3"/>
  <c r="B449" i="3" s="1"/>
  <c r="L448" i="3"/>
  <c r="U448" i="3" l="1"/>
  <c r="Y447" i="3"/>
  <c r="P449" i="3"/>
  <c r="Q449" i="3" s="1"/>
  <c r="R449" i="3" s="1"/>
  <c r="S449" i="3" s="1"/>
  <c r="AA449" i="3"/>
  <c r="Z449" i="3"/>
  <c r="AC449" i="3"/>
  <c r="T449" i="3" l="1"/>
  <c r="D449" i="3" s="1"/>
  <c r="G449" i="3" l="1"/>
  <c r="AG449" i="3"/>
  <c r="AH449" i="3"/>
  <c r="E449" i="3"/>
  <c r="H449" i="3" s="1"/>
  <c r="K449" i="3" l="1"/>
  <c r="AE449" i="3" s="1"/>
  <c r="F449" i="3"/>
  <c r="I449" i="3"/>
  <c r="J449" i="3"/>
  <c r="AD449" i="3" s="1"/>
  <c r="M449" i="3"/>
  <c r="N449" i="3" s="1"/>
  <c r="L449" i="3" l="1"/>
  <c r="V449" i="3"/>
  <c r="W449" i="3" s="1"/>
  <c r="A450" i="3"/>
  <c r="B450" i="3" s="1"/>
  <c r="P450" i="3" l="1"/>
  <c r="Q450" i="3" s="1"/>
  <c r="R450" i="3" s="1"/>
  <c r="S450" i="3" s="1"/>
  <c r="Z450" i="3"/>
  <c r="AC450" i="3"/>
  <c r="AA450" i="3"/>
  <c r="U449" i="3"/>
  <c r="Y448" i="3"/>
  <c r="T450" i="3" l="1"/>
  <c r="D450" i="3" s="1"/>
  <c r="AH450" i="3" l="1"/>
  <c r="G450" i="3"/>
  <c r="E450" i="3"/>
  <c r="H450" i="3" s="1"/>
  <c r="AG450" i="3"/>
  <c r="F450" i="3" l="1"/>
  <c r="I450" i="3"/>
  <c r="J450" i="3"/>
  <c r="AD450" i="3" s="1"/>
  <c r="M450" i="3"/>
  <c r="N450" i="3" s="1"/>
  <c r="K450" i="3"/>
  <c r="AE450" i="3" s="1"/>
  <c r="V450" i="3" l="1"/>
  <c r="W450" i="3" s="1"/>
  <c r="A451" i="3"/>
  <c r="B451" i="3" s="1"/>
  <c r="L450" i="3"/>
  <c r="U450" i="3" l="1"/>
  <c r="Y449" i="3"/>
  <c r="P451" i="3"/>
  <c r="Q451" i="3" s="1"/>
  <c r="R451" i="3" s="1"/>
  <c r="S451" i="3" s="1"/>
  <c r="Z451" i="3"/>
  <c r="AA451" i="3"/>
  <c r="AC451" i="3"/>
  <c r="T451" i="3" l="1"/>
  <c r="AG451" i="3" s="1"/>
  <c r="E451" i="3" l="1"/>
  <c r="H451" i="3" s="1"/>
  <c r="K451" i="3" s="1"/>
  <c r="AE451" i="3" s="1"/>
  <c r="AH451" i="3"/>
  <c r="D451" i="3"/>
  <c r="V451" i="3" l="1"/>
  <c r="A452" i="3"/>
  <c r="B452" i="3" s="1"/>
  <c r="F451" i="3"/>
  <c r="G451" i="3"/>
  <c r="I451" i="3" l="1"/>
  <c r="W451" i="3" s="1"/>
  <c r="J451" i="3"/>
  <c r="AD451" i="3" s="1"/>
  <c r="M451" i="3"/>
  <c r="N451" i="3" s="1"/>
  <c r="AA452" i="3"/>
  <c r="P452" i="3"/>
  <c r="Q452" i="3" s="1"/>
  <c r="R452" i="3" s="1"/>
  <c r="S452" i="3" s="1"/>
  <c r="AC452" i="3"/>
  <c r="Z452" i="3"/>
  <c r="T452" i="3" l="1"/>
  <c r="L451" i="3"/>
  <c r="U451" i="3" l="1"/>
  <c r="D452" i="3" s="1"/>
  <c r="AH452" i="3"/>
  <c r="AG452" i="3"/>
  <c r="Y450" i="3"/>
  <c r="E452" i="3" l="1"/>
  <c r="H452" i="3" s="1"/>
  <c r="K452" i="3" s="1"/>
  <c r="AE452" i="3" s="1"/>
  <c r="G452" i="3"/>
  <c r="F452" i="3" l="1"/>
  <c r="I452" i="3"/>
  <c r="J452" i="3"/>
  <c r="AD452" i="3" s="1"/>
  <c r="M452" i="3"/>
  <c r="N452" i="3" s="1"/>
  <c r="V452" i="3"/>
  <c r="A453" i="3"/>
  <c r="B453" i="3" s="1"/>
  <c r="W452" i="3" l="1"/>
  <c r="L452" i="3"/>
  <c r="AA453" i="3"/>
  <c r="P453" i="3"/>
  <c r="Q453" i="3" s="1"/>
  <c r="R453" i="3" s="1"/>
  <c r="S453" i="3" s="1"/>
  <c r="AC453" i="3"/>
  <c r="Z453" i="3"/>
  <c r="U452" i="3" l="1"/>
  <c r="Y451" i="3"/>
  <c r="T453" i="3"/>
  <c r="AH453" i="3" s="1"/>
  <c r="AG453" i="3" l="1"/>
  <c r="E453" i="3"/>
  <c r="H453" i="3" s="1"/>
  <c r="D453" i="3"/>
  <c r="K453" i="3" l="1"/>
  <c r="AE453" i="3" s="1"/>
  <c r="F453" i="3"/>
  <c r="G453" i="3"/>
  <c r="I453" i="3" l="1"/>
  <c r="J453" i="3"/>
  <c r="AD453" i="3" s="1"/>
  <c r="M453" i="3"/>
  <c r="N453" i="3" s="1"/>
  <c r="V453" i="3"/>
  <c r="A454" i="3"/>
  <c r="B454" i="3" s="1"/>
  <c r="W453" i="3" l="1"/>
  <c r="AA454" i="3"/>
  <c r="AC454" i="3"/>
  <c r="Z454" i="3"/>
  <c r="P454" i="3"/>
  <c r="Q454" i="3" s="1"/>
  <c r="R454" i="3" s="1"/>
  <c r="S454" i="3" s="1"/>
  <c r="L453" i="3"/>
  <c r="U453" i="3" l="1"/>
  <c r="Y452" i="3"/>
  <c r="T454" i="3"/>
  <c r="E454" i="3" l="1"/>
  <c r="H454" i="3" s="1"/>
  <c r="K454" i="3" s="1"/>
  <c r="AE454" i="3" s="1"/>
  <c r="AH454" i="3"/>
  <c r="AG454" i="3"/>
  <c r="D454" i="3"/>
  <c r="F454" i="3" l="1"/>
  <c r="G454" i="3"/>
  <c r="V454" i="3"/>
  <c r="A455" i="3"/>
  <c r="B455" i="3" s="1"/>
  <c r="AC455" i="3" l="1"/>
  <c r="AA455" i="3"/>
  <c r="Z455" i="3"/>
  <c r="P455" i="3"/>
  <c r="Q455" i="3" s="1"/>
  <c r="R455" i="3" s="1"/>
  <c r="S455" i="3" s="1"/>
  <c r="I454" i="3"/>
  <c r="W454" i="3" s="1"/>
  <c r="J454" i="3"/>
  <c r="AD454" i="3" s="1"/>
  <c r="M454" i="3"/>
  <c r="N454" i="3" s="1"/>
  <c r="L454" i="3" l="1"/>
  <c r="T455" i="3"/>
  <c r="AH455" i="3" l="1"/>
  <c r="U454" i="3"/>
  <c r="D455" i="3" s="1"/>
  <c r="AG455" i="3"/>
  <c r="Y453" i="3"/>
  <c r="E455" i="3" l="1"/>
  <c r="H455" i="3" s="1"/>
  <c r="K455" i="3" s="1"/>
  <c r="AE455" i="3" s="1"/>
  <c r="G455" i="3"/>
  <c r="F455" i="3" l="1"/>
  <c r="I455" i="3"/>
  <c r="J455" i="3"/>
  <c r="AD455" i="3" s="1"/>
  <c r="M455" i="3"/>
  <c r="N455" i="3" s="1"/>
  <c r="V455" i="3"/>
  <c r="A456" i="3"/>
  <c r="B456" i="3" s="1"/>
  <c r="W455" i="3" l="1"/>
  <c r="L455" i="3"/>
  <c r="AC456" i="3"/>
  <c r="P456" i="3"/>
  <c r="Q456" i="3" s="1"/>
  <c r="R456" i="3" s="1"/>
  <c r="S456" i="3" s="1"/>
  <c r="Z456" i="3"/>
  <c r="AA456" i="3"/>
  <c r="U455" i="3" l="1"/>
  <c r="Y454" i="3"/>
  <c r="T456" i="3"/>
  <c r="AG456" i="3" s="1"/>
  <c r="D456" i="3" l="1"/>
  <c r="G456" i="3" s="1"/>
  <c r="AH456" i="3"/>
  <c r="E456" i="3"/>
  <c r="H456" i="3" s="1"/>
  <c r="I456" i="3" l="1"/>
  <c r="J456" i="3"/>
  <c r="AD456" i="3" s="1"/>
  <c r="M456" i="3"/>
  <c r="N456" i="3" s="1"/>
  <c r="K456" i="3"/>
  <c r="AE456" i="3" s="1"/>
  <c r="F456" i="3"/>
  <c r="V456" i="3" l="1"/>
  <c r="W456" i="3" s="1"/>
  <c r="A457" i="3"/>
  <c r="B457" i="3" s="1"/>
  <c r="L456" i="3"/>
  <c r="Z457" i="3" l="1"/>
  <c r="AC457" i="3"/>
  <c r="P457" i="3"/>
  <c r="Q457" i="3" s="1"/>
  <c r="R457" i="3" s="1"/>
  <c r="S457" i="3" s="1"/>
  <c r="AA457" i="3"/>
  <c r="U456" i="3"/>
  <c r="Y455" i="3"/>
  <c r="T457" i="3" l="1"/>
  <c r="D457" i="3" l="1"/>
  <c r="AH457" i="3"/>
  <c r="E457" i="3"/>
  <c r="H457" i="3" s="1"/>
  <c r="AG457" i="3"/>
  <c r="F457" i="3" l="1"/>
  <c r="G457" i="3"/>
  <c r="K457" i="3"/>
  <c r="AE457" i="3" s="1"/>
  <c r="I457" i="3" l="1"/>
  <c r="J457" i="3"/>
  <c r="AD457" i="3" s="1"/>
  <c r="M457" i="3"/>
  <c r="N457" i="3" s="1"/>
  <c r="V457" i="3"/>
  <c r="A458" i="3"/>
  <c r="B458" i="3" s="1"/>
  <c r="L457" i="3" l="1"/>
  <c r="W457" i="3"/>
  <c r="P458" i="3"/>
  <c r="Q458" i="3" s="1"/>
  <c r="R458" i="3" s="1"/>
  <c r="S458" i="3" s="1"/>
  <c r="AC458" i="3"/>
  <c r="Z458" i="3"/>
  <c r="AA458" i="3"/>
  <c r="U457" i="3" l="1"/>
  <c r="Y456" i="3"/>
  <c r="T458" i="3"/>
  <c r="AH458" i="3" s="1"/>
  <c r="AG458" i="3" l="1"/>
  <c r="E458" i="3"/>
  <c r="H458" i="3" s="1"/>
  <c r="D458" i="3"/>
  <c r="K458" i="3" l="1"/>
  <c r="AE458" i="3" s="1"/>
  <c r="F458" i="3"/>
  <c r="G458" i="3"/>
  <c r="V458" i="3" l="1"/>
  <c r="A459" i="3"/>
  <c r="B459" i="3" s="1"/>
  <c r="I458" i="3"/>
  <c r="J458" i="3"/>
  <c r="AD458" i="3" s="1"/>
  <c r="M458" i="3"/>
  <c r="N458" i="3" s="1"/>
  <c r="W458" i="3" l="1"/>
  <c r="L458" i="3"/>
  <c r="Z459" i="3"/>
  <c r="P459" i="3"/>
  <c r="Q459" i="3" s="1"/>
  <c r="R459" i="3" s="1"/>
  <c r="S459" i="3" s="1"/>
  <c r="AA459" i="3"/>
  <c r="AC459" i="3"/>
  <c r="T459" i="3" l="1"/>
  <c r="AH459" i="3" s="1"/>
  <c r="U458" i="3"/>
  <c r="Y457" i="3"/>
  <c r="AG459" i="3" l="1"/>
  <c r="D459" i="3"/>
  <c r="E459" i="3"/>
  <c r="H459" i="3" s="1"/>
  <c r="K459" i="3" l="1"/>
  <c r="AE459" i="3" s="1"/>
  <c r="F459" i="3"/>
  <c r="G459" i="3"/>
  <c r="I459" i="3" l="1"/>
  <c r="J459" i="3"/>
  <c r="AD459" i="3" s="1"/>
  <c r="M459" i="3"/>
  <c r="N459" i="3" s="1"/>
  <c r="V459" i="3"/>
  <c r="A460" i="3"/>
  <c r="B460" i="3" s="1"/>
  <c r="W459" i="3" l="1"/>
  <c r="L459" i="3"/>
  <c r="P460" i="3"/>
  <c r="Q460" i="3" s="1"/>
  <c r="R460" i="3" s="1"/>
  <c r="S460" i="3" s="1"/>
  <c r="Z460" i="3"/>
  <c r="AA460" i="3"/>
  <c r="AC460" i="3"/>
  <c r="U459" i="3" l="1"/>
  <c r="Y458" i="3"/>
  <c r="T460" i="3"/>
  <c r="D460" i="3" l="1"/>
  <c r="G460" i="3" s="1"/>
  <c r="AH460" i="3"/>
  <c r="E460" i="3"/>
  <c r="H460" i="3" s="1"/>
  <c r="AG460" i="3"/>
  <c r="F460" i="3" l="1"/>
  <c r="I460" i="3"/>
  <c r="J460" i="3"/>
  <c r="AD460" i="3" s="1"/>
  <c r="M460" i="3"/>
  <c r="N460" i="3" s="1"/>
  <c r="K460" i="3"/>
  <c r="AE460" i="3" s="1"/>
  <c r="V460" i="3" l="1"/>
  <c r="W460" i="3" s="1"/>
  <c r="A461" i="3"/>
  <c r="B461" i="3" s="1"/>
  <c r="L460" i="3"/>
  <c r="U460" i="3" l="1"/>
  <c r="Y459" i="3"/>
  <c r="AC461" i="3"/>
  <c r="Z461" i="3"/>
  <c r="P461" i="3"/>
  <c r="Q461" i="3" s="1"/>
  <c r="R461" i="3" s="1"/>
  <c r="S461" i="3" s="1"/>
  <c r="AA461" i="3"/>
  <c r="T461" i="3" l="1"/>
  <c r="D461" i="3" s="1"/>
  <c r="AG461" i="3" l="1"/>
  <c r="G461" i="3"/>
  <c r="AH461" i="3"/>
  <c r="E461" i="3"/>
  <c r="H461" i="3" s="1"/>
  <c r="F461" i="3" l="1"/>
  <c r="I461" i="3"/>
  <c r="J461" i="3"/>
  <c r="AD461" i="3" s="1"/>
  <c r="M461" i="3"/>
  <c r="N461" i="3" s="1"/>
  <c r="K461" i="3"/>
  <c r="AE461" i="3" s="1"/>
  <c r="V461" i="3" l="1"/>
  <c r="W461" i="3" s="1"/>
  <c r="A462" i="3"/>
  <c r="B462" i="3" s="1"/>
  <c r="L461" i="3"/>
  <c r="U461" i="3" l="1"/>
  <c r="Y460" i="3"/>
  <c r="Z462" i="3"/>
  <c r="P462" i="3"/>
  <c r="Q462" i="3" s="1"/>
  <c r="R462" i="3" s="1"/>
  <c r="S462" i="3" s="1"/>
  <c r="AA462" i="3"/>
  <c r="AC462" i="3"/>
  <c r="T462" i="3" l="1"/>
  <c r="E462" i="3" s="1"/>
  <c r="H462" i="3" s="1"/>
  <c r="AG462" i="3" l="1"/>
  <c r="AH462" i="3"/>
  <c r="D462" i="3"/>
  <c r="G462" i="3" s="1"/>
  <c r="K462" i="3"/>
  <c r="AE462" i="3" s="1"/>
  <c r="F462" i="3" l="1"/>
  <c r="V462" i="3"/>
  <c r="A463" i="3"/>
  <c r="B463" i="3" s="1"/>
  <c r="I462" i="3"/>
  <c r="J462" i="3"/>
  <c r="AD462" i="3" s="1"/>
  <c r="M462" i="3"/>
  <c r="N462" i="3" s="1"/>
  <c r="W462" i="3" l="1"/>
  <c r="L462" i="3"/>
  <c r="P463" i="3"/>
  <c r="Q463" i="3" s="1"/>
  <c r="R463" i="3" s="1"/>
  <c r="S463" i="3" s="1"/>
  <c r="AC463" i="3"/>
  <c r="Z463" i="3"/>
  <c r="AA463" i="3"/>
  <c r="U462" i="3" l="1"/>
  <c r="Y461" i="3"/>
  <c r="T463" i="3"/>
  <c r="AH463" i="3" s="1"/>
  <c r="AG463" i="3" l="1"/>
  <c r="D463" i="3"/>
  <c r="E463" i="3"/>
  <c r="H463" i="3" s="1"/>
  <c r="F463" i="3" l="1"/>
  <c r="G463" i="3"/>
  <c r="K463" i="3"/>
  <c r="AE463" i="3" s="1"/>
  <c r="V463" i="3" l="1"/>
  <c r="A464" i="3"/>
  <c r="B464" i="3" s="1"/>
  <c r="I463" i="3"/>
  <c r="J463" i="3"/>
  <c r="AD463" i="3" s="1"/>
  <c r="M463" i="3"/>
  <c r="N463" i="3" s="1"/>
  <c r="W463" i="3" l="1"/>
  <c r="L463" i="3"/>
  <c r="Z464" i="3"/>
  <c r="AC464" i="3"/>
  <c r="P464" i="3"/>
  <c r="Q464" i="3" s="1"/>
  <c r="R464" i="3" s="1"/>
  <c r="S464" i="3" s="1"/>
  <c r="AA464" i="3"/>
  <c r="T464" i="3" l="1"/>
  <c r="AG464" i="3" s="1"/>
  <c r="U463" i="3"/>
  <c r="Y462" i="3"/>
  <c r="AH464" i="3" l="1"/>
  <c r="D464" i="3"/>
  <c r="E464" i="3"/>
  <c r="H464" i="3" s="1"/>
  <c r="K464" i="3" l="1"/>
  <c r="AE464" i="3" s="1"/>
  <c r="F464" i="3"/>
  <c r="G464" i="3"/>
  <c r="I464" i="3" l="1"/>
  <c r="J464" i="3"/>
  <c r="AD464" i="3" s="1"/>
  <c r="M464" i="3"/>
  <c r="N464" i="3" s="1"/>
  <c r="V464" i="3"/>
  <c r="A465" i="3"/>
  <c r="B465" i="3" s="1"/>
  <c r="W464" i="3" l="1"/>
  <c r="L464" i="3"/>
  <c r="Z465" i="3"/>
  <c r="P465" i="3"/>
  <c r="Q465" i="3" s="1"/>
  <c r="R465" i="3" s="1"/>
  <c r="S465" i="3" s="1"/>
  <c r="AC465" i="3"/>
  <c r="AA465" i="3"/>
  <c r="T465" i="3" l="1"/>
  <c r="AH465" i="3" s="1"/>
  <c r="U464" i="3"/>
  <c r="Y463" i="3"/>
  <c r="D465" i="3" l="1"/>
  <c r="G465" i="3" s="1"/>
  <c r="E465" i="3"/>
  <c r="H465" i="3" s="1"/>
  <c r="AG465" i="3"/>
  <c r="F465" i="3" l="1"/>
  <c r="I465" i="3"/>
  <c r="J465" i="3"/>
  <c r="AD465" i="3" s="1"/>
  <c r="M465" i="3"/>
  <c r="N465" i="3" s="1"/>
  <c r="K465" i="3"/>
  <c r="AE465" i="3" s="1"/>
  <c r="V465" i="3" l="1"/>
  <c r="W465" i="3" s="1"/>
  <c r="A466" i="3"/>
  <c r="B466" i="3" s="1"/>
  <c r="L465" i="3"/>
  <c r="U465" i="3" l="1"/>
  <c r="Y464" i="3"/>
  <c r="AA466" i="3"/>
  <c r="AC466" i="3"/>
  <c r="Z466" i="3"/>
  <c r="P466" i="3"/>
  <c r="Q466" i="3" s="1"/>
  <c r="R466" i="3" s="1"/>
  <c r="S466" i="3" s="1"/>
  <c r="T466" i="3" l="1"/>
  <c r="AH466" i="3" s="1"/>
  <c r="AG466" i="3" l="1"/>
  <c r="E466" i="3"/>
  <c r="H466" i="3" s="1"/>
  <c r="K466" i="3" s="1"/>
  <c r="AE466" i="3" s="1"/>
  <c r="D466" i="3"/>
  <c r="G466" i="3" s="1"/>
  <c r="F466" i="3" l="1"/>
  <c r="I466" i="3"/>
  <c r="J466" i="3"/>
  <c r="AD466" i="3" s="1"/>
  <c r="M466" i="3"/>
  <c r="N466" i="3" s="1"/>
  <c r="V466" i="3"/>
  <c r="A467" i="3"/>
  <c r="B467" i="3" s="1"/>
  <c r="W466" i="3" l="1"/>
  <c r="L466" i="3"/>
  <c r="P467" i="3"/>
  <c r="Q467" i="3" s="1"/>
  <c r="R467" i="3" s="1"/>
  <c r="S467" i="3" s="1"/>
  <c r="AA467" i="3"/>
  <c r="Z467" i="3"/>
  <c r="AC467" i="3"/>
  <c r="U466" i="3" l="1"/>
  <c r="Y465" i="3"/>
  <c r="T467" i="3"/>
  <c r="E467" i="3" l="1"/>
  <c r="H467" i="3" s="1"/>
  <c r="K467" i="3" s="1"/>
  <c r="AE467" i="3" s="1"/>
  <c r="AG467" i="3"/>
  <c r="D467" i="3"/>
  <c r="AH467" i="3"/>
  <c r="F467" i="3" l="1"/>
  <c r="G467" i="3"/>
  <c r="V467" i="3"/>
  <c r="A468" i="3"/>
  <c r="B468" i="3" s="1"/>
  <c r="AC468" i="3" l="1"/>
  <c r="Z468" i="3"/>
  <c r="P468" i="3"/>
  <c r="Q468" i="3" s="1"/>
  <c r="R468" i="3" s="1"/>
  <c r="S468" i="3" s="1"/>
  <c r="AA468" i="3"/>
  <c r="I467" i="3"/>
  <c r="W467" i="3" s="1"/>
  <c r="J467" i="3"/>
  <c r="AD467" i="3" s="1"/>
  <c r="M467" i="3"/>
  <c r="N467" i="3" s="1"/>
  <c r="L467" i="3" l="1"/>
  <c r="T468" i="3"/>
  <c r="U467" i="3" l="1"/>
  <c r="D468" i="3" s="1"/>
  <c r="AH468" i="3"/>
  <c r="AG468" i="3"/>
  <c r="Y466" i="3"/>
  <c r="E468" i="3" l="1"/>
  <c r="H468" i="3" s="1"/>
  <c r="K468" i="3" s="1"/>
  <c r="AE468" i="3" s="1"/>
  <c r="G468" i="3"/>
  <c r="F468" i="3" l="1"/>
  <c r="I468" i="3"/>
  <c r="J468" i="3"/>
  <c r="AD468" i="3" s="1"/>
  <c r="M468" i="3"/>
  <c r="N468" i="3" s="1"/>
  <c r="V468" i="3"/>
  <c r="A469" i="3"/>
  <c r="B469" i="3" s="1"/>
  <c r="W468" i="3" l="1"/>
  <c r="L468" i="3"/>
  <c r="AA469" i="3"/>
  <c r="P469" i="3"/>
  <c r="Q469" i="3" s="1"/>
  <c r="R469" i="3" s="1"/>
  <c r="S469" i="3" s="1"/>
  <c r="Z469" i="3"/>
  <c r="AC469" i="3"/>
  <c r="U468" i="3" l="1"/>
  <c r="Y467" i="3"/>
  <c r="T469" i="3"/>
  <c r="AG469" i="3" s="1"/>
  <c r="D469" i="3" l="1"/>
  <c r="G469" i="3" s="1"/>
  <c r="AH469" i="3"/>
  <c r="E469" i="3"/>
  <c r="H469" i="3" s="1"/>
  <c r="K469" i="3" s="1"/>
  <c r="AE469" i="3" s="1"/>
  <c r="F469" i="3" l="1"/>
  <c r="I469" i="3"/>
  <c r="J469" i="3"/>
  <c r="AD469" i="3" s="1"/>
  <c r="M469" i="3"/>
  <c r="N469" i="3" s="1"/>
  <c r="V469" i="3"/>
  <c r="A470" i="3"/>
  <c r="B470" i="3" s="1"/>
  <c r="W469" i="3" l="1"/>
  <c r="L469" i="3"/>
  <c r="AC470" i="3"/>
  <c r="P470" i="3"/>
  <c r="Q470" i="3" s="1"/>
  <c r="R470" i="3" s="1"/>
  <c r="S470" i="3" s="1"/>
  <c r="AA470" i="3"/>
  <c r="Z470" i="3"/>
  <c r="U469" i="3" l="1"/>
  <c r="Y468" i="3"/>
  <c r="T470" i="3"/>
  <c r="D470" i="3" l="1"/>
  <c r="G470" i="3" s="1"/>
  <c r="AH470" i="3"/>
  <c r="AG470" i="3"/>
  <c r="E470" i="3"/>
  <c r="H470" i="3" s="1"/>
  <c r="K470" i="3" l="1"/>
  <c r="AE470" i="3" s="1"/>
  <c r="F470" i="3"/>
  <c r="I470" i="3"/>
  <c r="J470" i="3"/>
  <c r="AD470" i="3" s="1"/>
  <c r="M470" i="3"/>
  <c r="N470" i="3" s="1"/>
  <c r="V470" i="3" l="1"/>
  <c r="W470" i="3" s="1"/>
  <c r="A471" i="3"/>
  <c r="B471" i="3" s="1"/>
  <c r="L470" i="3"/>
  <c r="U470" i="3" l="1"/>
  <c r="Y469" i="3"/>
  <c r="Z471" i="3"/>
  <c r="AA471" i="3"/>
  <c r="AC471" i="3"/>
  <c r="P471" i="3"/>
  <c r="Q471" i="3" s="1"/>
  <c r="R471" i="3" s="1"/>
  <c r="S471" i="3" s="1"/>
  <c r="T471" i="3" l="1"/>
  <c r="AH471" i="3" s="1"/>
  <c r="AG471" i="3" l="1"/>
  <c r="E471" i="3"/>
  <c r="H471" i="3" s="1"/>
  <c r="D471" i="3"/>
  <c r="F471" i="3" l="1"/>
  <c r="G471" i="3"/>
  <c r="K471" i="3"/>
  <c r="AE471" i="3" s="1"/>
  <c r="V471" i="3" l="1"/>
  <c r="A472" i="3"/>
  <c r="B472" i="3" s="1"/>
  <c r="I471" i="3"/>
  <c r="J471" i="3"/>
  <c r="AD471" i="3" s="1"/>
  <c r="M471" i="3"/>
  <c r="N471" i="3" s="1"/>
  <c r="W471" i="3" l="1"/>
  <c r="L471" i="3"/>
  <c r="Z472" i="3"/>
  <c r="AA472" i="3"/>
  <c r="P472" i="3"/>
  <c r="Q472" i="3" s="1"/>
  <c r="R472" i="3" s="1"/>
  <c r="S472" i="3" s="1"/>
  <c r="AC472" i="3"/>
  <c r="U471" i="3" l="1"/>
  <c r="Y470" i="3"/>
  <c r="T472" i="3"/>
  <c r="E472" i="3" l="1"/>
  <c r="H472" i="3" s="1"/>
  <c r="K472" i="3" s="1"/>
  <c r="AE472" i="3" s="1"/>
  <c r="AG472" i="3"/>
  <c r="AH472" i="3"/>
  <c r="D472" i="3"/>
  <c r="V472" i="3" l="1"/>
  <c r="A473" i="3"/>
  <c r="B473" i="3" s="1"/>
  <c r="F472" i="3"/>
  <c r="G472" i="3"/>
  <c r="I472" i="3" l="1"/>
  <c r="W472" i="3" s="1"/>
  <c r="J472" i="3"/>
  <c r="AD472" i="3" s="1"/>
  <c r="M472" i="3"/>
  <c r="N472" i="3" s="1"/>
  <c r="AC473" i="3"/>
  <c r="P473" i="3"/>
  <c r="Q473" i="3" s="1"/>
  <c r="R473" i="3" s="1"/>
  <c r="S473" i="3" s="1"/>
  <c r="Z473" i="3"/>
  <c r="AA473" i="3"/>
  <c r="L472" i="3" l="1"/>
  <c r="T473" i="3"/>
  <c r="U472" i="3" l="1"/>
  <c r="D473" i="3" s="1"/>
  <c r="AH473" i="3"/>
  <c r="AG473" i="3"/>
  <c r="Y471" i="3"/>
  <c r="G473" i="3" l="1"/>
  <c r="E473" i="3"/>
  <c r="H473" i="3" s="1"/>
  <c r="F473" i="3" l="1"/>
  <c r="I473" i="3"/>
  <c r="J473" i="3"/>
  <c r="AD473" i="3" s="1"/>
  <c r="M473" i="3"/>
  <c r="N473" i="3" s="1"/>
  <c r="K473" i="3"/>
  <c r="AE473" i="3" s="1"/>
  <c r="V473" i="3" l="1"/>
  <c r="W473" i="3" s="1"/>
  <c r="A474" i="3"/>
  <c r="B474" i="3" s="1"/>
  <c r="L473" i="3"/>
  <c r="U473" i="3" l="1"/>
  <c r="Y472" i="3"/>
  <c r="P474" i="3"/>
  <c r="Q474" i="3" s="1"/>
  <c r="R474" i="3" s="1"/>
  <c r="S474" i="3" s="1"/>
  <c r="Z474" i="3"/>
  <c r="AA474" i="3"/>
  <c r="AC474" i="3"/>
  <c r="T474" i="3" l="1"/>
  <c r="D474" i="3" s="1"/>
  <c r="AG474" i="3" l="1"/>
  <c r="AH474" i="3"/>
  <c r="G474" i="3"/>
  <c r="E474" i="3"/>
  <c r="H474" i="3" s="1"/>
  <c r="I474" i="3" l="1"/>
  <c r="J474" i="3"/>
  <c r="AD474" i="3" s="1"/>
  <c r="M474" i="3"/>
  <c r="N474" i="3" s="1"/>
  <c r="F474" i="3"/>
  <c r="K474" i="3"/>
  <c r="AE474" i="3" s="1"/>
  <c r="V474" i="3" l="1"/>
  <c r="W474" i="3" s="1"/>
  <c r="A475" i="3"/>
  <c r="B475" i="3" s="1"/>
  <c r="L474" i="3"/>
  <c r="U474" i="3" l="1"/>
  <c r="Y473" i="3"/>
  <c r="AC475" i="3"/>
  <c r="Z475" i="3"/>
  <c r="P475" i="3"/>
  <c r="Q475" i="3" s="1"/>
  <c r="R475" i="3" s="1"/>
  <c r="S475" i="3" s="1"/>
  <c r="AA475" i="3"/>
  <c r="T475" i="3" l="1"/>
  <c r="AG475" i="3" s="1"/>
  <c r="AH475" i="3" l="1"/>
  <c r="E475" i="3"/>
  <c r="H475" i="3" s="1"/>
  <c r="K475" i="3" s="1"/>
  <c r="AE475" i="3" s="1"/>
  <c r="D475" i="3"/>
  <c r="F475" i="3" l="1"/>
  <c r="G475" i="3"/>
  <c r="M475" i="3" s="1"/>
  <c r="N475" i="3" s="1"/>
  <c r="V475" i="3"/>
  <c r="A476" i="3"/>
  <c r="B476" i="3" s="1"/>
  <c r="I475" i="3" l="1"/>
  <c r="W475" i="3" s="1"/>
  <c r="J475" i="3"/>
  <c r="P476" i="3"/>
  <c r="Q476" i="3" s="1"/>
  <c r="R476" i="3" s="1"/>
  <c r="S476" i="3" s="1"/>
  <c r="AA476" i="3"/>
  <c r="Z476" i="3"/>
  <c r="AC476" i="3"/>
  <c r="L475" i="3" l="1"/>
  <c r="AD475" i="3"/>
  <c r="U475" i="3"/>
  <c r="Y474" i="3"/>
  <c r="T476" i="3"/>
  <c r="AG476" i="3" s="1"/>
  <c r="D476" i="3" l="1"/>
  <c r="G476" i="3" s="1"/>
  <c r="E476" i="3"/>
  <c r="H476" i="3" s="1"/>
  <c r="K476" i="3" s="1"/>
  <c r="AE476" i="3" s="1"/>
  <c r="AH476" i="3"/>
  <c r="F476" i="3" l="1"/>
  <c r="V476" i="3"/>
  <c r="A477" i="3"/>
  <c r="B477" i="3" s="1"/>
  <c r="I476" i="3"/>
  <c r="J476" i="3"/>
  <c r="AD476" i="3" s="1"/>
  <c r="M476" i="3"/>
  <c r="N476" i="3" s="1"/>
  <c r="W476" i="3" l="1"/>
  <c r="L476" i="3"/>
  <c r="AA477" i="3"/>
  <c r="P477" i="3"/>
  <c r="Q477" i="3" s="1"/>
  <c r="R477" i="3" s="1"/>
  <c r="S477" i="3" s="1"/>
  <c r="AC477" i="3"/>
  <c r="Z477" i="3"/>
  <c r="U476" i="3" l="1"/>
  <c r="Y475" i="3"/>
  <c r="T477" i="3"/>
  <c r="D477" i="3" l="1"/>
  <c r="G477" i="3" s="1"/>
  <c r="AG477" i="3"/>
  <c r="E477" i="3"/>
  <c r="H477" i="3" s="1"/>
  <c r="K477" i="3" s="1"/>
  <c r="AE477" i="3" s="1"/>
  <c r="AH477" i="3"/>
  <c r="F477" i="3" l="1"/>
  <c r="V477" i="3"/>
  <c r="A478" i="3"/>
  <c r="B478" i="3" s="1"/>
  <c r="I477" i="3"/>
  <c r="J477" i="3"/>
  <c r="AD477" i="3" s="1"/>
  <c r="M477" i="3"/>
  <c r="N477" i="3" s="1"/>
  <c r="W477" i="3" l="1"/>
  <c r="L477" i="3"/>
  <c r="AA478" i="3"/>
  <c r="P478" i="3"/>
  <c r="Q478" i="3" s="1"/>
  <c r="R478" i="3" s="1"/>
  <c r="S478" i="3" s="1"/>
  <c r="AC478" i="3"/>
  <c r="Z478" i="3"/>
  <c r="T478" i="3" l="1"/>
  <c r="U477" i="3"/>
  <c r="Y476" i="3"/>
  <c r="E478" i="3" l="1"/>
  <c r="H478" i="3" s="1"/>
  <c r="K478" i="3" s="1"/>
  <c r="AE478" i="3" s="1"/>
  <c r="AG478" i="3"/>
  <c r="AH478" i="3"/>
  <c r="D478" i="3"/>
  <c r="F478" i="3" l="1"/>
  <c r="G478" i="3"/>
  <c r="V478" i="3"/>
  <c r="A479" i="3"/>
  <c r="B479" i="3" s="1"/>
  <c r="I478" i="3" l="1"/>
  <c r="W478" i="3" s="1"/>
  <c r="J478" i="3"/>
  <c r="AD478" i="3" s="1"/>
  <c r="M478" i="3"/>
  <c r="N478" i="3" s="1"/>
  <c r="P479" i="3"/>
  <c r="Q479" i="3" s="1"/>
  <c r="R479" i="3" s="1"/>
  <c r="S479" i="3" s="1"/>
  <c r="AC479" i="3"/>
  <c r="AA479" i="3"/>
  <c r="Z479" i="3"/>
  <c r="T479" i="3" l="1"/>
  <c r="L478" i="3"/>
  <c r="U478" i="3" l="1"/>
  <c r="E479" i="3" s="1"/>
  <c r="H479" i="3" s="1"/>
  <c r="AH479" i="3"/>
  <c r="AG479" i="3"/>
  <c r="Y477" i="3"/>
  <c r="D479" i="3" l="1"/>
  <c r="G479" i="3" s="1"/>
  <c r="K479" i="3"/>
  <c r="AE479" i="3" s="1"/>
  <c r="F479" i="3" l="1"/>
  <c r="I479" i="3"/>
  <c r="J479" i="3"/>
  <c r="AD479" i="3" s="1"/>
  <c r="M479" i="3"/>
  <c r="N479" i="3" s="1"/>
  <c r="V479" i="3"/>
  <c r="A480" i="3"/>
  <c r="B480" i="3" s="1"/>
  <c r="W479" i="3" l="1"/>
  <c r="AA480" i="3"/>
  <c r="P480" i="3"/>
  <c r="Q480" i="3" s="1"/>
  <c r="R480" i="3" s="1"/>
  <c r="S480" i="3" s="1"/>
  <c r="AC480" i="3"/>
  <c r="Z480" i="3"/>
  <c r="L479" i="3"/>
  <c r="U479" i="3" l="1"/>
  <c r="Y478" i="3"/>
  <c r="T480" i="3"/>
  <c r="E480" i="3" l="1"/>
  <c r="H480" i="3" s="1"/>
  <c r="K480" i="3" s="1"/>
  <c r="AE480" i="3" s="1"/>
  <c r="AH480" i="3"/>
  <c r="AG480" i="3"/>
  <c r="D480" i="3"/>
  <c r="V480" i="3" l="1"/>
  <c r="A481" i="3"/>
  <c r="B481" i="3" s="1"/>
  <c r="F480" i="3"/>
  <c r="G480" i="3"/>
  <c r="I480" i="3" l="1"/>
  <c r="W480" i="3" s="1"/>
  <c r="J480" i="3"/>
  <c r="AD480" i="3" s="1"/>
  <c r="M480" i="3"/>
  <c r="N480" i="3" s="1"/>
  <c r="P481" i="3"/>
  <c r="Q481" i="3" s="1"/>
  <c r="R481" i="3" s="1"/>
  <c r="S481" i="3" s="1"/>
  <c r="AC481" i="3"/>
  <c r="AA481" i="3"/>
  <c r="Z481" i="3"/>
  <c r="T481" i="3" l="1"/>
  <c r="L480" i="3"/>
  <c r="U480" i="3" l="1"/>
  <c r="D481" i="3" s="1"/>
  <c r="AG481" i="3"/>
  <c r="AH481" i="3"/>
  <c r="Y479" i="3"/>
  <c r="G481" i="3" l="1"/>
  <c r="E481" i="3"/>
  <c r="H481" i="3" s="1"/>
  <c r="K481" i="3" l="1"/>
  <c r="AE481" i="3" s="1"/>
  <c r="I481" i="3"/>
  <c r="J481" i="3"/>
  <c r="AD481" i="3" s="1"/>
  <c r="M481" i="3"/>
  <c r="N481" i="3" s="1"/>
  <c r="F481" i="3"/>
  <c r="V481" i="3" l="1"/>
  <c r="W481" i="3" s="1"/>
  <c r="A482" i="3"/>
  <c r="B482" i="3" s="1"/>
  <c r="L481" i="3"/>
  <c r="U481" i="3" l="1"/>
  <c r="Y480" i="3"/>
  <c r="AC482" i="3"/>
  <c r="AA482" i="3"/>
  <c r="P482" i="3"/>
  <c r="Q482" i="3" s="1"/>
  <c r="R482" i="3" s="1"/>
  <c r="S482" i="3" s="1"/>
  <c r="Z482" i="3"/>
  <c r="T482" i="3" l="1"/>
  <c r="D482" i="3" s="1"/>
  <c r="AG482" i="3" l="1"/>
  <c r="G482" i="3"/>
  <c r="AH482" i="3"/>
  <c r="E482" i="3"/>
  <c r="H482" i="3" s="1"/>
  <c r="F482" i="3" l="1"/>
  <c r="I482" i="3"/>
  <c r="J482" i="3"/>
  <c r="AD482" i="3" s="1"/>
  <c r="M482" i="3"/>
  <c r="N482" i="3" s="1"/>
  <c r="K482" i="3"/>
  <c r="AE482" i="3" s="1"/>
  <c r="V482" i="3" l="1"/>
  <c r="W482" i="3" s="1"/>
  <c r="A483" i="3"/>
  <c r="B483" i="3" s="1"/>
  <c r="L482" i="3"/>
  <c r="U482" i="3" l="1"/>
  <c r="Y481" i="3"/>
  <c r="P483" i="3"/>
  <c r="Q483" i="3" s="1"/>
  <c r="R483" i="3" s="1"/>
  <c r="S483" i="3" s="1"/>
  <c r="Z483" i="3"/>
  <c r="AC483" i="3"/>
  <c r="AD483" i="3"/>
  <c r="AA483" i="3"/>
  <c r="T483" i="3" l="1"/>
  <c r="E483" i="3" s="1"/>
  <c r="H483" i="3" s="1"/>
  <c r="AG483" i="3" l="1"/>
  <c r="AH483" i="3"/>
  <c r="D483" i="3"/>
  <c r="G483" i="3" s="1"/>
  <c r="K483" i="3"/>
  <c r="AE483" i="3" s="1"/>
  <c r="F483" i="3" l="1"/>
  <c r="I483" i="3"/>
  <c r="J483" i="3"/>
  <c r="M483" i="3"/>
  <c r="N483" i="3" s="1"/>
  <c r="V483" i="3"/>
  <c r="A484" i="3"/>
  <c r="B484" i="3" s="1"/>
  <c r="W483" i="3" l="1"/>
  <c r="L483" i="3"/>
  <c r="AC484" i="3"/>
  <c r="Z484" i="3"/>
  <c r="AA484" i="3"/>
  <c r="P484" i="3"/>
  <c r="Q484" i="3" s="1"/>
  <c r="R484" i="3" s="1"/>
  <c r="S484" i="3" s="1"/>
  <c r="T484" i="3" l="1"/>
  <c r="U483" i="3"/>
  <c r="Y482" i="3"/>
  <c r="E484" i="3" l="1"/>
  <c r="H484" i="3" s="1"/>
  <c r="K484" i="3" s="1"/>
  <c r="AE484" i="3" s="1"/>
  <c r="D484" i="3"/>
  <c r="G484" i="3" s="1"/>
  <c r="AG484" i="3"/>
  <c r="AH484" i="3"/>
  <c r="F484" i="3" l="1"/>
  <c r="V484" i="3"/>
  <c r="A485" i="3"/>
  <c r="B485" i="3" s="1"/>
  <c r="I484" i="3"/>
  <c r="J484" i="3"/>
  <c r="AD484" i="3" s="1"/>
  <c r="M484" i="3"/>
  <c r="N484" i="3" s="1"/>
  <c r="W484" i="3" l="1"/>
  <c r="L484" i="3"/>
  <c r="P485" i="3"/>
  <c r="Q485" i="3" s="1"/>
  <c r="R485" i="3" s="1"/>
  <c r="S485" i="3" s="1"/>
  <c r="AD485" i="3"/>
  <c r="AA485" i="3"/>
  <c r="AC485" i="3"/>
  <c r="Z485" i="3"/>
  <c r="U484" i="3" l="1"/>
  <c r="Y483" i="3"/>
  <c r="T485" i="3"/>
  <c r="D485" i="3" l="1"/>
  <c r="G485" i="3" s="1"/>
  <c r="AG485" i="3"/>
  <c r="AH485" i="3"/>
  <c r="E485" i="3"/>
  <c r="H485" i="3" s="1"/>
  <c r="K485" i="3" s="1"/>
  <c r="AE485" i="3" s="1"/>
  <c r="F485" i="3" l="1"/>
  <c r="I485" i="3"/>
  <c r="J485" i="3"/>
  <c r="M485" i="3"/>
  <c r="N485" i="3" s="1"/>
  <c r="V485" i="3"/>
  <c r="A486" i="3"/>
  <c r="B486" i="3" s="1"/>
  <c r="W485" i="3" l="1"/>
  <c r="L485" i="3"/>
  <c r="AA486" i="3"/>
  <c r="P486" i="3"/>
  <c r="Q486" i="3" s="1"/>
  <c r="R486" i="3" s="1"/>
  <c r="S486" i="3" s="1"/>
  <c r="AC486" i="3"/>
  <c r="AD486" i="3"/>
  <c r="Z486" i="3"/>
  <c r="T486" i="3" l="1"/>
  <c r="AH486" i="3" s="1"/>
  <c r="U485" i="3"/>
  <c r="Y484" i="3"/>
  <c r="D486" i="3" l="1"/>
  <c r="G486" i="3" s="1"/>
  <c r="AG486" i="3"/>
  <c r="E486" i="3"/>
  <c r="H486" i="3" s="1"/>
  <c r="K486" i="3" s="1"/>
  <c r="AE486" i="3" s="1"/>
  <c r="F486" i="3" l="1"/>
  <c r="V486" i="3"/>
  <c r="A487" i="3"/>
  <c r="B487" i="3" s="1"/>
  <c r="I486" i="3"/>
  <c r="J486" i="3"/>
  <c r="M486" i="3"/>
  <c r="N486" i="3" s="1"/>
  <c r="W486" i="3" l="1"/>
  <c r="L486" i="3"/>
  <c r="AA487" i="3"/>
  <c r="P487" i="3"/>
  <c r="Q487" i="3" s="1"/>
  <c r="R487" i="3" s="1"/>
  <c r="S487" i="3" s="1"/>
  <c r="AC487" i="3"/>
  <c r="Z487" i="3"/>
  <c r="T487" i="3" l="1"/>
  <c r="U486" i="3"/>
  <c r="Y485" i="3"/>
  <c r="E487" i="3" l="1"/>
  <c r="H487" i="3" s="1"/>
  <c r="K487" i="3" s="1"/>
  <c r="AE487" i="3" s="1"/>
  <c r="D487" i="3"/>
  <c r="AH487" i="3"/>
  <c r="AG487" i="3"/>
  <c r="V487" i="3" l="1"/>
  <c r="A488" i="3"/>
  <c r="B488" i="3" s="1"/>
  <c r="F487" i="3"/>
  <c r="G487" i="3"/>
  <c r="I487" i="3" l="1"/>
  <c r="W487" i="3" s="1"/>
  <c r="J487" i="3"/>
  <c r="AD487" i="3" s="1"/>
  <c r="M487" i="3"/>
  <c r="N487" i="3" s="1"/>
  <c r="AA488" i="3"/>
  <c r="Z488" i="3"/>
  <c r="P488" i="3"/>
  <c r="Q488" i="3" s="1"/>
  <c r="R488" i="3" s="1"/>
  <c r="S488" i="3" s="1"/>
  <c r="AC488" i="3"/>
  <c r="L487" i="3" l="1"/>
  <c r="T488" i="3"/>
  <c r="U487" i="3" l="1"/>
  <c r="D488" i="3" s="1"/>
  <c r="AG488" i="3"/>
  <c r="AH488" i="3"/>
  <c r="Y486" i="3"/>
  <c r="E488" i="3" l="1"/>
  <c r="H488" i="3" s="1"/>
  <c r="K488" i="3" s="1"/>
  <c r="AE488" i="3" s="1"/>
  <c r="G488" i="3"/>
  <c r="F488" i="3" l="1"/>
  <c r="I488" i="3"/>
  <c r="J488" i="3"/>
  <c r="AD488" i="3" s="1"/>
  <c r="M488" i="3"/>
  <c r="N488" i="3" s="1"/>
  <c r="V488" i="3"/>
  <c r="A489" i="3"/>
  <c r="B489" i="3" s="1"/>
  <c r="W488" i="3" l="1"/>
  <c r="L488" i="3"/>
  <c r="P489" i="3"/>
  <c r="Q489" i="3" s="1"/>
  <c r="R489" i="3" s="1"/>
  <c r="S489" i="3" s="1"/>
  <c r="AC489" i="3"/>
  <c r="AA489" i="3"/>
  <c r="AD489" i="3"/>
  <c r="Z489" i="3"/>
  <c r="U488" i="3" l="1"/>
  <c r="Y487" i="3"/>
  <c r="T489" i="3"/>
  <c r="AH489" i="3" s="1"/>
  <c r="AG489" i="3" l="1"/>
  <c r="D489" i="3"/>
  <c r="E489" i="3"/>
  <c r="H489" i="3" s="1"/>
  <c r="K489" i="3" s="1"/>
  <c r="AE489" i="3" s="1"/>
  <c r="F489" i="3" l="1"/>
  <c r="G489" i="3"/>
  <c r="M489" i="3" s="1"/>
  <c r="N489" i="3" s="1"/>
  <c r="V489" i="3"/>
  <c r="A490" i="3"/>
  <c r="B490" i="3" s="1"/>
  <c r="I489" i="3" l="1"/>
  <c r="W489" i="3" s="1"/>
  <c r="J489" i="3"/>
  <c r="L489" i="3" s="1"/>
  <c r="Z490" i="3"/>
  <c r="AC490" i="3"/>
  <c r="P490" i="3"/>
  <c r="Q490" i="3" s="1"/>
  <c r="R490" i="3" s="1"/>
  <c r="S490" i="3" s="1"/>
  <c r="AD490" i="3"/>
  <c r="AA490" i="3"/>
  <c r="T490" i="3" l="1"/>
  <c r="AH490" i="3" s="1"/>
  <c r="U489" i="3"/>
  <c r="Y488" i="3"/>
  <c r="E490" i="3" l="1"/>
  <c r="H490" i="3" s="1"/>
  <c r="K490" i="3" s="1"/>
  <c r="AE490" i="3" s="1"/>
  <c r="D490" i="3"/>
  <c r="AG490" i="3"/>
  <c r="V490" i="3" l="1"/>
  <c r="A491" i="3"/>
  <c r="B491" i="3" s="1"/>
  <c r="F490" i="3"/>
  <c r="G490" i="3"/>
  <c r="I490" i="3" l="1"/>
  <c r="W490" i="3" s="1"/>
  <c r="J490" i="3"/>
  <c r="M490" i="3"/>
  <c r="N490" i="3" s="1"/>
  <c r="P491" i="3"/>
  <c r="Q491" i="3" s="1"/>
  <c r="R491" i="3" s="1"/>
  <c r="S491" i="3" s="1"/>
  <c r="Z491" i="3"/>
  <c r="AD491" i="3"/>
  <c r="AC491" i="3"/>
  <c r="AA491" i="3"/>
  <c r="T491" i="3" l="1"/>
  <c r="L490" i="3"/>
  <c r="AH491" i="3" l="1"/>
  <c r="U490" i="3"/>
  <c r="D491" i="3" s="1"/>
  <c r="AG491" i="3"/>
  <c r="Y489" i="3"/>
  <c r="E491" i="3" l="1"/>
  <c r="H491" i="3" s="1"/>
  <c r="K491" i="3" s="1"/>
  <c r="AE491" i="3" s="1"/>
  <c r="G491" i="3"/>
  <c r="F491" i="3" l="1"/>
  <c r="I491" i="3"/>
  <c r="J491" i="3"/>
  <c r="M491" i="3"/>
  <c r="N491" i="3" s="1"/>
  <c r="V491" i="3"/>
  <c r="A492" i="3"/>
  <c r="B492" i="3" s="1"/>
  <c r="W491" i="3" l="1"/>
  <c r="L491" i="3"/>
  <c r="AC492" i="3"/>
  <c r="AA492" i="3"/>
  <c r="P492" i="3"/>
  <c r="Q492" i="3" s="1"/>
  <c r="R492" i="3" s="1"/>
  <c r="S492" i="3" s="1"/>
  <c r="Z492" i="3"/>
  <c r="T492" i="3" l="1"/>
  <c r="U491" i="3"/>
  <c r="Y490" i="3"/>
  <c r="D492" i="3" l="1"/>
  <c r="G492" i="3" s="1"/>
  <c r="AH492" i="3"/>
  <c r="AG492" i="3"/>
  <c r="E492" i="3"/>
  <c r="H492" i="3" s="1"/>
  <c r="F492" i="3" l="1"/>
  <c r="I492" i="3"/>
  <c r="J492" i="3"/>
  <c r="AD492" i="3" s="1"/>
  <c r="M492" i="3"/>
  <c r="N492" i="3" s="1"/>
  <c r="K492" i="3"/>
  <c r="AE492" i="3" s="1"/>
  <c r="L492" i="3" l="1"/>
  <c r="V492" i="3"/>
  <c r="W492" i="3" s="1"/>
  <c r="A493" i="3"/>
  <c r="B493" i="3" s="1"/>
  <c r="U492" i="3" l="1"/>
  <c r="Y491" i="3"/>
  <c r="P493" i="3"/>
  <c r="Q493" i="3" s="1"/>
  <c r="R493" i="3" s="1"/>
  <c r="S493" i="3" s="1"/>
  <c r="AC493" i="3"/>
  <c r="AA493" i="3"/>
  <c r="Z493" i="3"/>
  <c r="AD493" i="3"/>
  <c r="T493" i="3" l="1"/>
  <c r="AH493" i="3" s="1"/>
  <c r="AG493" i="3" l="1"/>
  <c r="E493" i="3"/>
  <c r="H493" i="3" s="1"/>
  <c r="K493" i="3" s="1"/>
  <c r="AE493" i="3" s="1"/>
  <c r="D493" i="3"/>
  <c r="F493" i="3" l="1"/>
  <c r="G493" i="3"/>
  <c r="J493" i="3" s="1"/>
  <c r="V493" i="3"/>
  <c r="A494" i="3"/>
  <c r="B494" i="3" s="1"/>
  <c r="M493" i="3" l="1"/>
  <c r="N493" i="3" s="1"/>
  <c r="I493" i="3"/>
  <c r="W493" i="3" s="1"/>
  <c r="L493" i="3"/>
  <c r="P494" i="3"/>
  <c r="Q494" i="3" s="1"/>
  <c r="R494" i="3" s="1"/>
  <c r="S494" i="3" s="1"/>
  <c r="AC494" i="3"/>
  <c r="Z494" i="3"/>
  <c r="AA494" i="3"/>
  <c r="T494" i="3" l="1"/>
  <c r="AH494" i="3" s="1"/>
  <c r="U493" i="3"/>
  <c r="Y492" i="3"/>
  <c r="E494" i="3" l="1"/>
  <c r="H494" i="3" s="1"/>
  <c r="K494" i="3" s="1"/>
  <c r="AE494" i="3" s="1"/>
  <c r="D494" i="3"/>
  <c r="AG494" i="3"/>
  <c r="F494" i="3" l="1"/>
  <c r="G494" i="3"/>
  <c r="V494" i="3"/>
  <c r="A495" i="3"/>
  <c r="B495" i="3" s="1"/>
  <c r="Z495" i="3" l="1"/>
  <c r="P495" i="3"/>
  <c r="Q495" i="3" s="1"/>
  <c r="R495" i="3" s="1"/>
  <c r="S495" i="3" s="1"/>
  <c r="AA495" i="3"/>
  <c r="AC495" i="3"/>
  <c r="I494" i="3"/>
  <c r="W494" i="3" s="1"/>
  <c r="J494" i="3"/>
  <c r="AD494" i="3" s="1"/>
  <c r="M494" i="3"/>
  <c r="N494" i="3" s="1"/>
  <c r="L494" i="3" l="1"/>
  <c r="T495" i="3"/>
  <c r="AG495" i="3" l="1"/>
  <c r="U494" i="3"/>
  <c r="D495" i="3" s="1"/>
  <c r="AH495" i="3"/>
  <c r="Y493" i="3"/>
  <c r="E495" i="3" l="1"/>
  <c r="H495" i="3" s="1"/>
  <c r="K495" i="3" s="1"/>
  <c r="AE495" i="3" s="1"/>
  <c r="G495" i="3"/>
  <c r="F495" i="3" l="1"/>
  <c r="V495" i="3"/>
  <c r="A496" i="3"/>
  <c r="B496" i="3" s="1"/>
  <c r="I495" i="3"/>
  <c r="J495" i="3"/>
  <c r="AD495" i="3" s="1"/>
  <c r="M495" i="3"/>
  <c r="N495" i="3" s="1"/>
  <c r="W495" i="3" l="1"/>
  <c r="L495" i="3"/>
  <c r="AA496" i="3"/>
  <c r="P496" i="3"/>
  <c r="Q496" i="3" s="1"/>
  <c r="R496" i="3" s="1"/>
  <c r="S496" i="3" s="1"/>
  <c r="Z496" i="3"/>
  <c r="AC496" i="3"/>
  <c r="U495" i="3" l="1"/>
  <c r="Y494" i="3"/>
  <c r="T496" i="3"/>
  <c r="AH496" i="3" s="1"/>
  <c r="D496" i="3" l="1"/>
  <c r="G496" i="3" s="1"/>
  <c r="AG496" i="3"/>
  <c r="E496" i="3"/>
  <c r="H496" i="3" s="1"/>
  <c r="K496" i="3" s="1"/>
  <c r="AE496" i="3" s="1"/>
  <c r="F496" i="3" l="1"/>
  <c r="V496" i="3"/>
  <c r="A497" i="3"/>
  <c r="B497" i="3" s="1"/>
  <c r="I496" i="3"/>
  <c r="J496" i="3"/>
  <c r="AD496" i="3" s="1"/>
  <c r="M496" i="3"/>
  <c r="N496" i="3" s="1"/>
  <c r="W496" i="3" l="1"/>
  <c r="L496" i="3"/>
  <c r="P497" i="3"/>
  <c r="Q497" i="3" s="1"/>
  <c r="R497" i="3" s="1"/>
  <c r="S497" i="3" s="1"/>
  <c r="AC497" i="3"/>
  <c r="AA497" i="3"/>
  <c r="Z497" i="3"/>
  <c r="U496" i="3" l="1"/>
  <c r="Y495" i="3"/>
  <c r="T497" i="3"/>
  <c r="AG497" i="3" s="1"/>
  <c r="E497" i="3" l="1"/>
  <c r="H497" i="3" s="1"/>
  <c r="D497" i="3"/>
  <c r="AH497" i="3"/>
  <c r="F497" i="3" l="1"/>
  <c r="G497" i="3"/>
  <c r="K497" i="3"/>
  <c r="AE497" i="3" s="1"/>
  <c r="I497" i="3" l="1"/>
  <c r="J497" i="3"/>
  <c r="AD497" i="3" s="1"/>
  <c r="M497" i="3"/>
  <c r="N497" i="3" s="1"/>
  <c r="V497" i="3"/>
  <c r="A498" i="3"/>
  <c r="B498" i="3" s="1"/>
  <c r="W497" i="3" l="1"/>
  <c r="L497" i="3"/>
  <c r="Z498" i="3"/>
  <c r="AC498" i="3"/>
  <c r="AA498" i="3"/>
  <c r="P498" i="3"/>
  <c r="Q498" i="3" s="1"/>
  <c r="R498" i="3" s="1"/>
  <c r="S498" i="3" s="1"/>
  <c r="U497" i="3" l="1"/>
  <c r="Y496" i="3"/>
  <c r="T498" i="3"/>
  <c r="AH498" i="3" s="1"/>
  <c r="AG498" i="3" l="1"/>
  <c r="D498" i="3"/>
  <c r="E498" i="3"/>
  <c r="H498" i="3" s="1"/>
  <c r="F498" i="3" l="1"/>
  <c r="G498" i="3"/>
  <c r="K498" i="3"/>
  <c r="AE498" i="3" s="1"/>
  <c r="I498" i="3" l="1"/>
  <c r="J498" i="3"/>
  <c r="AD498" i="3" s="1"/>
  <c r="M498" i="3"/>
  <c r="N498" i="3" s="1"/>
  <c r="V498" i="3"/>
  <c r="A499" i="3"/>
  <c r="B499" i="3" s="1"/>
  <c r="W498" i="3" l="1"/>
  <c r="L498" i="3"/>
  <c r="AC499" i="3"/>
  <c r="P499" i="3"/>
  <c r="Q499" i="3" s="1"/>
  <c r="R499" i="3" s="1"/>
  <c r="S499" i="3" s="1"/>
  <c r="AA499" i="3"/>
  <c r="Z499" i="3"/>
  <c r="T499" i="3" l="1"/>
  <c r="U498" i="3"/>
  <c r="Y497" i="3"/>
  <c r="D499" i="3" l="1"/>
  <c r="G499" i="3" s="1"/>
  <c r="AH499" i="3"/>
  <c r="E499" i="3"/>
  <c r="H499" i="3" s="1"/>
  <c r="AG499" i="3"/>
  <c r="F499" i="3" l="1"/>
  <c r="I499" i="3"/>
  <c r="J499" i="3"/>
  <c r="AD499" i="3" s="1"/>
  <c r="M499" i="3"/>
  <c r="N499" i="3" s="1"/>
  <c r="K499" i="3"/>
  <c r="AE499" i="3" s="1"/>
  <c r="V499" i="3" l="1"/>
  <c r="W499" i="3" s="1"/>
  <c r="A500" i="3"/>
  <c r="B500" i="3" s="1"/>
  <c r="L499" i="3"/>
  <c r="U499" i="3" l="1"/>
  <c r="Y498" i="3"/>
  <c r="AA500" i="3"/>
  <c r="AC500" i="3"/>
  <c r="P500" i="3"/>
  <c r="Q500" i="3" s="1"/>
  <c r="R500" i="3" s="1"/>
  <c r="S500" i="3" s="1"/>
  <c r="Z500" i="3"/>
  <c r="T500" i="3" l="1"/>
  <c r="AH500" i="3" s="1"/>
  <c r="D500" i="3" l="1"/>
  <c r="AG500" i="3"/>
  <c r="E500" i="3"/>
  <c r="H500" i="3" s="1"/>
  <c r="F500" i="3" l="1"/>
  <c r="G500" i="3"/>
  <c r="K500" i="3"/>
  <c r="AE500" i="3" s="1"/>
  <c r="I500" i="3" l="1"/>
  <c r="J500" i="3"/>
  <c r="AD500" i="3" s="1"/>
  <c r="M500" i="3"/>
  <c r="N500" i="3" s="1"/>
  <c r="V500" i="3"/>
  <c r="A501" i="3"/>
  <c r="B501" i="3" s="1"/>
  <c r="W500" i="3" l="1"/>
  <c r="L500" i="3"/>
  <c r="P501" i="3"/>
  <c r="Q501" i="3" s="1"/>
  <c r="R501" i="3" s="1"/>
  <c r="S501" i="3" s="1"/>
  <c r="AC501" i="3"/>
  <c r="Z501" i="3"/>
  <c r="AA501" i="3"/>
  <c r="U500" i="3" l="1"/>
  <c r="Y499" i="3"/>
  <c r="T501" i="3"/>
  <c r="D501" i="3" l="1"/>
  <c r="G501" i="3" s="1"/>
  <c r="E501" i="3"/>
  <c r="H501" i="3" s="1"/>
  <c r="K501" i="3" s="1"/>
  <c r="AE501" i="3" s="1"/>
  <c r="AG501" i="3"/>
  <c r="AH501" i="3"/>
  <c r="F501" i="3" l="1"/>
  <c r="I501" i="3"/>
  <c r="J501" i="3"/>
  <c r="AD501" i="3" s="1"/>
  <c r="M501" i="3"/>
  <c r="N501" i="3" s="1"/>
  <c r="V501" i="3"/>
  <c r="A502" i="3"/>
  <c r="B502" i="3" s="1"/>
  <c r="L501" i="3" l="1"/>
  <c r="W501" i="3"/>
  <c r="Z502" i="3"/>
  <c r="AA502" i="3"/>
  <c r="AC502" i="3"/>
  <c r="P502" i="3"/>
  <c r="Q502" i="3" s="1"/>
  <c r="R502" i="3" s="1"/>
  <c r="S502" i="3" s="1"/>
  <c r="U501" i="3" l="1"/>
  <c r="Y500" i="3"/>
  <c r="T502" i="3"/>
  <c r="E502" i="3" l="1"/>
  <c r="H502" i="3" s="1"/>
  <c r="K502" i="3" s="1"/>
  <c r="AE502" i="3" s="1"/>
  <c r="AG502" i="3"/>
  <c r="D502" i="3"/>
  <c r="AH502" i="3"/>
  <c r="F502" i="3" l="1"/>
  <c r="G502" i="3"/>
  <c r="V502" i="3"/>
  <c r="A503" i="3"/>
  <c r="B503" i="3" s="1"/>
  <c r="I502" i="3" l="1"/>
  <c r="W502" i="3" s="1"/>
  <c r="J502" i="3"/>
  <c r="AD502" i="3" s="1"/>
  <c r="M502" i="3"/>
  <c r="N502" i="3" s="1"/>
  <c r="AA503" i="3"/>
  <c r="P503" i="3"/>
  <c r="Q503" i="3" s="1"/>
  <c r="R503" i="3" s="1"/>
  <c r="S503" i="3" s="1"/>
  <c r="AC503" i="3"/>
  <c r="Z503" i="3"/>
  <c r="T503" i="3" l="1"/>
  <c r="L502" i="3"/>
  <c r="AG503" i="3" l="1"/>
  <c r="AH503" i="3"/>
  <c r="U502" i="3"/>
  <c r="E503" i="3" s="1"/>
  <c r="H503" i="3" s="1"/>
  <c r="Y501" i="3"/>
  <c r="D503" i="3" l="1"/>
  <c r="G503" i="3" s="1"/>
  <c r="K503" i="3"/>
  <c r="AE503" i="3" s="1"/>
  <c r="F503" i="3" l="1"/>
  <c r="V503" i="3"/>
  <c r="A504" i="3"/>
  <c r="B504" i="3" s="1"/>
  <c r="I503" i="3"/>
  <c r="J503" i="3"/>
  <c r="AD503" i="3" s="1"/>
  <c r="M503" i="3"/>
  <c r="N503" i="3" s="1"/>
  <c r="W503" i="3" l="1"/>
  <c r="L503" i="3"/>
  <c r="P504" i="3"/>
  <c r="Q504" i="3" s="1"/>
  <c r="R504" i="3" s="1"/>
  <c r="S504" i="3" s="1"/>
  <c r="Z504" i="3"/>
  <c r="AA504" i="3"/>
  <c r="AC504" i="3"/>
  <c r="U503" i="3" l="1"/>
  <c r="Y502" i="3"/>
  <c r="T504" i="3"/>
  <c r="AG504" i="3" s="1"/>
  <c r="E504" i="3" l="1"/>
  <c r="H504" i="3" s="1"/>
  <c r="K504" i="3" s="1"/>
  <c r="AE504" i="3" s="1"/>
  <c r="D504" i="3"/>
  <c r="AH504" i="3"/>
  <c r="F504" i="3" l="1"/>
  <c r="G504" i="3"/>
  <c r="I504" i="3" s="1"/>
  <c r="V504" i="3"/>
  <c r="A505" i="3"/>
  <c r="B505" i="3" s="1"/>
  <c r="J504" i="3" l="1"/>
  <c r="W504" i="3"/>
  <c r="M504" i="3"/>
  <c r="N504" i="3" s="1"/>
  <c r="P505" i="3"/>
  <c r="Q505" i="3" s="1"/>
  <c r="R505" i="3" s="1"/>
  <c r="S505" i="3" s="1"/>
  <c r="AC505" i="3"/>
  <c r="Z505" i="3"/>
  <c r="AA505" i="3"/>
  <c r="L504" i="3" l="1"/>
  <c r="Y503" i="3" s="1"/>
  <c r="AD504" i="3"/>
  <c r="T505" i="3"/>
  <c r="AH505" i="3" l="1"/>
  <c r="U504" i="3"/>
  <c r="D505" i="3" s="1"/>
  <c r="G505" i="3" s="1"/>
  <c r="AG505" i="3"/>
  <c r="E505" i="3" l="1"/>
  <c r="H505" i="3" s="1"/>
  <c r="K505" i="3" s="1"/>
  <c r="AE505" i="3" s="1"/>
  <c r="J505" i="3"/>
  <c r="AD505" i="3" s="1"/>
  <c r="I505" i="3" l="1"/>
  <c r="F505" i="3"/>
  <c r="V505" i="3"/>
  <c r="M505" i="3"/>
  <c r="N505" i="3" s="1"/>
  <c r="A506" i="3"/>
  <c r="B506" i="3" s="1"/>
  <c r="P506" i="3" s="1"/>
  <c r="Q506" i="3" s="1"/>
  <c r="R506" i="3" s="1"/>
  <c r="S506" i="3" s="1"/>
  <c r="L505" i="3"/>
  <c r="W505" i="3" l="1"/>
  <c r="AA506" i="3"/>
  <c r="AC506" i="3"/>
  <c r="Z506" i="3"/>
  <c r="U505" i="3"/>
  <c r="Y504" i="3"/>
  <c r="T506" i="3"/>
  <c r="AG506" i="3" l="1"/>
  <c r="D506" i="3"/>
  <c r="G506" i="3" s="1"/>
  <c r="AH506" i="3"/>
  <c r="E506" i="3"/>
  <c r="H506" i="3" s="1"/>
  <c r="K506" i="3" s="1"/>
  <c r="AE506" i="3" s="1"/>
  <c r="F506" i="3" l="1"/>
  <c r="I506" i="3"/>
  <c r="J506" i="3"/>
  <c r="AD506" i="3" s="1"/>
  <c r="M506" i="3"/>
  <c r="N506" i="3" s="1"/>
  <c r="V506" i="3"/>
  <c r="A507" i="3"/>
  <c r="B507" i="3" s="1"/>
  <c r="W506" i="3" l="1"/>
  <c r="L506" i="3"/>
  <c r="AC507" i="3"/>
  <c r="P507" i="3"/>
  <c r="Q507" i="3" s="1"/>
  <c r="R507" i="3" s="1"/>
  <c r="S507" i="3" s="1"/>
  <c r="AA507" i="3"/>
  <c r="Z507" i="3"/>
  <c r="U506" i="3" l="1"/>
  <c r="Y505" i="3"/>
  <c r="T507" i="3"/>
  <c r="AH507" i="3" s="1"/>
  <c r="AG507" i="3" l="1"/>
  <c r="E507" i="3"/>
  <c r="H507" i="3" s="1"/>
  <c r="D507" i="3"/>
  <c r="K507" i="3" l="1"/>
  <c r="AE507" i="3" s="1"/>
  <c r="F507" i="3"/>
  <c r="G507" i="3"/>
  <c r="I507" i="3" l="1"/>
  <c r="J507" i="3"/>
  <c r="AD507" i="3" s="1"/>
  <c r="M507" i="3"/>
  <c r="N507" i="3" s="1"/>
  <c r="V507" i="3"/>
  <c r="A508" i="3"/>
  <c r="B508" i="3" s="1"/>
  <c r="W507" i="3" l="1"/>
  <c r="L507" i="3"/>
  <c r="P508" i="3"/>
  <c r="Q508" i="3" s="1"/>
  <c r="R508" i="3" s="1"/>
  <c r="S508" i="3" s="1"/>
  <c r="AA508" i="3"/>
  <c r="Z508" i="3"/>
  <c r="AC508" i="3"/>
  <c r="U507" i="3" l="1"/>
  <c r="Y506" i="3"/>
  <c r="T508" i="3"/>
  <c r="E508" i="3" l="1"/>
  <c r="H508" i="3" s="1"/>
  <c r="K508" i="3" s="1"/>
  <c r="AE508" i="3" s="1"/>
  <c r="AH508" i="3"/>
  <c r="D508" i="3"/>
  <c r="AG508" i="3"/>
  <c r="F508" i="3" l="1"/>
  <c r="G508" i="3"/>
  <c r="V508" i="3"/>
  <c r="A509" i="3"/>
  <c r="B509" i="3" s="1"/>
  <c r="AC509" i="3" l="1"/>
  <c r="Z509" i="3"/>
  <c r="AA509" i="3"/>
  <c r="P509" i="3"/>
  <c r="Q509" i="3" s="1"/>
  <c r="R509" i="3" s="1"/>
  <c r="S509" i="3" s="1"/>
  <c r="I508" i="3"/>
  <c r="W508" i="3" s="1"/>
  <c r="J508" i="3"/>
  <c r="AD508" i="3" s="1"/>
  <c r="M508" i="3"/>
  <c r="N508" i="3" s="1"/>
  <c r="L508" i="3" l="1"/>
  <c r="T509" i="3"/>
  <c r="AG509" i="3" l="1"/>
  <c r="AH509" i="3"/>
  <c r="U508" i="3"/>
  <c r="D509" i="3" s="1"/>
  <c r="Y507" i="3"/>
  <c r="G509" i="3" l="1"/>
  <c r="E509" i="3"/>
  <c r="H509" i="3" s="1"/>
  <c r="F509" i="3" l="1"/>
  <c r="I509" i="3"/>
  <c r="J509" i="3"/>
  <c r="AD509" i="3" s="1"/>
  <c r="M509" i="3"/>
  <c r="N509" i="3" s="1"/>
  <c r="K509" i="3"/>
  <c r="AE509" i="3" s="1"/>
  <c r="V509" i="3" l="1"/>
  <c r="W509" i="3" s="1"/>
  <c r="A510" i="3"/>
  <c r="B510" i="3" s="1"/>
  <c r="L509" i="3"/>
  <c r="U509" i="3" l="1"/>
  <c r="Y508" i="3"/>
  <c r="AC510" i="3"/>
  <c r="Z510" i="3"/>
  <c r="AA510" i="3"/>
  <c r="P510" i="3"/>
  <c r="Q510" i="3" s="1"/>
  <c r="R510" i="3" s="1"/>
  <c r="S510" i="3" s="1"/>
  <c r="T510" i="3" l="1"/>
  <c r="AH510" i="3" l="1"/>
  <c r="E510" i="3"/>
  <c r="H510" i="3" s="1"/>
  <c r="D510" i="3"/>
  <c r="AG510" i="3"/>
  <c r="F510" i="3" l="1"/>
  <c r="G510" i="3"/>
  <c r="K510" i="3"/>
  <c r="AE510" i="3" s="1"/>
  <c r="V510" i="3" l="1"/>
  <c r="A511" i="3"/>
  <c r="B511" i="3" s="1"/>
  <c r="I510" i="3"/>
  <c r="J510" i="3"/>
  <c r="AD510" i="3" s="1"/>
  <c r="M510" i="3"/>
  <c r="N510" i="3" s="1"/>
  <c r="L510" i="3" l="1"/>
  <c r="AA511" i="3"/>
  <c r="AC511" i="3"/>
  <c r="P511" i="3"/>
  <c r="Q511" i="3" s="1"/>
  <c r="R511" i="3" s="1"/>
  <c r="S511" i="3" s="1"/>
  <c r="Z511" i="3"/>
  <c r="W510" i="3"/>
  <c r="U510" i="3" l="1"/>
  <c r="Y509" i="3"/>
  <c r="T511" i="3"/>
  <c r="AG511" i="3" s="1"/>
  <c r="AH511" i="3" l="1"/>
  <c r="D511" i="3"/>
  <c r="E511" i="3"/>
  <c r="H511" i="3" s="1"/>
  <c r="F511" i="3" l="1"/>
  <c r="G511" i="3"/>
  <c r="K511" i="3"/>
  <c r="AE511" i="3" s="1"/>
  <c r="V511" i="3" l="1"/>
  <c r="A512" i="3"/>
  <c r="B512" i="3" s="1"/>
  <c r="I511" i="3"/>
  <c r="J511" i="3"/>
  <c r="AD511" i="3" s="1"/>
  <c r="M511" i="3"/>
  <c r="N511" i="3" s="1"/>
  <c r="W511" i="3" l="1"/>
  <c r="L511" i="3"/>
  <c r="AC512" i="3"/>
  <c r="Z512" i="3"/>
  <c r="AA512" i="3"/>
  <c r="P512" i="3"/>
  <c r="Q512" i="3" s="1"/>
  <c r="R512" i="3" s="1"/>
  <c r="S512" i="3" s="1"/>
  <c r="T512" i="3" l="1"/>
  <c r="U511" i="3"/>
  <c r="Y510" i="3"/>
  <c r="D512" i="3" l="1"/>
  <c r="G512" i="3" s="1"/>
  <c r="AH512" i="3"/>
  <c r="E512" i="3"/>
  <c r="H512" i="3" s="1"/>
  <c r="K512" i="3" s="1"/>
  <c r="AE512" i="3" s="1"/>
  <c r="AG512" i="3"/>
  <c r="F512" i="3" l="1"/>
  <c r="I512" i="3"/>
  <c r="J512" i="3"/>
  <c r="AD512" i="3" s="1"/>
  <c r="M512" i="3"/>
  <c r="N512" i="3" s="1"/>
  <c r="V512" i="3"/>
  <c r="A513" i="3"/>
  <c r="B513" i="3" s="1"/>
  <c r="W512" i="3" l="1"/>
  <c r="L512" i="3"/>
  <c r="AA513" i="3"/>
  <c r="P513" i="3"/>
  <c r="Q513" i="3" s="1"/>
  <c r="R513" i="3" s="1"/>
  <c r="S513" i="3" s="1"/>
  <c r="AC513" i="3"/>
  <c r="Z513" i="3"/>
  <c r="T513" i="3" l="1"/>
  <c r="AG513" i="3" s="1"/>
  <c r="U512" i="3"/>
  <c r="Y511" i="3"/>
  <c r="AH513" i="3" l="1"/>
  <c r="E513" i="3"/>
  <c r="H513" i="3" s="1"/>
  <c r="D513" i="3"/>
  <c r="F513" i="3" l="1"/>
  <c r="G513" i="3"/>
  <c r="K513" i="3"/>
  <c r="AE513" i="3" s="1"/>
  <c r="V513" i="3" l="1"/>
  <c r="A514" i="3"/>
  <c r="B514" i="3" s="1"/>
  <c r="I513" i="3"/>
  <c r="J513" i="3"/>
  <c r="AD513" i="3" s="1"/>
  <c r="M513" i="3"/>
  <c r="N513" i="3" s="1"/>
  <c r="L513" i="3" l="1"/>
  <c r="Z514" i="3"/>
  <c r="AA514" i="3"/>
  <c r="AC514" i="3"/>
  <c r="P514" i="3"/>
  <c r="Q514" i="3" s="1"/>
  <c r="R514" i="3" s="1"/>
  <c r="S514" i="3" s="1"/>
  <c r="W513" i="3"/>
  <c r="T514" i="3" l="1"/>
  <c r="AH514" i="3" s="1"/>
  <c r="U513" i="3"/>
  <c r="Y512" i="3"/>
  <c r="AG514" i="3" l="1"/>
  <c r="E514" i="3"/>
  <c r="H514" i="3" s="1"/>
  <c r="D514" i="3"/>
  <c r="K514" i="3" l="1"/>
  <c r="AE514" i="3" s="1"/>
  <c r="F514" i="3"/>
  <c r="G514" i="3"/>
  <c r="V514" i="3" l="1"/>
  <c r="A515" i="3"/>
  <c r="B515" i="3" s="1"/>
  <c r="I514" i="3"/>
  <c r="J514" i="3"/>
  <c r="AD514" i="3" s="1"/>
  <c r="M514" i="3"/>
  <c r="N514" i="3" s="1"/>
  <c r="W514" i="3" l="1"/>
  <c r="L514" i="3"/>
  <c r="P515" i="3"/>
  <c r="Q515" i="3" s="1"/>
  <c r="R515" i="3" s="1"/>
  <c r="S515" i="3" s="1"/>
  <c r="AC515" i="3"/>
  <c r="Z515" i="3"/>
  <c r="AA515" i="3"/>
  <c r="U514" i="3" l="1"/>
  <c r="Y513" i="3"/>
  <c r="T515" i="3"/>
  <c r="D515" i="3" l="1"/>
  <c r="G515" i="3" s="1"/>
  <c r="AG515" i="3"/>
  <c r="AH515" i="3"/>
  <c r="E515" i="3"/>
  <c r="H515" i="3" s="1"/>
  <c r="K515" i="3" l="1"/>
  <c r="AE515" i="3" s="1"/>
  <c r="I515" i="3"/>
  <c r="J515" i="3"/>
  <c r="AD515" i="3" s="1"/>
  <c r="M515" i="3"/>
  <c r="N515" i="3" s="1"/>
  <c r="F515" i="3"/>
  <c r="L515" i="3" l="1"/>
  <c r="V515" i="3"/>
  <c r="W515" i="3" s="1"/>
  <c r="A516" i="3"/>
  <c r="B516" i="3" s="1"/>
  <c r="U515" i="3" l="1"/>
  <c r="Y514" i="3"/>
  <c r="AA516" i="3"/>
  <c r="Z516" i="3"/>
  <c r="AC516" i="3"/>
  <c r="P516" i="3"/>
  <c r="Q516" i="3" s="1"/>
  <c r="R516" i="3" s="1"/>
  <c r="S516" i="3" s="1"/>
  <c r="T516" i="3" l="1"/>
  <c r="AG516" i="3" s="1"/>
  <c r="D516" i="3" l="1"/>
  <c r="AH516" i="3"/>
  <c r="E516" i="3"/>
  <c r="H516" i="3" s="1"/>
  <c r="F516" i="3" l="1"/>
  <c r="G516" i="3"/>
  <c r="K516" i="3"/>
  <c r="AE516" i="3" s="1"/>
  <c r="I516" i="3" l="1"/>
  <c r="J516" i="3"/>
  <c r="AD516" i="3" s="1"/>
  <c r="M516" i="3"/>
  <c r="N516" i="3" s="1"/>
  <c r="V516" i="3"/>
  <c r="A517" i="3"/>
  <c r="B517" i="3" s="1"/>
  <c r="W516" i="3" l="1"/>
  <c r="L516" i="3"/>
  <c r="AC517" i="3"/>
  <c r="P517" i="3"/>
  <c r="Q517" i="3" s="1"/>
  <c r="R517" i="3" s="1"/>
  <c r="S517" i="3" s="1"/>
  <c r="AA517" i="3"/>
  <c r="Z517" i="3"/>
  <c r="U516" i="3" l="1"/>
  <c r="Y515" i="3"/>
  <c r="T517" i="3"/>
  <c r="AG517" i="3" s="1"/>
  <c r="D517" i="3" l="1"/>
  <c r="G517" i="3" s="1"/>
  <c r="AH517" i="3"/>
  <c r="E517" i="3"/>
  <c r="H517" i="3" s="1"/>
  <c r="K517" i="3" s="1"/>
  <c r="AE517" i="3" s="1"/>
  <c r="F517" i="3" l="1"/>
  <c r="I517" i="3"/>
  <c r="J517" i="3"/>
  <c r="AD517" i="3" s="1"/>
  <c r="M517" i="3"/>
  <c r="N517" i="3" s="1"/>
  <c r="V517" i="3"/>
  <c r="A518" i="3"/>
  <c r="B518" i="3" s="1"/>
  <c r="W517" i="3" l="1"/>
  <c r="L517" i="3"/>
  <c r="AA518" i="3"/>
  <c r="AC518" i="3"/>
  <c r="Z518" i="3"/>
  <c r="P518" i="3"/>
  <c r="Q518" i="3" s="1"/>
  <c r="R518" i="3" s="1"/>
  <c r="S518" i="3" s="1"/>
  <c r="U517" i="3" l="1"/>
  <c r="Y516" i="3"/>
  <c r="T518" i="3"/>
  <c r="D518" i="3" l="1"/>
  <c r="G518" i="3" s="1"/>
  <c r="E518" i="3"/>
  <c r="H518" i="3" s="1"/>
  <c r="AH518" i="3"/>
  <c r="AG518" i="3"/>
  <c r="F518" i="3" l="1"/>
  <c r="I518" i="3"/>
  <c r="J518" i="3"/>
  <c r="AD518" i="3" s="1"/>
  <c r="M518" i="3"/>
  <c r="N518" i="3" s="1"/>
  <c r="K518" i="3"/>
  <c r="AE518" i="3" s="1"/>
  <c r="V518" i="3" l="1"/>
  <c r="W518" i="3" s="1"/>
  <c r="A519" i="3"/>
  <c r="B519" i="3" s="1"/>
  <c r="L518" i="3"/>
  <c r="U518" i="3" l="1"/>
  <c r="Y517" i="3"/>
  <c r="AA519" i="3"/>
  <c r="Z519" i="3"/>
  <c r="AC519" i="3"/>
  <c r="P519" i="3"/>
  <c r="Q519" i="3" s="1"/>
  <c r="R519" i="3" s="1"/>
  <c r="S519" i="3" s="1"/>
  <c r="T519" i="3" l="1"/>
  <c r="D519" i="3" s="1"/>
  <c r="AG519" i="3" l="1"/>
  <c r="G519" i="3"/>
  <c r="AH519" i="3"/>
  <c r="E519" i="3"/>
  <c r="H519" i="3" s="1"/>
  <c r="F519" i="3" l="1"/>
  <c r="I519" i="3"/>
  <c r="J519" i="3"/>
  <c r="AD519" i="3" s="1"/>
  <c r="M519" i="3"/>
  <c r="N519" i="3" s="1"/>
  <c r="K519" i="3"/>
  <c r="AE519" i="3" s="1"/>
  <c r="V519" i="3" l="1"/>
  <c r="W519" i="3" s="1"/>
  <c r="A520" i="3"/>
  <c r="B520" i="3" s="1"/>
  <c r="L519" i="3"/>
  <c r="U519" i="3" l="1"/>
  <c r="Y518" i="3"/>
  <c r="AA520" i="3"/>
  <c r="AC520" i="3"/>
  <c r="Z520" i="3"/>
  <c r="P520" i="3"/>
  <c r="Q520" i="3" s="1"/>
  <c r="R520" i="3" s="1"/>
  <c r="S520" i="3" s="1"/>
  <c r="T520" i="3" l="1"/>
  <c r="D520" i="3" s="1"/>
  <c r="AG520" i="3" l="1"/>
  <c r="E520" i="3"/>
  <c r="H520" i="3" s="1"/>
  <c r="K520" i="3" s="1"/>
  <c r="AE520" i="3" s="1"/>
  <c r="AH520" i="3"/>
  <c r="G520" i="3"/>
  <c r="F520" i="3" l="1"/>
  <c r="I520" i="3"/>
  <c r="J520" i="3"/>
  <c r="AD520" i="3" s="1"/>
  <c r="M520" i="3"/>
  <c r="N520" i="3" s="1"/>
  <c r="V520" i="3"/>
  <c r="A521" i="3"/>
  <c r="B521" i="3" s="1"/>
  <c r="W520" i="3" l="1"/>
  <c r="L520" i="3"/>
  <c r="P521" i="3"/>
  <c r="Q521" i="3" s="1"/>
  <c r="R521" i="3" s="1"/>
  <c r="S521" i="3" s="1"/>
  <c r="AC521" i="3"/>
  <c r="AA521" i="3"/>
  <c r="Z521" i="3"/>
  <c r="U520" i="3" l="1"/>
  <c r="Y519" i="3"/>
  <c r="T521" i="3"/>
  <c r="AH521" i="3" s="1"/>
  <c r="AG521" i="3" l="1"/>
  <c r="D521" i="3"/>
  <c r="E521" i="3"/>
  <c r="H521" i="3" s="1"/>
  <c r="K521" i="3" s="1"/>
  <c r="AE521" i="3" s="1"/>
  <c r="F521" i="3" l="1"/>
  <c r="G521" i="3"/>
  <c r="I521" i="3" s="1"/>
  <c r="V521" i="3"/>
  <c r="A522" i="3"/>
  <c r="B522" i="3" s="1"/>
  <c r="M521" i="3" l="1"/>
  <c r="N521" i="3" s="1"/>
  <c r="J521" i="3"/>
  <c r="W521" i="3"/>
  <c r="AC522" i="3"/>
  <c r="P522" i="3"/>
  <c r="Q522" i="3" s="1"/>
  <c r="R522" i="3" s="1"/>
  <c r="S522" i="3" s="1"/>
  <c r="AA522" i="3"/>
  <c r="Z522" i="3"/>
  <c r="L521" i="3" l="1"/>
  <c r="U521" i="3" s="1"/>
  <c r="AD521" i="3"/>
  <c r="T522" i="3"/>
  <c r="AG522" i="3" l="1"/>
  <c r="Y520" i="3"/>
  <c r="AH522" i="3"/>
  <c r="E522" i="3"/>
  <c r="H522" i="3" s="1"/>
  <c r="D522" i="3"/>
  <c r="K522" i="3" l="1"/>
  <c r="AE522" i="3" s="1"/>
  <c r="F522" i="3"/>
  <c r="G522" i="3"/>
  <c r="I522" i="3" l="1"/>
  <c r="J522" i="3"/>
  <c r="AD522" i="3" s="1"/>
  <c r="M522" i="3"/>
  <c r="N522" i="3" s="1"/>
  <c r="V522" i="3"/>
  <c r="A523" i="3"/>
  <c r="B523" i="3" s="1"/>
  <c r="W522" i="3" l="1"/>
  <c r="L522" i="3"/>
  <c r="AC523" i="3"/>
  <c r="Z523" i="3"/>
  <c r="AA523" i="3"/>
  <c r="P523" i="3"/>
  <c r="Q523" i="3" s="1"/>
  <c r="R523" i="3" s="1"/>
  <c r="S523" i="3" s="1"/>
  <c r="U522" i="3" l="1"/>
  <c r="Y521" i="3"/>
  <c r="T523" i="3"/>
  <c r="AG523" i="3" s="1"/>
  <c r="AH523" i="3" l="1"/>
  <c r="D523" i="3"/>
  <c r="G523" i="3" s="1"/>
  <c r="E523" i="3"/>
  <c r="H523" i="3" s="1"/>
  <c r="F523" i="3" l="1"/>
  <c r="I523" i="3"/>
  <c r="J523" i="3"/>
  <c r="AD523" i="3" s="1"/>
  <c r="M523" i="3"/>
  <c r="N523" i="3" s="1"/>
  <c r="K523" i="3"/>
  <c r="AE523" i="3" s="1"/>
  <c r="V523" i="3" l="1"/>
  <c r="W523" i="3" s="1"/>
  <c r="A524" i="3"/>
  <c r="B524" i="3" s="1"/>
  <c r="L523" i="3"/>
  <c r="U523" i="3" l="1"/>
  <c r="Y522" i="3"/>
  <c r="Z524" i="3"/>
  <c r="P524" i="3"/>
  <c r="Q524" i="3" s="1"/>
  <c r="R524" i="3" s="1"/>
  <c r="S524" i="3" s="1"/>
  <c r="AC524" i="3"/>
  <c r="AA524" i="3"/>
  <c r="T524" i="3" l="1"/>
  <c r="E524" i="3" s="1"/>
  <c r="H524" i="3" s="1"/>
  <c r="D524" i="3" l="1"/>
  <c r="G524" i="3" s="1"/>
  <c r="K524" i="3"/>
  <c r="AE524" i="3" s="1"/>
  <c r="AH524" i="3"/>
  <c r="AG524" i="3"/>
  <c r="F524" i="3" l="1"/>
  <c r="I524" i="3"/>
  <c r="J524" i="3"/>
  <c r="AD524" i="3" s="1"/>
  <c r="M524" i="3"/>
  <c r="N524" i="3" s="1"/>
  <c r="V524" i="3"/>
  <c r="A525" i="3"/>
  <c r="B525" i="3" s="1"/>
  <c r="W524" i="3" l="1"/>
  <c r="L524" i="3"/>
  <c r="AA525" i="3"/>
  <c r="AC525" i="3"/>
  <c r="AD525" i="3"/>
  <c r="Z525" i="3"/>
  <c r="P525" i="3"/>
  <c r="Q525" i="3" s="1"/>
  <c r="R525" i="3" s="1"/>
  <c r="S525" i="3" s="1"/>
  <c r="T525" i="3" l="1"/>
  <c r="AH525" i="3" s="1"/>
  <c r="U524" i="3"/>
  <c r="Y523" i="3"/>
  <c r="AG525" i="3" l="1"/>
  <c r="D525" i="3"/>
  <c r="E525" i="3"/>
  <c r="H525" i="3" s="1"/>
  <c r="F525" i="3" l="1"/>
  <c r="G525" i="3"/>
  <c r="K525" i="3"/>
  <c r="AE525" i="3" s="1"/>
  <c r="I525" i="3" l="1"/>
  <c r="J525" i="3"/>
  <c r="M525" i="3"/>
  <c r="N525" i="3" s="1"/>
  <c r="V525" i="3"/>
  <c r="A526" i="3"/>
  <c r="B526" i="3" s="1"/>
  <c r="L525" i="3" l="1"/>
  <c r="W525" i="3"/>
  <c r="AA526" i="3"/>
  <c r="P526" i="3"/>
  <c r="Q526" i="3" s="1"/>
  <c r="R526" i="3" s="1"/>
  <c r="S526" i="3" s="1"/>
  <c r="Z526" i="3"/>
  <c r="AD526" i="3"/>
  <c r="AC526" i="3"/>
  <c r="T526" i="3" l="1"/>
  <c r="U525" i="3"/>
  <c r="Y524" i="3"/>
  <c r="D526" i="3" l="1"/>
  <c r="G526" i="3" s="1"/>
  <c r="AH526" i="3"/>
  <c r="E526" i="3"/>
  <c r="H526" i="3" s="1"/>
  <c r="K526" i="3" s="1"/>
  <c r="AE526" i="3" s="1"/>
  <c r="AG526" i="3"/>
  <c r="F526" i="3" l="1"/>
  <c r="V526" i="3"/>
  <c r="A527" i="3"/>
  <c r="B527" i="3" s="1"/>
  <c r="I526" i="3"/>
  <c r="J526" i="3"/>
  <c r="M526" i="3"/>
  <c r="N526" i="3" s="1"/>
  <c r="W526" i="3" l="1"/>
  <c r="L526" i="3"/>
  <c r="Z527" i="3"/>
  <c r="AC527" i="3"/>
  <c r="P527" i="3"/>
  <c r="Q527" i="3" s="1"/>
  <c r="R527" i="3" s="1"/>
  <c r="S527" i="3" s="1"/>
  <c r="AA527" i="3"/>
  <c r="U526" i="3" l="1"/>
  <c r="Y525" i="3"/>
  <c r="T527" i="3"/>
  <c r="D527" i="3" l="1"/>
  <c r="G527" i="3" s="1"/>
  <c r="E527" i="3"/>
  <c r="H527" i="3" s="1"/>
  <c r="AG527" i="3"/>
  <c r="AH527" i="3"/>
  <c r="F527" i="3" l="1"/>
  <c r="I527" i="3"/>
  <c r="J527" i="3"/>
  <c r="AD527" i="3" s="1"/>
  <c r="M527" i="3"/>
  <c r="N527" i="3" s="1"/>
  <c r="K527" i="3"/>
  <c r="AE527" i="3" s="1"/>
  <c r="V527" i="3" l="1"/>
  <c r="W527" i="3" s="1"/>
  <c r="A528" i="3"/>
  <c r="B528" i="3" s="1"/>
  <c r="L527" i="3"/>
  <c r="U527" i="3" l="1"/>
  <c r="Y526" i="3"/>
  <c r="Z528" i="3"/>
  <c r="P528" i="3"/>
  <c r="Q528" i="3" s="1"/>
  <c r="R528" i="3" s="1"/>
  <c r="S528" i="3" s="1"/>
  <c r="AC528" i="3"/>
  <c r="AA528" i="3"/>
  <c r="T528" i="3" l="1"/>
  <c r="AH528" i="3" s="1"/>
  <c r="D528" i="3" l="1"/>
  <c r="E528" i="3"/>
  <c r="H528" i="3" s="1"/>
  <c r="K528" i="3" s="1"/>
  <c r="AE528" i="3" s="1"/>
  <c r="AG528" i="3"/>
  <c r="F528" i="3" l="1"/>
  <c r="G528" i="3"/>
  <c r="M528" i="3" s="1"/>
  <c r="N528" i="3" s="1"/>
  <c r="V528" i="3"/>
  <c r="A529" i="3"/>
  <c r="B529" i="3" s="1"/>
  <c r="I528" i="3" l="1"/>
  <c r="W528" i="3" s="1"/>
  <c r="J528" i="3"/>
  <c r="Z529" i="3"/>
  <c r="AC529" i="3"/>
  <c r="AD529" i="3"/>
  <c r="P529" i="3"/>
  <c r="Q529" i="3" s="1"/>
  <c r="R529" i="3" s="1"/>
  <c r="S529" i="3" s="1"/>
  <c r="AA529" i="3"/>
  <c r="L528" i="3" l="1"/>
  <c r="Y527" i="3" s="1"/>
  <c r="AD528" i="3"/>
  <c r="T529" i="3"/>
  <c r="AG529" i="3" l="1"/>
  <c r="U528" i="3"/>
  <c r="D529" i="3" s="1"/>
  <c r="G529" i="3" s="1"/>
  <c r="AH529" i="3"/>
  <c r="E529" i="3" l="1"/>
  <c r="H529" i="3" s="1"/>
  <c r="K529" i="3" s="1"/>
  <c r="AE529" i="3" s="1"/>
  <c r="J529" i="3"/>
  <c r="A530" i="3" l="1"/>
  <c r="B530" i="3" s="1"/>
  <c r="P530" i="3" s="1"/>
  <c r="Q530" i="3" s="1"/>
  <c r="R530" i="3" s="1"/>
  <c r="S530" i="3" s="1"/>
  <c r="V529" i="3"/>
  <c r="M529" i="3"/>
  <c r="N529" i="3" s="1"/>
  <c r="I529" i="3"/>
  <c r="F529" i="3"/>
  <c r="L529" i="3"/>
  <c r="AC530" i="3" l="1"/>
  <c r="AD530" i="3"/>
  <c r="Z530" i="3"/>
  <c r="AA530" i="3"/>
  <c r="W529" i="3"/>
  <c r="T530" i="3"/>
  <c r="U529" i="3"/>
  <c r="Y528" i="3"/>
  <c r="AG530" i="3" l="1"/>
  <c r="D530" i="3"/>
  <c r="G530" i="3" s="1"/>
  <c r="AH530" i="3"/>
  <c r="E530" i="3"/>
  <c r="H530" i="3" s="1"/>
  <c r="F530" i="3" l="1"/>
  <c r="I530" i="3"/>
  <c r="J530" i="3"/>
  <c r="M530" i="3"/>
  <c r="N530" i="3" s="1"/>
  <c r="K530" i="3"/>
  <c r="AE530" i="3" s="1"/>
  <c r="V530" i="3" l="1"/>
  <c r="W530" i="3" s="1"/>
  <c r="A531" i="3"/>
  <c r="B531" i="3" s="1"/>
  <c r="L530" i="3"/>
  <c r="U530" i="3" l="1"/>
  <c r="Y529" i="3"/>
  <c r="Z531" i="3"/>
  <c r="AD531" i="3"/>
  <c r="AC531" i="3"/>
  <c r="AA531" i="3"/>
  <c r="P531" i="3"/>
  <c r="Q531" i="3" s="1"/>
  <c r="R531" i="3" s="1"/>
  <c r="S531" i="3" s="1"/>
  <c r="T531" i="3" l="1"/>
  <c r="AG531" i="3" s="1"/>
  <c r="AH531" i="3" l="1"/>
  <c r="D531" i="3"/>
  <c r="E531" i="3"/>
  <c r="H531" i="3" s="1"/>
  <c r="K531" i="3" l="1"/>
  <c r="AE531" i="3" s="1"/>
  <c r="F531" i="3"/>
  <c r="G531" i="3"/>
  <c r="I531" i="3" l="1"/>
  <c r="J531" i="3"/>
  <c r="M531" i="3"/>
  <c r="N531" i="3" s="1"/>
  <c r="V531" i="3"/>
  <c r="A532" i="3"/>
  <c r="B532" i="3" s="1"/>
  <c r="W531" i="3" l="1"/>
  <c r="L531" i="3"/>
  <c r="AD532" i="3"/>
  <c r="AC532" i="3"/>
  <c r="Z532" i="3"/>
  <c r="P532" i="3"/>
  <c r="Q532" i="3" s="1"/>
  <c r="R532" i="3" s="1"/>
  <c r="S532" i="3" s="1"/>
  <c r="AA532" i="3"/>
  <c r="U531" i="3" l="1"/>
  <c r="Y530" i="3"/>
  <c r="T532" i="3"/>
  <c r="AH532" i="3" s="1"/>
  <c r="D532" i="3" l="1"/>
  <c r="G532" i="3" s="1"/>
  <c r="AG532" i="3"/>
  <c r="E532" i="3"/>
  <c r="H532" i="3" s="1"/>
  <c r="K532" i="3" s="1"/>
  <c r="AE532" i="3" s="1"/>
  <c r="F532" i="3" l="1"/>
  <c r="V532" i="3"/>
  <c r="A533" i="3"/>
  <c r="B533" i="3" s="1"/>
  <c r="I532" i="3"/>
  <c r="J532" i="3"/>
  <c r="M532" i="3"/>
  <c r="N532" i="3" s="1"/>
  <c r="W532" i="3" l="1"/>
  <c r="L532" i="3"/>
  <c r="P533" i="3"/>
  <c r="Q533" i="3" s="1"/>
  <c r="R533" i="3" s="1"/>
  <c r="S533" i="3" s="1"/>
  <c r="AD533" i="3"/>
  <c r="AA533" i="3"/>
  <c r="Z533" i="3"/>
  <c r="AC533" i="3"/>
  <c r="T533" i="3" l="1"/>
  <c r="U532" i="3"/>
  <c r="Y531" i="3"/>
  <c r="E533" i="3" l="1"/>
  <c r="H533" i="3" s="1"/>
  <c r="K533" i="3" s="1"/>
  <c r="AE533" i="3" s="1"/>
  <c r="AH533" i="3"/>
  <c r="AG533" i="3"/>
  <c r="D533" i="3"/>
  <c r="F533" i="3" l="1"/>
  <c r="G533" i="3"/>
  <c r="V533" i="3"/>
  <c r="A534" i="3"/>
  <c r="B534" i="3" s="1"/>
  <c r="Z534" i="3" l="1"/>
  <c r="AC534" i="3"/>
  <c r="AA534" i="3"/>
  <c r="P534" i="3"/>
  <c r="Q534" i="3" s="1"/>
  <c r="R534" i="3" s="1"/>
  <c r="S534" i="3" s="1"/>
  <c r="I533" i="3"/>
  <c r="W533" i="3" s="1"/>
  <c r="J533" i="3"/>
  <c r="M533" i="3"/>
  <c r="N533" i="3" s="1"/>
  <c r="L533" i="3" l="1"/>
  <c r="T534" i="3"/>
  <c r="U533" i="3" l="1"/>
  <c r="D534" i="3" s="1"/>
  <c r="AG534" i="3"/>
  <c r="AH534" i="3"/>
  <c r="Y532" i="3"/>
  <c r="E534" i="3" l="1"/>
  <c r="H534" i="3" s="1"/>
  <c r="K534" i="3" s="1"/>
  <c r="AE534" i="3" s="1"/>
  <c r="G534" i="3"/>
  <c r="F534" i="3" l="1"/>
  <c r="V534" i="3"/>
  <c r="A535" i="3"/>
  <c r="B535" i="3" s="1"/>
  <c r="I534" i="3"/>
  <c r="J534" i="3"/>
  <c r="AD534" i="3" s="1"/>
  <c r="M534" i="3"/>
  <c r="N534" i="3" s="1"/>
  <c r="W534" i="3" l="1"/>
  <c r="L534" i="3"/>
  <c r="AA535" i="3"/>
  <c r="AC535" i="3"/>
  <c r="AD535" i="3"/>
  <c r="Z535" i="3"/>
  <c r="P535" i="3"/>
  <c r="Q535" i="3" s="1"/>
  <c r="R535" i="3" s="1"/>
  <c r="S535" i="3" s="1"/>
  <c r="T535" i="3" l="1"/>
  <c r="U534" i="3"/>
  <c r="Y533" i="3"/>
  <c r="D535" i="3" l="1"/>
  <c r="G535" i="3" s="1"/>
  <c r="E535" i="3"/>
  <c r="H535" i="3" s="1"/>
  <c r="K535" i="3" s="1"/>
  <c r="AE535" i="3" s="1"/>
  <c r="AG535" i="3"/>
  <c r="AH535" i="3"/>
  <c r="F535" i="3" l="1"/>
  <c r="V535" i="3"/>
  <c r="A536" i="3"/>
  <c r="B536" i="3" s="1"/>
  <c r="I535" i="3"/>
  <c r="J535" i="3"/>
  <c r="M535" i="3"/>
  <c r="N535" i="3" s="1"/>
  <c r="W535" i="3" l="1"/>
  <c r="L535" i="3"/>
  <c r="AC536" i="3"/>
  <c r="AA536" i="3"/>
  <c r="Z536" i="3"/>
  <c r="P536" i="3"/>
  <c r="Q536" i="3" s="1"/>
  <c r="R536" i="3" s="1"/>
  <c r="S536" i="3" s="1"/>
  <c r="AD536" i="3"/>
  <c r="U535" i="3" l="1"/>
  <c r="Y534" i="3"/>
  <c r="T536" i="3"/>
  <c r="AH536" i="3" s="1"/>
  <c r="AG536" i="3" l="1"/>
  <c r="E536" i="3"/>
  <c r="H536" i="3" s="1"/>
  <c r="D536" i="3"/>
  <c r="K536" i="3" l="1"/>
  <c r="AE536" i="3" s="1"/>
  <c r="F536" i="3"/>
  <c r="G536" i="3"/>
  <c r="I536" i="3" l="1"/>
  <c r="J536" i="3"/>
  <c r="M536" i="3"/>
  <c r="N536" i="3" s="1"/>
  <c r="V536" i="3"/>
  <c r="A537" i="3"/>
  <c r="B537" i="3" s="1"/>
  <c r="W536" i="3" l="1"/>
  <c r="L536" i="3"/>
  <c r="AC537" i="3"/>
  <c r="P537" i="3"/>
  <c r="Q537" i="3" s="1"/>
  <c r="R537" i="3" s="1"/>
  <c r="S537" i="3" s="1"/>
  <c r="Z537" i="3"/>
  <c r="AA537" i="3"/>
  <c r="U536" i="3" l="1"/>
  <c r="Y535" i="3"/>
  <c r="T537" i="3"/>
  <c r="AH537" i="3" s="1"/>
  <c r="AG537" i="3" l="1"/>
  <c r="E537" i="3"/>
  <c r="H537" i="3" s="1"/>
  <c r="D537" i="3"/>
  <c r="K537" i="3" l="1"/>
  <c r="AE537" i="3" s="1"/>
  <c r="F537" i="3"/>
  <c r="G537" i="3"/>
  <c r="I537" i="3" l="1"/>
  <c r="J537" i="3"/>
  <c r="AD537" i="3" s="1"/>
  <c r="M537" i="3"/>
  <c r="N537" i="3" s="1"/>
  <c r="V537" i="3"/>
  <c r="A538" i="3"/>
  <c r="B538" i="3" s="1"/>
  <c r="W537" i="3" l="1"/>
  <c r="L537" i="3"/>
  <c r="AA538" i="3"/>
  <c r="AC538" i="3"/>
  <c r="Z538" i="3"/>
  <c r="P538" i="3"/>
  <c r="Q538" i="3" s="1"/>
  <c r="R538" i="3" s="1"/>
  <c r="S538" i="3" s="1"/>
  <c r="T538" i="3" l="1"/>
  <c r="U537" i="3"/>
  <c r="Y536" i="3"/>
  <c r="D538" i="3" l="1"/>
  <c r="G538" i="3" s="1"/>
  <c r="AH538" i="3"/>
  <c r="AG538" i="3"/>
  <c r="E538" i="3"/>
  <c r="H538" i="3" s="1"/>
  <c r="F538" i="3" l="1"/>
  <c r="I538" i="3"/>
  <c r="J538" i="3"/>
  <c r="AD538" i="3" s="1"/>
  <c r="M538" i="3"/>
  <c r="N538" i="3" s="1"/>
  <c r="K538" i="3"/>
  <c r="AE538" i="3" s="1"/>
  <c r="V538" i="3" l="1"/>
  <c r="W538" i="3" s="1"/>
  <c r="A539" i="3"/>
  <c r="B539" i="3" s="1"/>
  <c r="L538" i="3"/>
  <c r="U538" i="3" l="1"/>
  <c r="Y537" i="3"/>
  <c r="Z539" i="3"/>
  <c r="P539" i="3"/>
  <c r="Q539" i="3" s="1"/>
  <c r="R539" i="3" s="1"/>
  <c r="S539" i="3" s="1"/>
  <c r="AD539" i="3"/>
  <c r="AA539" i="3"/>
  <c r="AC539" i="3"/>
  <c r="T539" i="3" l="1"/>
  <c r="AH539" i="3" s="1"/>
  <c r="AG539" i="3" l="1"/>
  <c r="E539" i="3"/>
  <c r="H539" i="3" s="1"/>
  <c r="K539" i="3" s="1"/>
  <c r="AE539" i="3" s="1"/>
  <c r="D539" i="3"/>
  <c r="G539" i="3" s="1"/>
  <c r="F539" i="3" l="1"/>
  <c r="V539" i="3"/>
  <c r="A540" i="3"/>
  <c r="B540" i="3" s="1"/>
  <c r="I539" i="3"/>
  <c r="J539" i="3"/>
  <c r="M539" i="3"/>
  <c r="N539" i="3" s="1"/>
  <c r="W539" i="3" l="1"/>
  <c r="L539" i="3"/>
  <c r="AA540" i="3"/>
  <c r="AC540" i="3"/>
  <c r="Z540" i="3"/>
  <c r="AD540" i="3"/>
  <c r="P540" i="3"/>
  <c r="Q540" i="3" s="1"/>
  <c r="R540" i="3" s="1"/>
  <c r="S540" i="3" s="1"/>
  <c r="U539" i="3" l="1"/>
  <c r="Y538" i="3"/>
  <c r="T540" i="3"/>
  <c r="AG540" i="3" s="1"/>
  <c r="E540" i="3" l="1"/>
  <c r="H540" i="3" s="1"/>
  <c r="D540" i="3"/>
  <c r="AH540" i="3"/>
  <c r="K540" i="3" l="1"/>
  <c r="AE540" i="3" s="1"/>
  <c r="F540" i="3"/>
  <c r="G540" i="3"/>
  <c r="V540" i="3" l="1"/>
  <c r="A541" i="3"/>
  <c r="B541" i="3" s="1"/>
  <c r="I540" i="3"/>
  <c r="J540" i="3"/>
  <c r="M540" i="3"/>
  <c r="N540" i="3" s="1"/>
  <c r="W540" i="3" l="1"/>
  <c r="L540" i="3"/>
  <c r="P541" i="3"/>
  <c r="Q541" i="3" s="1"/>
  <c r="R541" i="3" s="1"/>
  <c r="S541" i="3" s="1"/>
  <c r="AA541" i="3"/>
  <c r="AD541" i="3"/>
  <c r="Z541" i="3"/>
  <c r="AC541" i="3"/>
  <c r="U540" i="3" l="1"/>
  <c r="Y539" i="3"/>
  <c r="T541" i="3"/>
  <c r="AG541" i="3" s="1"/>
  <c r="AH541" i="3" l="1"/>
  <c r="E541" i="3"/>
  <c r="H541" i="3" s="1"/>
  <c r="D541" i="3"/>
  <c r="K541" i="3" l="1"/>
  <c r="AE541" i="3" s="1"/>
  <c r="F541" i="3"/>
  <c r="G541" i="3"/>
  <c r="I541" i="3" l="1"/>
  <c r="J541" i="3"/>
  <c r="M541" i="3"/>
  <c r="N541" i="3" s="1"/>
  <c r="V541" i="3"/>
  <c r="A542" i="3"/>
  <c r="B542" i="3" s="1"/>
  <c r="W541" i="3" l="1"/>
  <c r="L541" i="3"/>
  <c r="AC542" i="3"/>
  <c r="P542" i="3"/>
  <c r="Q542" i="3" s="1"/>
  <c r="R542" i="3" s="1"/>
  <c r="S542" i="3" s="1"/>
  <c r="AA542" i="3"/>
  <c r="Z542" i="3"/>
  <c r="AD542" i="3"/>
  <c r="T542" i="3" l="1"/>
  <c r="AH542" i="3" s="1"/>
  <c r="U541" i="3"/>
  <c r="Y540" i="3"/>
  <c r="E542" i="3" l="1"/>
  <c r="H542" i="3" s="1"/>
  <c r="K542" i="3" s="1"/>
  <c r="AE542" i="3" s="1"/>
  <c r="AG542" i="3"/>
  <c r="D542" i="3"/>
  <c r="F542" i="3" l="1"/>
  <c r="G542" i="3"/>
  <c r="V542" i="3"/>
  <c r="A543" i="3"/>
  <c r="B543" i="3" s="1"/>
  <c r="P543" i="3" l="1"/>
  <c r="Q543" i="3" s="1"/>
  <c r="R543" i="3" s="1"/>
  <c r="S543" i="3" s="1"/>
  <c r="AD543" i="3"/>
  <c r="Z543" i="3"/>
  <c r="AA543" i="3"/>
  <c r="AC543" i="3"/>
  <c r="I542" i="3"/>
  <c r="W542" i="3" s="1"/>
  <c r="J542" i="3"/>
  <c r="M542" i="3"/>
  <c r="N542" i="3" s="1"/>
  <c r="T543" i="3" l="1"/>
  <c r="L542" i="3"/>
  <c r="AH543" i="3" l="1"/>
  <c r="U542" i="3"/>
  <c r="E543" i="3" s="1"/>
  <c r="H543" i="3" s="1"/>
  <c r="AG543" i="3"/>
  <c r="Y541" i="3"/>
  <c r="D543" i="3" l="1"/>
  <c r="G543" i="3" s="1"/>
  <c r="K543" i="3"/>
  <c r="AE543" i="3" s="1"/>
  <c r="F543" i="3" l="1"/>
  <c r="I543" i="3"/>
  <c r="J543" i="3"/>
  <c r="M543" i="3"/>
  <c r="N543" i="3" s="1"/>
  <c r="V543" i="3"/>
  <c r="A544" i="3"/>
  <c r="B544" i="3" s="1"/>
  <c r="W543" i="3" l="1"/>
  <c r="L543" i="3"/>
  <c r="P544" i="3"/>
  <c r="Q544" i="3" s="1"/>
  <c r="R544" i="3" s="1"/>
  <c r="S544" i="3" s="1"/>
  <c r="Z544" i="3"/>
  <c r="AC544" i="3"/>
  <c r="AA544" i="3"/>
  <c r="U543" i="3" l="1"/>
  <c r="Y542" i="3"/>
  <c r="T544" i="3"/>
  <c r="AG544" i="3" s="1"/>
  <c r="E544" i="3" l="1"/>
  <c r="H544" i="3" s="1"/>
  <c r="D544" i="3"/>
  <c r="AH544" i="3"/>
  <c r="K544" i="3" l="1"/>
  <c r="AE544" i="3" s="1"/>
  <c r="F544" i="3"/>
  <c r="G544" i="3"/>
  <c r="I544" i="3" l="1"/>
  <c r="J544" i="3"/>
  <c r="AD544" i="3" s="1"/>
  <c r="M544" i="3"/>
  <c r="N544" i="3" s="1"/>
  <c r="V544" i="3"/>
  <c r="A545" i="3"/>
  <c r="B545" i="3" s="1"/>
  <c r="W544" i="3" l="1"/>
  <c r="L544" i="3"/>
  <c r="Z545" i="3"/>
  <c r="AA545" i="3"/>
  <c r="AC545" i="3"/>
  <c r="P545" i="3"/>
  <c r="Q545" i="3" s="1"/>
  <c r="R545" i="3" s="1"/>
  <c r="S545" i="3" s="1"/>
  <c r="U544" i="3" l="1"/>
  <c r="Y543" i="3"/>
  <c r="T545" i="3"/>
  <c r="AH545" i="3" s="1"/>
  <c r="E545" i="3" l="1"/>
  <c r="H545" i="3" s="1"/>
  <c r="K545" i="3" s="1"/>
  <c r="AE545" i="3" s="1"/>
  <c r="D545" i="3"/>
  <c r="AG545" i="3"/>
  <c r="V545" i="3" l="1"/>
  <c r="A546" i="3"/>
  <c r="B546" i="3" s="1"/>
  <c r="F545" i="3"/>
  <c r="G545" i="3"/>
  <c r="I545" i="3" l="1"/>
  <c r="W545" i="3" s="1"/>
  <c r="J545" i="3"/>
  <c r="AD545" i="3" s="1"/>
  <c r="M545" i="3"/>
  <c r="N545" i="3" s="1"/>
  <c r="AC546" i="3"/>
  <c r="P546" i="3"/>
  <c r="Q546" i="3" s="1"/>
  <c r="R546" i="3" s="1"/>
  <c r="S546" i="3" s="1"/>
  <c r="Z546" i="3"/>
  <c r="AA546" i="3"/>
  <c r="T546" i="3" l="1"/>
  <c r="L545" i="3"/>
  <c r="U545" i="3" l="1"/>
  <c r="D546" i="3" s="1"/>
  <c r="AG546" i="3"/>
  <c r="AH546" i="3"/>
  <c r="Y544" i="3"/>
  <c r="E546" i="3" l="1"/>
  <c r="H546" i="3" s="1"/>
  <c r="K546" i="3" s="1"/>
  <c r="AE546" i="3" s="1"/>
  <c r="G546" i="3"/>
  <c r="F546" i="3" l="1"/>
  <c r="V546" i="3"/>
  <c r="A547" i="3"/>
  <c r="B547" i="3" s="1"/>
  <c r="I546" i="3"/>
  <c r="J546" i="3"/>
  <c r="AD546" i="3" s="1"/>
  <c r="M546" i="3"/>
  <c r="N546" i="3" s="1"/>
  <c r="W546" i="3" l="1"/>
  <c r="L546" i="3"/>
  <c r="AC547" i="3"/>
  <c r="P547" i="3"/>
  <c r="Q547" i="3" s="1"/>
  <c r="R547" i="3" s="1"/>
  <c r="S547" i="3" s="1"/>
  <c r="AA547" i="3"/>
  <c r="Z547" i="3"/>
  <c r="U546" i="3" l="1"/>
  <c r="Y545" i="3"/>
  <c r="T547" i="3"/>
  <c r="AG547" i="3" s="1"/>
  <c r="E547" i="3" l="1"/>
  <c r="H547" i="3" s="1"/>
  <c r="K547" i="3" s="1"/>
  <c r="AE547" i="3" s="1"/>
  <c r="D547" i="3"/>
  <c r="G547" i="3" s="1"/>
  <c r="AH547" i="3"/>
  <c r="F547" i="3" l="1"/>
  <c r="I547" i="3"/>
  <c r="J547" i="3"/>
  <c r="AD547" i="3" s="1"/>
  <c r="M547" i="3"/>
  <c r="N547" i="3" s="1"/>
  <c r="V547" i="3"/>
  <c r="A548" i="3"/>
  <c r="B548" i="3" s="1"/>
  <c r="W547" i="3" l="1"/>
  <c r="L547" i="3"/>
  <c r="Z548" i="3"/>
  <c r="AA548" i="3"/>
  <c r="P548" i="3"/>
  <c r="Q548" i="3" s="1"/>
  <c r="R548" i="3" s="1"/>
  <c r="S548" i="3" s="1"/>
  <c r="AC548" i="3"/>
  <c r="U547" i="3" l="1"/>
  <c r="Y546" i="3"/>
  <c r="T548" i="3"/>
  <c r="E548" i="3" l="1"/>
  <c r="H548" i="3" s="1"/>
  <c r="K548" i="3" s="1"/>
  <c r="AE548" i="3" s="1"/>
  <c r="D548" i="3"/>
  <c r="AG548" i="3"/>
  <c r="AH548" i="3"/>
  <c r="V548" i="3" l="1"/>
  <c r="A549" i="3"/>
  <c r="B549" i="3" s="1"/>
  <c r="F548" i="3"/>
  <c r="G548" i="3"/>
  <c r="I548" i="3" l="1"/>
  <c r="W548" i="3" s="1"/>
  <c r="J548" i="3"/>
  <c r="AD548" i="3" s="1"/>
  <c r="M548" i="3"/>
  <c r="N548" i="3" s="1"/>
  <c r="P549" i="3"/>
  <c r="Q549" i="3" s="1"/>
  <c r="R549" i="3" s="1"/>
  <c r="S549" i="3" s="1"/>
  <c r="AC549" i="3"/>
  <c r="AA549" i="3"/>
  <c r="Z549" i="3"/>
  <c r="T549" i="3" l="1"/>
  <c r="L548" i="3"/>
  <c r="AH549" i="3" l="1"/>
  <c r="U548" i="3"/>
  <c r="E549" i="3" s="1"/>
  <c r="H549" i="3" s="1"/>
  <c r="AG549" i="3"/>
  <c r="Y547" i="3"/>
  <c r="K549" i="3" l="1"/>
  <c r="AE549" i="3" s="1"/>
  <c r="D549" i="3"/>
  <c r="V549" i="3" l="1"/>
  <c r="A550" i="3"/>
  <c r="B550" i="3" s="1"/>
  <c r="F549" i="3"/>
  <c r="G549" i="3"/>
  <c r="I549" i="3" l="1"/>
  <c r="W549" i="3" s="1"/>
  <c r="J549" i="3"/>
  <c r="AD549" i="3" s="1"/>
  <c r="M549" i="3"/>
  <c r="N549" i="3" s="1"/>
  <c r="P550" i="3"/>
  <c r="Q550" i="3" s="1"/>
  <c r="R550" i="3" s="1"/>
  <c r="S550" i="3" s="1"/>
  <c r="AA550" i="3"/>
  <c r="AC550" i="3"/>
  <c r="Z550" i="3"/>
  <c r="T550" i="3" l="1"/>
  <c r="L549" i="3"/>
  <c r="U549" i="3" l="1"/>
  <c r="D550" i="3" s="1"/>
  <c r="AH550" i="3"/>
  <c r="AG550" i="3"/>
  <c r="Y548" i="3"/>
  <c r="E550" i="3" l="1"/>
  <c r="H550" i="3" s="1"/>
  <c r="K550" i="3" s="1"/>
  <c r="AE550" i="3" s="1"/>
  <c r="G550" i="3"/>
  <c r="F550" i="3" l="1"/>
  <c r="I550" i="3"/>
  <c r="J550" i="3"/>
  <c r="AD550" i="3" s="1"/>
  <c r="M550" i="3"/>
  <c r="N550" i="3" s="1"/>
  <c r="V550" i="3"/>
  <c r="A551" i="3"/>
  <c r="B551" i="3" s="1"/>
  <c r="W550" i="3" l="1"/>
  <c r="L550" i="3"/>
  <c r="P551" i="3"/>
  <c r="Q551" i="3" s="1"/>
  <c r="R551" i="3" s="1"/>
  <c r="S551" i="3" s="1"/>
  <c r="AC551" i="3"/>
  <c r="AA551" i="3"/>
  <c r="Z551" i="3"/>
  <c r="T551" i="3" l="1"/>
  <c r="AG551" i="3" s="1"/>
  <c r="U550" i="3"/>
  <c r="Y549" i="3"/>
  <c r="D551" i="3" l="1"/>
  <c r="G551" i="3" s="1"/>
  <c r="AH551" i="3"/>
  <c r="E551" i="3"/>
  <c r="H551" i="3" s="1"/>
  <c r="F551" i="3" l="1"/>
  <c r="I551" i="3"/>
  <c r="J551" i="3"/>
  <c r="AD551" i="3" s="1"/>
  <c r="M551" i="3"/>
  <c r="N551" i="3" s="1"/>
  <c r="K551" i="3"/>
  <c r="AE551" i="3" s="1"/>
  <c r="V551" i="3" l="1"/>
  <c r="W551" i="3" s="1"/>
  <c r="A552" i="3"/>
  <c r="B552" i="3" s="1"/>
  <c r="L551" i="3"/>
  <c r="U551" i="3" l="1"/>
  <c r="Y550" i="3"/>
  <c r="AA552" i="3"/>
  <c r="P552" i="3"/>
  <c r="Q552" i="3" s="1"/>
  <c r="R552" i="3" s="1"/>
  <c r="S552" i="3" s="1"/>
  <c r="AC552" i="3"/>
  <c r="Z552" i="3"/>
  <c r="T552" i="3" l="1"/>
  <c r="D552" i="3" s="1"/>
  <c r="AG552" i="3" l="1"/>
  <c r="AH552" i="3"/>
  <c r="E552" i="3"/>
  <c r="H552" i="3" s="1"/>
  <c r="K552" i="3" s="1"/>
  <c r="AE552" i="3" s="1"/>
  <c r="G552" i="3"/>
  <c r="F552" i="3" l="1"/>
  <c r="I552" i="3"/>
  <c r="J552" i="3"/>
  <c r="AD552" i="3" s="1"/>
  <c r="M552" i="3"/>
  <c r="N552" i="3" s="1"/>
  <c r="V552" i="3"/>
  <c r="A553" i="3"/>
  <c r="B553" i="3" s="1"/>
  <c r="W552" i="3" l="1"/>
  <c r="L552" i="3"/>
  <c r="P553" i="3"/>
  <c r="Q553" i="3" s="1"/>
  <c r="R553" i="3" s="1"/>
  <c r="S553" i="3" s="1"/>
  <c r="Z553" i="3"/>
  <c r="AC553" i="3"/>
  <c r="AA553" i="3"/>
  <c r="T553" i="3" l="1"/>
  <c r="U552" i="3"/>
  <c r="Y551" i="3"/>
  <c r="D553" i="3" l="1"/>
  <c r="G553" i="3" s="1"/>
  <c r="AH553" i="3"/>
  <c r="AG553" i="3"/>
  <c r="E553" i="3"/>
  <c r="H553" i="3" s="1"/>
  <c r="K553" i="3" l="1"/>
  <c r="AE553" i="3" s="1"/>
  <c r="F553" i="3"/>
  <c r="I553" i="3"/>
  <c r="J553" i="3"/>
  <c r="AD553" i="3" s="1"/>
  <c r="M553" i="3"/>
  <c r="N553" i="3" s="1"/>
  <c r="V553" i="3" l="1"/>
  <c r="W553" i="3" s="1"/>
  <c r="A554" i="3"/>
  <c r="B554" i="3" s="1"/>
  <c r="L553" i="3"/>
  <c r="U553" i="3" l="1"/>
  <c r="Y552" i="3"/>
  <c r="AA554" i="3"/>
  <c r="AC554" i="3"/>
  <c r="P554" i="3"/>
  <c r="Q554" i="3" s="1"/>
  <c r="R554" i="3" s="1"/>
  <c r="S554" i="3" s="1"/>
  <c r="Z554" i="3"/>
  <c r="T554" i="3" l="1"/>
  <c r="AH554" i="3" s="1"/>
  <c r="E554" i="3" l="1"/>
  <c r="H554" i="3" s="1"/>
  <c r="K554" i="3" s="1"/>
  <c r="AE554" i="3" s="1"/>
  <c r="AG554" i="3"/>
  <c r="D554" i="3"/>
  <c r="V554" i="3" l="1"/>
  <c r="A555" i="3"/>
  <c r="B555" i="3" s="1"/>
  <c r="F554" i="3"/>
  <c r="G554" i="3"/>
  <c r="I554" i="3" l="1"/>
  <c r="W554" i="3" s="1"/>
  <c r="J554" i="3"/>
  <c r="AD554" i="3" s="1"/>
  <c r="M554" i="3"/>
  <c r="N554" i="3" s="1"/>
  <c r="AA555" i="3"/>
  <c r="Z555" i="3"/>
  <c r="AC555" i="3"/>
  <c r="P555" i="3"/>
  <c r="Q555" i="3" s="1"/>
  <c r="R555" i="3" s="1"/>
  <c r="S555" i="3" s="1"/>
  <c r="L554" i="3" l="1"/>
  <c r="T555" i="3"/>
  <c r="U554" i="3" l="1"/>
  <c r="E555" i="3" s="1"/>
  <c r="H555" i="3" s="1"/>
  <c r="AG555" i="3"/>
  <c r="AH555" i="3"/>
  <c r="Y553" i="3"/>
  <c r="K555" i="3" l="1"/>
  <c r="AE555" i="3" s="1"/>
  <c r="D555" i="3"/>
  <c r="F555" i="3" l="1"/>
  <c r="G555" i="3"/>
  <c r="V555" i="3"/>
  <c r="A556" i="3"/>
  <c r="B556" i="3" s="1"/>
  <c r="P556" i="3" l="1"/>
  <c r="Q556" i="3" s="1"/>
  <c r="R556" i="3" s="1"/>
  <c r="S556" i="3" s="1"/>
  <c r="AA556" i="3"/>
  <c r="Z556" i="3"/>
  <c r="AC556" i="3"/>
  <c r="I555" i="3"/>
  <c r="W555" i="3" s="1"/>
  <c r="J555" i="3"/>
  <c r="AD555" i="3" s="1"/>
  <c r="M555" i="3"/>
  <c r="N555" i="3" s="1"/>
  <c r="T556" i="3" l="1"/>
  <c r="L555" i="3"/>
  <c r="AH556" i="3" l="1"/>
  <c r="U555" i="3"/>
  <c r="D556" i="3" s="1"/>
  <c r="AG556" i="3"/>
  <c r="Y554" i="3"/>
  <c r="E556" i="3" l="1"/>
  <c r="H556" i="3" s="1"/>
  <c r="K556" i="3" s="1"/>
  <c r="AE556" i="3" s="1"/>
  <c r="G556" i="3"/>
  <c r="F556" i="3" l="1"/>
  <c r="I556" i="3"/>
  <c r="J556" i="3"/>
  <c r="AD556" i="3" s="1"/>
  <c r="M556" i="3"/>
  <c r="N556" i="3" s="1"/>
  <c r="V556" i="3"/>
  <c r="A557" i="3"/>
  <c r="B557" i="3" s="1"/>
  <c r="W556" i="3" l="1"/>
  <c r="L556" i="3"/>
  <c r="P557" i="3"/>
  <c r="Q557" i="3" s="1"/>
  <c r="R557" i="3" s="1"/>
  <c r="S557" i="3" s="1"/>
  <c r="AA557" i="3"/>
  <c r="AC557" i="3"/>
  <c r="Z557" i="3"/>
  <c r="U556" i="3" l="1"/>
  <c r="Y555" i="3"/>
  <c r="T557" i="3"/>
  <c r="AH557" i="3" s="1"/>
  <c r="D557" i="3" l="1"/>
  <c r="G557" i="3" s="1"/>
  <c r="AG557" i="3"/>
  <c r="E557" i="3"/>
  <c r="H557" i="3" s="1"/>
  <c r="K557" i="3" s="1"/>
  <c r="AE557" i="3" s="1"/>
  <c r="F557" i="3" l="1"/>
  <c r="I557" i="3"/>
  <c r="J557" i="3"/>
  <c r="AD557" i="3" s="1"/>
  <c r="M557" i="3"/>
  <c r="N557" i="3" s="1"/>
  <c r="V557" i="3"/>
  <c r="A558" i="3"/>
  <c r="B558" i="3" s="1"/>
  <c r="W557" i="3" l="1"/>
  <c r="L557" i="3"/>
  <c r="AA558" i="3"/>
  <c r="P558" i="3"/>
  <c r="Q558" i="3" s="1"/>
  <c r="R558" i="3" s="1"/>
  <c r="S558" i="3" s="1"/>
  <c r="Z558" i="3"/>
  <c r="AC558" i="3"/>
  <c r="T558" i="3" l="1"/>
  <c r="AG558" i="3" s="1"/>
  <c r="U557" i="3"/>
  <c r="Y556" i="3"/>
  <c r="E558" i="3" l="1"/>
  <c r="H558" i="3" s="1"/>
  <c r="AH558" i="3"/>
  <c r="D558" i="3"/>
  <c r="F558" i="3" l="1"/>
  <c r="G558" i="3"/>
  <c r="K558" i="3"/>
  <c r="AE558" i="3" s="1"/>
  <c r="I558" i="3" l="1"/>
  <c r="J558" i="3"/>
  <c r="AD558" i="3" s="1"/>
  <c r="M558" i="3"/>
  <c r="N558" i="3" s="1"/>
  <c r="V558" i="3"/>
  <c r="A559" i="3"/>
  <c r="B559" i="3" s="1"/>
  <c r="W558" i="3" l="1"/>
  <c r="L558" i="3"/>
  <c r="AC559" i="3"/>
  <c r="P559" i="3"/>
  <c r="Q559" i="3" s="1"/>
  <c r="R559" i="3" s="1"/>
  <c r="S559" i="3" s="1"/>
  <c r="AA559" i="3"/>
  <c r="Z559" i="3"/>
  <c r="T559" i="3" l="1"/>
  <c r="U558" i="3"/>
  <c r="Y557" i="3"/>
  <c r="E559" i="3" l="1"/>
  <c r="H559" i="3" s="1"/>
  <c r="K559" i="3" s="1"/>
  <c r="AE559" i="3" s="1"/>
  <c r="AH559" i="3"/>
  <c r="AG559" i="3"/>
  <c r="D559" i="3"/>
  <c r="V559" i="3" l="1"/>
  <c r="A560" i="3"/>
  <c r="B560" i="3" s="1"/>
  <c r="F559" i="3"/>
  <c r="G559" i="3"/>
  <c r="I559" i="3" l="1"/>
  <c r="W559" i="3" s="1"/>
  <c r="J559" i="3"/>
  <c r="AD559" i="3" s="1"/>
  <c r="M559" i="3"/>
  <c r="N559" i="3" s="1"/>
  <c r="Z560" i="3"/>
  <c r="AC560" i="3"/>
  <c r="AA560" i="3"/>
  <c r="P560" i="3"/>
  <c r="Q560" i="3" s="1"/>
  <c r="R560" i="3" s="1"/>
  <c r="S560" i="3" s="1"/>
  <c r="T560" i="3" l="1"/>
  <c r="L559" i="3"/>
  <c r="AG560" i="3" l="1"/>
  <c r="U559" i="3"/>
  <c r="D560" i="3" s="1"/>
  <c r="AH560" i="3"/>
  <c r="Y558" i="3"/>
  <c r="E560" i="3" l="1"/>
  <c r="H560" i="3" s="1"/>
  <c r="K560" i="3" s="1"/>
  <c r="AE560" i="3" s="1"/>
  <c r="G560" i="3"/>
  <c r="F560" i="3" l="1"/>
  <c r="V560" i="3"/>
  <c r="A561" i="3"/>
  <c r="B561" i="3" s="1"/>
  <c r="I560" i="3"/>
  <c r="J560" i="3"/>
  <c r="AD560" i="3" s="1"/>
  <c r="M560" i="3"/>
  <c r="N560" i="3" s="1"/>
  <c r="W560" i="3" l="1"/>
  <c r="L560" i="3"/>
  <c r="AA561" i="3"/>
  <c r="P561" i="3"/>
  <c r="Q561" i="3" s="1"/>
  <c r="R561" i="3" s="1"/>
  <c r="S561" i="3" s="1"/>
  <c r="Z561" i="3"/>
  <c r="AC561" i="3"/>
  <c r="U560" i="3" l="1"/>
  <c r="Y559" i="3"/>
  <c r="T561" i="3"/>
  <c r="E561" i="3" l="1"/>
  <c r="H561" i="3" s="1"/>
  <c r="K561" i="3" s="1"/>
  <c r="AE561" i="3" s="1"/>
  <c r="D561" i="3"/>
  <c r="AH561" i="3"/>
  <c r="AG561" i="3"/>
  <c r="F561" i="3" l="1"/>
  <c r="G561" i="3"/>
  <c r="M561" i="3" s="1"/>
  <c r="N561" i="3" s="1"/>
  <c r="V561" i="3"/>
  <c r="A562" i="3"/>
  <c r="B562" i="3" s="1"/>
  <c r="I561" i="3" l="1"/>
  <c r="W561" i="3" s="1"/>
  <c r="J561" i="3"/>
  <c r="Z562" i="3"/>
  <c r="AA562" i="3"/>
  <c r="P562" i="3"/>
  <c r="Q562" i="3" s="1"/>
  <c r="R562" i="3" s="1"/>
  <c r="S562" i="3" s="1"/>
  <c r="AC562" i="3"/>
  <c r="L561" i="3" l="1"/>
  <c r="U561" i="3" s="1"/>
  <c r="AD561" i="3"/>
  <c r="T562" i="3"/>
  <c r="AH562" i="3" l="1"/>
  <c r="Y560" i="3"/>
  <c r="AG562" i="3"/>
  <c r="E562" i="3"/>
  <c r="H562" i="3" s="1"/>
  <c r="K562" i="3" s="1"/>
  <c r="AE562" i="3" s="1"/>
  <c r="D562" i="3"/>
  <c r="F562" i="3" l="1"/>
  <c r="G562" i="3"/>
  <c r="J562" i="3" s="1"/>
  <c r="AD562" i="3" s="1"/>
  <c r="V562" i="3"/>
  <c r="A563" i="3"/>
  <c r="B563" i="3" s="1"/>
  <c r="M562" i="3" l="1"/>
  <c r="N562" i="3" s="1"/>
  <c r="I562" i="3"/>
  <c r="W562" i="3" s="1"/>
  <c r="L562" i="3"/>
  <c r="Z563" i="3"/>
  <c r="P563" i="3"/>
  <c r="Q563" i="3" s="1"/>
  <c r="R563" i="3" s="1"/>
  <c r="S563" i="3" s="1"/>
  <c r="AC563" i="3"/>
  <c r="AA563" i="3"/>
  <c r="U562" i="3" l="1"/>
  <c r="Y561" i="3"/>
  <c r="T563" i="3"/>
  <c r="AH563" i="3" s="1"/>
  <c r="AG563" i="3" l="1"/>
  <c r="D563" i="3"/>
  <c r="E563" i="3"/>
  <c r="H563" i="3" s="1"/>
  <c r="K563" i="3" s="1"/>
  <c r="AE563" i="3" s="1"/>
  <c r="F563" i="3" l="1"/>
  <c r="G563" i="3"/>
  <c r="M563" i="3" s="1"/>
  <c r="N563" i="3" s="1"/>
  <c r="V563" i="3"/>
  <c r="A564" i="3"/>
  <c r="B564" i="3" s="1"/>
  <c r="I563" i="3" l="1"/>
  <c r="W563" i="3" s="1"/>
  <c r="J563" i="3"/>
  <c r="Z564" i="3"/>
  <c r="P564" i="3"/>
  <c r="Q564" i="3" s="1"/>
  <c r="R564" i="3" s="1"/>
  <c r="S564" i="3" s="1"/>
  <c r="AC564" i="3"/>
  <c r="AA564" i="3"/>
  <c r="L563" i="3" l="1"/>
  <c r="U563" i="3" s="1"/>
  <c r="AD563" i="3"/>
  <c r="T564" i="3"/>
  <c r="AH564" i="3" l="1"/>
  <c r="Y562" i="3"/>
  <c r="D564" i="3"/>
  <c r="E564" i="3"/>
  <c r="H564" i="3" s="1"/>
  <c r="AG564" i="3"/>
  <c r="K564" i="3" l="1"/>
  <c r="AE564" i="3" s="1"/>
  <c r="F564" i="3"/>
  <c r="G564" i="3"/>
  <c r="V564" i="3" l="1"/>
  <c r="A565" i="3"/>
  <c r="B565" i="3" s="1"/>
  <c r="I564" i="3"/>
  <c r="J564" i="3"/>
  <c r="AD564" i="3" s="1"/>
  <c r="M564" i="3"/>
  <c r="N564" i="3" s="1"/>
  <c r="W564" i="3" l="1"/>
  <c r="L564" i="3"/>
  <c r="Z565" i="3"/>
  <c r="AC565" i="3"/>
  <c r="P565" i="3"/>
  <c r="Q565" i="3" s="1"/>
  <c r="R565" i="3" s="1"/>
  <c r="S565" i="3" s="1"/>
  <c r="AA565" i="3"/>
  <c r="U564" i="3" l="1"/>
  <c r="Y563" i="3"/>
  <c r="T565" i="3"/>
  <c r="E565" i="3" l="1"/>
  <c r="H565" i="3" s="1"/>
  <c r="K565" i="3" s="1"/>
  <c r="AE565" i="3" s="1"/>
  <c r="D565" i="3"/>
  <c r="AG565" i="3"/>
  <c r="AH565" i="3"/>
  <c r="V565" i="3" l="1"/>
  <c r="A566" i="3"/>
  <c r="B566" i="3" s="1"/>
  <c r="F565" i="3"/>
  <c r="G565" i="3"/>
  <c r="I565" i="3" l="1"/>
  <c r="W565" i="3" s="1"/>
  <c r="J565" i="3"/>
  <c r="AD565" i="3" s="1"/>
  <c r="M565" i="3"/>
  <c r="N565" i="3" s="1"/>
  <c r="Z566" i="3"/>
  <c r="AA566" i="3"/>
  <c r="P566" i="3"/>
  <c r="Q566" i="3" s="1"/>
  <c r="R566" i="3" s="1"/>
  <c r="S566" i="3" s="1"/>
  <c r="AC566" i="3"/>
  <c r="L565" i="3" l="1"/>
  <c r="T566" i="3"/>
  <c r="AG566" i="3" l="1"/>
  <c r="AH566" i="3"/>
  <c r="U565" i="3"/>
  <c r="D566" i="3" s="1"/>
  <c r="Y564" i="3"/>
  <c r="G566" i="3" l="1"/>
  <c r="E566" i="3"/>
  <c r="H566" i="3" s="1"/>
  <c r="F566" i="3" l="1"/>
  <c r="I566" i="3"/>
  <c r="J566" i="3"/>
  <c r="AD566" i="3" s="1"/>
  <c r="M566" i="3"/>
  <c r="N566" i="3" s="1"/>
  <c r="K566" i="3"/>
  <c r="AE566" i="3" s="1"/>
  <c r="V566" i="3" l="1"/>
  <c r="W566" i="3" s="1"/>
  <c r="A567" i="3"/>
  <c r="B567" i="3" s="1"/>
  <c r="L566" i="3"/>
  <c r="U566" i="3" l="1"/>
  <c r="Y565" i="3"/>
  <c r="P567" i="3"/>
  <c r="Q567" i="3" s="1"/>
  <c r="R567" i="3" s="1"/>
  <c r="S567" i="3" s="1"/>
  <c r="AA567" i="3"/>
  <c r="Z567" i="3"/>
  <c r="AC567" i="3"/>
  <c r="T567" i="3" l="1"/>
  <c r="AG567" i="3" s="1"/>
  <c r="AH567" i="3" l="1"/>
  <c r="E567" i="3"/>
  <c r="H567" i="3" s="1"/>
  <c r="K567" i="3" s="1"/>
  <c r="AE567" i="3" s="1"/>
  <c r="D567" i="3"/>
  <c r="G567" i="3" s="1"/>
  <c r="F567" i="3" l="1"/>
  <c r="I567" i="3"/>
  <c r="J567" i="3"/>
  <c r="AD567" i="3" s="1"/>
  <c r="M567" i="3"/>
  <c r="N567" i="3" s="1"/>
  <c r="V567" i="3"/>
  <c r="A568" i="3"/>
  <c r="B568" i="3" s="1"/>
  <c r="W567" i="3" l="1"/>
  <c r="L567" i="3"/>
  <c r="AC568" i="3"/>
  <c r="P568" i="3"/>
  <c r="Q568" i="3" s="1"/>
  <c r="R568" i="3" s="1"/>
  <c r="S568" i="3" s="1"/>
  <c r="AA568" i="3"/>
  <c r="Z568" i="3"/>
  <c r="U567" i="3" l="1"/>
  <c r="Y566" i="3"/>
  <c r="T568" i="3"/>
  <c r="AG568" i="3" s="1"/>
  <c r="D568" i="3" l="1"/>
  <c r="G568" i="3" s="1"/>
  <c r="E568" i="3"/>
  <c r="H568" i="3" s="1"/>
  <c r="K568" i="3" s="1"/>
  <c r="AE568" i="3" s="1"/>
  <c r="AH568" i="3"/>
  <c r="F568" i="3" l="1"/>
  <c r="V568" i="3"/>
  <c r="A569" i="3"/>
  <c r="B569" i="3" s="1"/>
  <c r="I568" i="3"/>
  <c r="J568" i="3"/>
  <c r="AD568" i="3" s="1"/>
  <c r="M568" i="3"/>
  <c r="N568" i="3" s="1"/>
  <c r="L568" i="3" l="1"/>
  <c r="W568" i="3"/>
  <c r="AA569" i="3"/>
  <c r="P569" i="3"/>
  <c r="Q569" i="3" s="1"/>
  <c r="R569" i="3" s="1"/>
  <c r="S569" i="3" s="1"/>
  <c r="AC569" i="3"/>
  <c r="Z569" i="3"/>
  <c r="T569" i="3" l="1"/>
  <c r="AH569" i="3" s="1"/>
  <c r="U568" i="3"/>
  <c r="Y567" i="3"/>
  <c r="D569" i="3" l="1"/>
  <c r="G569" i="3" s="1"/>
  <c r="AG569" i="3"/>
  <c r="E569" i="3"/>
  <c r="H569" i="3" s="1"/>
  <c r="F569" i="3" l="1"/>
  <c r="I569" i="3"/>
  <c r="J569" i="3"/>
  <c r="AD569" i="3" s="1"/>
  <c r="M569" i="3"/>
  <c r="N569" i="3" s="1"/>
  <c r="K569" i="3"/>
  <c r="AE569" i="3" s="1"/>
  <c r="L569" i="3" l="1"/>
  <c r="V569" i="3"/>
  <c r="W569" i="3" s="1"/>
  <c r="A570" i="3"/>
  <c r="B570" i="3" s="1"/>
  <c r="AC570" i="3" l="1"/>
  <c r="P570" i="3"/>
  <c r="Q570" i="3" s="1"/>
  <c r="R570" i="3" s="1"/>
  <c r="S570" i="3" s="1"/>
  <c r="Z570" i="3"/>
  <c r="AA570" i="3"/>
  <c r="U569" i="3"/>
  <c r="Y568" i="3"/>
  <c r="T570" i="3" l="1"/>
  <c r="D570" i="3" l="1"/>
  <c r="E570" i="3"/>
  <c r="H570" i="3" s="1"/>
  <c r="AG570" i="3"/>
  <c r="AH570" i="3"/>
  <c r="F570" i="3" l="1"/>
  <c r="G570" i="3"/>
  <c r="K570" i="3"/>
  <c r="AE570" i="3" s="1"/>
  <c r="V570" i="3" l="1"/>
  <c r="A571" i="3"/>
  <c r="B571" i="3" s="1"/>
  <c r="I570" i="3"/>
  <c r="J570" i="3"/>
  <c r="AD570" i="3" s="1"/>
  <c r="M570" i="3"/>
  <c r="N570" i="3" s="1"/>
  <c r="W570" i="3" l="1"/>
  <c r="L570" i="3"/>
  <c r="P571" i="3"/>
  <c r="Q571" i="3" s="1"/>
  <c r="R571" i="3" s="1"/>
  <c r="S571" i="3" s="1"/>
  <c r="AA571" i="3"/>
  <c r="Z571" i="3"/>
  <c r="AC571" i="3"/>
  <c r="U570" i="3" l="1"/>
  <c r="Y569" i="3"/>
  <c r="T571" i="3"/>
  <c r="D571" i="3" l="1"/>
  <c r="G571" i="3" s="1"/>
  <c r="AG571" i="3"/>
  <c r="AH571" i="3"/>
  <c r="E571" i="3"/>
  <c r="H571" i="3" s="1"/>
  <c r="K571" i="3" s="1"/>
  <c r="AE571" i="3" s="1"/>
  <c r="F571" i="3" l="1"/>
  <c r="V571" i="3"/>
  <c r="A572" i="3"/>
  <c r="B572" i="3" s="1"/>
  <c r="I571" i="3"/>
  <c r="J571" i="3"/>
  <c r="AD571" i="3" s="1"/>
  <c r="M571" i="3"/>
  <c r="N571" i="3" s="1"/>
  <c r="W571" i="3" l="1"/>
  <c r="L571" i="3"/>
  <c r="AC572" i="3"/>
  <c r="P572" i="3"/>
  <c r="Q572" i="3" s="1"/>
  <c r="R572" i="3" s="1"/>
  <c r="S572" i="3" s="1"/>
  <c r="AA572" i="3"/>
  <c r="Z572" i="3"/>
  <c r="T572" i="3" l="1"/>
  <c r="AH572" i="3" s="1"/>
  <c r="U571" i="3"/>
  <c r="Y570" i="3"/>
  <c r="E572" i="3" l="1"/>
  <c r="H572" i="3" s="1"/>
  <c r="AG572" i="3"/>
  <c r="D572" i="3"/>
  <c r="F572" i="3" l="1"/>
  <c r="G572" i="3"/>
  <c r="K572" i="3"/>
  <c r="AE572" i="3" s="1"/>
  <c r="V572" i="3" l="1"/>
  <c r="A573" i="3"/>
  <c r="B573" i="3" s="1"/>
  <c r="I572" i="3"/>
  <c r="J572" i="3"/>
  <c r="AD572" i="3" s="1"/>
  <c r="M572" i="3"/>
  <c r="N572" i="3" s="1"/>
  <c r="W572" i="3" l="1"/>
  <c r="L572" i="3"/>
  <c r="P573" i="3"/>
  <c r="Q573" i="3" s="1"/>
  <c r="R573" i="3" s="1"/>
  <c r="S573" i="3" s="1"/>
  <c r="Z573" i="3"/>
  <c r="AC573" i="3"/>
  <c r="AA573" i="3"/>
  <c r="U572" i="3" l="1"/>
  <c r="Y571" i="3"/>
  <c r="T573" i="3"/>
  <c r="E573" i="3" l="1"/>
  <c r="H573" i="3" s="1"/>
  <c r="K573" i="3" s="1"/>
  <c r="AE573" i="3" s="1"/>
  <c r="D573" i="3"/>
  <c r="AH573" i="3"/>
  <c r="AG573" i="3"/>
  <c r="F573" i="3" l="1"/>
  <c r="G573" i="3"/>
  <c r="I573" i="3" s="1"/>
  <c r="V573" i="3"/>
  <c r="A574" i="3"/>
  <c r="B574" i="3" s="1"/>
  <c r="J573" i="3" l="1"/>
  <c r="M573" i="3"/>
  <c r="N573" i="3" s="1"/>
  <c r="W573" i="3"/>
  <c r="AA574" i="3"/>
  <c r="Z574" i="3"/>
  <c r="P574" i="3"/>
  <c r="Q574" i="3" s="1"/>
  <c r="R574" i="3" s="1"/>
  <c r="S574" i="3" s="1"/>
  <c r="AC574" i="3"/>
  <c r="L573" i="3" l="1"/>
  <c r="U573" i="3" s="1"/>
  <c r="AD573" i="3"/>
  <c r="T574" i="3"/>
  <c r="AH574" i="3" l="1"/>
  <c r="Y572" i="3"/>
  <c r="D574" i="3"/>
  <c r="G574" i="3" s="1"/>
  <c r="AG574" i="3"/>
  <c r="E574" i="3"/>
  <c r="H574" i="3" s="1"/>
  <c r="K574" i="3" l="1"/>
  <c r="AE574" i="3" s="1"/>
  <c r="I574" i="3"/>
  <c r="J574" i="3"/>
  <c r="AD574" i="3" s="1"/>
  <c r="M574" i="3"/>
  <c r="N574" i="3" s="1"/>
  <c r="F574" i="3"/>
  <c r="V574" i="3" l="1"/>
  <c r="W574" i="3" s="1"/>
  <c r="A575" i="3"/>
  <c r="B575" i="3" s="1"/>
  <c r="L574" i="3"/>
  <c r="U574" i="3" l="1"/>
  <c r="Y573" i="3"/>
  <c r="P575" i="3"/>
  <c r="Q575" i="3" s="1"/>
  <c r="R575" i="3" s="1"/>
  <c r="S575" i="3" s="1"/>
  <c r="Z575" i="3"/>
  <c r="AC575" i="3"/>
  <c r="AA575" i="3"/>
  <c r="T575" i="3" l="1"/>
  <c r="AH575" i="3" s="1"/>
  <c r="AG575" i="3" l="1"/>
  <c r="E575" i="3"/>
  <c r="H575" i="3" s="1"/>
  <c r="D575" i="3"/>
  <c r="K575" i="3" l="1"/>
  <c r="AE575" i="3" s="1"/>
  <c r="F575" i="3"/>
  <c r="G575" i="3"/>
  <c r="V575" i="3" l="1"/>
  <c r="A576" i="3"/>
  <c r="B576" i="3" s="1"/>
  <c r="I575" i="3"/>
  <c r="J575" i="3"/>
  <c r="AD575" i="3" s="1"/>
  <c r="M575" i="3"/>
  <c r="N575" i="3" s="1"/>
  <c r="W575" i="3" l="1"/>
  <c r="L575" i="3"/>
  <c r="AA576" i="3"/>
  <c r="P576" i="3"/>
  <c r="Q576" i="3" s="1"/>
  <c r="R576" i="3" s="1"/>
  <c r="S576" i="3" s="1"/>
  <c r="Z576" i="3"/>
  <c r="AC576" i="3"/>
  <c r="U575" i="3" l="1"/>
  <c r="Y574" i="3"/>
  <c r="T576" i="3"/>
  <c r="E576" i="3" l="1"/>
  <c r="H576" i="3" s="1"/>
  <c r="K576" i="3" s="1"/>
  <c r="AE576" i="3" s="1"/>
  <c r="AH576" i="3"/>
  <c r="D576" i="3"/>
  <c r="G576" i="3" s="1"/>
  <c r="AG576" i="3"/>
  <c r="F576" i="3" l="1"/>
  <c r="V576" i="3"/>
  <c r="A577" i="3"/>
  <c r="B577" i="3" s="1"/>
  <c r="I576" i="3"/>
  <c r="J576" i="3"/>
  <c r="AD576" i="3" s="1"/>
  <c r="M576" i="3"/>
  <c r="N576" i="3" s="1"/>
  <c r="W576" i="3" l="1"/>
  <c r="L576" i="3"/>
  <c r="P577" i="3"/>
  <c r="Q577" i="3" s="1"/>
  <c r="R577" i="3" s="1"/>
  <c r="S577" i="3" s="1"/>
  <c r="AC577" i="3"/>
  <c r="AA577" i="3"/>
  <c r="Z577" i="3"/>
  <c r="U576" i="3" l="1"/>
  <c r="Y575" i="3"/>
  <c r="T577" i="3"/>
  <c r="AH577" i="3" s="1"/>
  <c r="E577" i="3" l="1"/>
  <c r="H577" i="3" s="1"/>
  <c r="K577" i="3" s="1"/>
  <c r="AE577" i="3" s="1"/>
  <c r="AG577" i="3"/>
  <c r="D577" i="3"/>
  <c r="F577" i="3" l="1"/>
  <c r="G577" i="3"/>
  <c r="J577" i="3" s="1"/>
  <c r="AD577" i="3" s="1"/>
  <c r="V577" i="3"/>
  <c r="A578" i="3"/>
  <c r="B578" i="3" s="1"/>
  <c r="M577" i="3" l="1"/>
  <c r="N577" i="3" s="1"/>
  <c r="I577" i="3"/>
  <c r="W577" i="3" s="1"/>
  <c r="L577" i="3"/>
  <c r="AC578" i="3"/>
  <c r="P578" i="3"/>
  <c r="Q578" i="3" s="1"/>
  <c r="R578" i="3" s="1"/>
  <c r="S578" i="3" s="1"/>
  <c r="Z578" i="3"/>
  <c r="AA578" i="3"/>
  <c r="U577" i="3" l="1"/>
  <c r="Y576" i="3"/>
  <c r="T578" i="3"/>
  <c r="AG578" i="3" s="1"/>
  <c r="D578" i="3" l="1"/>
  <c r="G578" i="3" s="1"/>
  <c r="AH578" i="3"/>
  <c r="E578" i="3"/>
  <c r="H578" i="3" s="1"/>
  <c r="K578" i="3" s="1"/>
  <c r="AE578" i="3" s="1"/>
  <c r="F578" i="3" l="1"/>
  <c r="I578" i="3"/>
  <c r="J578" i="3"/>
  <c r="AD578" i="3" s="1"/>
  <c r="M578" i="3"/>
  <c r="N578" i="3" s="1"/>
  <c r="V578" i="3"/>
  <c r="A579" i="3"/>
  <c r="B579" i="3" s="1"/>
  <c r="W578" i="3" l="1"/>
  <c r="L578" i="3"/>
  <c r="AC579" i="3"/>
  <c r="Z579" i="3"/>
  <c r="P579" i="3"/>
  <c r="Q579" i="3" s="1"/>
  <c r="R579" i="3" s="1"/>
  <c r="S579" i="3" s="1"/>
  <c r="AA579" i="3"/>
  <c r="U578" i="3" l="1"/>
  <c r="Y577" i="3"/>
  <c r="T579" i="3"/>
  <c r="AG579" i="3" s="1"/>
  <c r="E579" i="3" l="1"/>
  <c r="H579" i="3" s="1"/>
  <c r="K579" i="3" s="1"/>
  <c r="AE579" i="3" s="1"/>
  <c r="AH579" i="3"/>
  <c r="D579" i="3"/>
  <c r="F579" i="3" l="1"/>
  <c r="G579" i="3"/>
  <c r="M579" i="3" s="1"/>
  <c r="N579" i="3" s="1"/>
  <c r="V579" i="3"/>
  <c r="A580" i="3"/>
  <c r="B580" i="3" s="1"/>
  <c r="I579" i="3" l="1"/>
  <c r="W579" i="3" s="1"/>
  <c r="J579" i="3"/>
  <c r="P580" i="3"/>
  <c r="Q580" i="3" s="1"/>
  <c r="R580" i="3" s="1"/>
  <c r="S580" i="3" s="1"/>
  <c r="AA580" i="3"/>
  <c r="AC580" i="3"/>
  <c r="Z580" i="3"/>
  <c r="L579" i="3" l="1"/>
  <c r="Y578" i="3" s="1"/>
  <c r="AD579" i="3"/>
  <c r="T580" i="3"/>
  <c r="AH580" i="3" l="1"/>
  <c r="U579" i="3"/>
  <c r="E580" i="3" s="1"/>
  <c r="H580" i="3" s="1"/>
  <c r="AG580" i="3"/>
  <c r="D580" i="3" l="1"/>
  <c r="G580" i="3" s="1"/>
  <c r="K580" i="3"/>
  <c r="AE580" i="3" s="1"/>
  <c r="F580" i="3" l="1"/>
  <c r="I580" i="3"/>
  <c r="J580" i="3"/>
  <c r="AD580" i="3" s="1"/>
  <c r="M580" i="3"/>
  <c r="N580" i="3" s="1"/>
  <c r="V580" i="3"/>
  <c r="A581" i="3"/>
  <c r="B581" i="3" s="1"/>
  <c r="W580" i="3" l="1"/>
  <c r="P581" i="3"/>
  <c r="Q581" i="3" s="1"/>
  <c r="R581" i="3" s="1"/>
  <c r="S581" i="3" s="1"/>
  <c r="Z581" i="3"/>
  <c r="AA581" i="3"/>
  <c r="AC581" i="3"/>
  <c r="L580" i="3"/>
  <c r="T581" i="3" l="1"/>
  <c r="AH581" i="3" s="1"/>
  <c r="U580" i="3"/>
  <c r="Y579" i="3"/>
  <c r="D581" i="3" l="1"/>
  <c r="G581" i="3" s="1"/>
  <c r="AG581" i="3"/>
  <c r="E581" i="3"/>
  <c r="H581" i="3" s="1"/>
  <c r="I581" i="3" l="1"/>
  <c r="J581" i="3"/>
  <c r="AD581" i="3" s="1"/>
  <c r="M581" i="3"/>
  <c r="N581" i="3" s="1"/>
  <c r="F581" i="3"/>
  <c r="K581" i="3"/>
  <c r="AE581" i="3" s="1"/>
  <c r="L581" i="3" l="1"/>
  <c r="V581" i="3"/>
  <c r="W581" i="3" s="1"/>
  <c r="A582" i="3"/>
  <c r="B582" i="3" s="1"/>
  <c r="P582" i="3" l="1"/>
  <c r="Q582" i="3" s="1"/>
  <c r="R582" i="3" s="1"/>
  <c r="S582" i="3" s="1"/>
  <c r="Z582" i="3"/>
  <c r="AC582" i="3"/>
  <c r="AA582" i="3"/>
  <c r="U581" i="3"/>
  <c r="Y580" i="3"/>
  <c r="T582" i="3" l="1"/>
  <c r="AH582" i="3" s="1"/>
  <c r="E582" i="3" l="1"/>
  <c r="H582" i="3" s="1"/>
  <c r="K582" i="3" s="1"/>
  <c r="AE582" i="3" s="1"/>
  <c r="AG582" i="3"/>
  <c r="D582" i="3"/>
  <c r="V582" i="3" l="1"/>
  <c r="A583" i="3"/>
  <c r="B583" i="3" s="1"/>
  <c r="F582" i="3"/>
  <c r="G582" i="3"/>
  <c r="I582" i="3" l="1"/>
  <c r="W582" i="3" s="1"/>
  <c r="J582" i="3"/>
  <c r="AD582" i="3" s="1"/>
  <c r="M582" i="3"/>
  <c r="N582" i="3" s="1"/>
  <c r="AA583" i="3"/>
  <c r="Z583" i="3"/>
  <c r="P583" i="3"/>
  <c r="Q583" i="3" s="1"/>
  <c r="R583" i="3" s="1"/>
  <c r="S583" i="3" s="1"/>
  <c r="AC583" i="3"/>
  <c r="T583" i="3" l="1"/>
  <c r="L582" i="3"/>
  <c r="U582" i="3" l="1"/>
  <c r="E583" i="3" s="1"/>
  <c r="H583" i="3" s="1"/>
  <c r="AG583" i="3"/>
  <c r="AH583" i="3"/>
  <c r="Y581" i="3"/>
  <c r="D583" i="3" l="1"/>
  <c r="G583" i="3" s="1"/>
  <c r="K583" i="3"/>
  <c r="AE583" i="3" s="1"/>
  <c r="F583" i="3" l="1"/>
  <c r="V583" i="3"/>
  <c r="A584" i="3"/>
  <c r="B584" i="3" s="1"/>
  <c r="I583" i="3"/>
  <c r="J583" i="3"/>
  <c r="AD583" i="3" s="1"/>
  <c r="M583" i="3"/>
  <c r="N583" i="3" s="1"/>
  <c r="W583" i="3" l="1"/>
  <c r="L583" i="3"/>
  <c r="AC584" i="3"/>
  <c r="P584" i="3"/>
  <c r="Q584" i="3" s="1"/>
  <c r="R584" i="3" s="1"/>
  <c r="S584" i="3" s="1"/>
  <c r="AA584" i="3"/>
  <c r="Z584" i="3"/>
  <c r="U583" i="3" l="1"/>
  <c r="Y582" i="3"/>
  <c r="T584" i="3"/>
  <c r="AG584" i="3" s="1"/>
  <c r="E584" i="3" l="1"/>
  <c r="H584" i="3" s="1"/>
  <c r="K584" i="3" s="1"/>
  <c r="AE584" i="3" s="1"/>
  <c r="AH584" i="3"/>
  <c r="D584" i="3"/>
  <c r="V584" i="3" l="1"/>
  <c r="A585" i="3"/>
  <c r="B585" i="3" s="1"/>
  <c r="F584" i="3"/>
  <c r="G584" i="3"/>
  <c r="Z585" i="3" l="1"/>
  <c r="AA585" i="3"/>
  <c r="P585" i="3"/>
  <c r="Q585" i="3" s="1"/>
  <c r="R585" i="3" s="1"/>
  <c r="S585" i="3" s="1"/>
  <c r="AD585" i="3"/>
  <c r="AC585" i="3"/>
  <c r="I584" i="3"/>
  <c r="W584" i="3" s="1"/>
  <c r="J584" i="3"/>
  <c r="AD584" i="3" s="1"/>
  <c r="M584" i="3"/>
  <c r="N584" i="3" s="1"/>
  <c r="T585" i="3" l="1"/>
  <c r="L584" i="3"/>
  <c r="AG585" i="3" l="1"/>
  <c r="U584" i="3"/>
  <c r="D585" i="3" s="1"/>
  <c r="AH585" i="3"/>
  <c r="Y583" i="3"/>
  <c r="G585" i="3" l="1"/>
  <c r="E585" i="3"/>
  <c r="H585" i="3" s="1"/>
  <c r="F585" i="3" l="1"/>
  <c r="I585" i="3"/>
  <c r="J585" i="3"/>
  <c r="M585" i="3"/>
  <c r="N585" i="3" s="1"/>
  <c r="K585" i="3"/>
  <c r="AE585" i="3" s="1"/>
  <c r="V585" i="3" l="1"/>
  <c r="W585" i="3" s="1"/>
  <c r="A586" i="3"/>
  <c r="B586" i="3" s="1"/>
  <c r="L585" i="3"/>
  <c r="U585" i="3" l="1"/>
  <c r="Y584" i="3"/>
  <c r="P586" i="3"/>
  <c r="Q586" i="3" s="1"/>
  <c r="R586" i="3" s="1"/>
  <c r="S586" i="3" s="1"/>
  <c r="AA586" i="3"/>
  <c r="Z586" i="3"/>
  <c r="AD586" i="3"/>
  <c r="AC586" i="3"/>
  <c r="T586" i="3" l="1"/>
  <c r="E586" i="3" s="1"/>
  <c r="H586" i="3" s="1"/>
  <c r="AH586" i="3" l="1"/>
  <c r="K586" i="3"/>
  <c r="AE586" i="3" s="1"/>
  <c r="AG586" i="3"/>
  <c r="D586" i="3"/>
  <c r="F586" i="3" l="1"/>
  <c r="G586" i="3"/>
  <c r="V586" i="3"/>
  <c r="A587" i="3"/>
  <c r="B587" i="3" s="1"/>
  <c r="AA587" i="3" l="1"/>
  <c r="Z587" i="3"/>
  <c r="AC587" i="3"/>
  <c r="P587" i="3"/>
  <c r="Q587" i="3" s="1"/>
  <c r="R587" i="3" s="1"/>
  <c r="S587" i="3" s="1"/>
  <c r="I586" i="3"/>
  <c r="W586" i="3" s="1"/>
  <c r="J586" i="3"/>
  <c r="M586" i="3"/>
  <c r="N586" i="3" s="1"/>
  <c r="T587" i="3" l="1"/>
  <c r="L586" i="3"/>
  <c r="AH587" i="3" l="1"/>
  <c r="U586" i="3"/>
  <c r="D587" i="3" s="1"/>
  <c r="AG587" i="3"/>
  <c r="Y585" i="3"/>
  <c r="G587" i="3" l="1"/>
  <c r="E587" i="3"/>
  <c r="H587" i="3" s="1"/>
  <c r="F587" i="3" l="1"/>
  <c r="K587" i="3"/>
  <c r="AE587" i="3" s="1"/>
  <c r="I587" i="3"/>
  <c r="J587" i="3"/>
  <c r="AD587" i="3" s="1"/>
  <c r="M587" i="3"/>
  <c r="N587" i="3" s="1"/>
  <c r="L587" i="3" l="1"/>
  <c r="V587" i="3"/>
  <c r="W587" i="3" s="1"/>
  <c r="A588" i="3"/>
  <c r="B588" i="3" s="1"/>
  <c r="U587" i="3" l="1"/>
  <c r="Y586" i="3"/>
  <c r="P588" i="3"/>
  <c r="Q588" i="3" s="1"/>
  <c r="R588" i="3" s="1"/>
  <c r="S588" i="3" s="1"/>
  <c r="Z588" i="3"/>
  <c r="AC588" i="3"/>
  <c r="AA588" i="3"/>
  <c r="T588" i="3" l="1"/>
  <c r="AH588" i="3" s="1"/>
  <c r="E588" i="3" l="1"/>
  <c r="H588" i="3" s="1"/>
  <c r="K588" i="3" s="1"/>
  <c r="AE588" i="3" s="1"/>
  <c r="AG588" i="3"/>
  <c r="D588" i="3"/>
  <c r="G588" i="3" s="1"/>
  <c r="F588" i="3" l="1"/>
  <c r="I588" i="3"/>
  <c r="J588" i="3"/>
  <c r="AD588" i="3" s="1"/>
  <c r="M588" i="3"/>
  <c r="N588" i="3" s="1"/>
  <c r="V588" i="3"/>
  <c r="A589" i="3"/>
  <c r="B589" i="3" s="1"/>
  <c r="W588" i="3" l="1"/>
  <c r="L588" i="3"/>
  <c r="AA589" i="3"/>
  <c r="Z589" i="3"/>
  <c r="AC589" i="3"/>
  <c r="P589" i="3"/>
  <c r="Q589" i="3" s="1"/>
  <c r="R589" i="3" s="1"/>
  <c r="S589" i="3" s="1"/>
  <c r="AD589" i="3"/>
  <c r="T589" i="3" l="1"/>
  <c r="AG589" i="3" s="1"/>
  <c r="U588" i="3"/>
  <c r="Y587" i="3"/>
  <c r="AH589" i="3" l="1"/>
  <c r="D589" i="3"/>
  <c r="E589" i="3"/>
  <c r="H589" i="3" s="1"/>
  <c r="F589" i="3" l="1"/>
  <c r="G589" i="3"/>
  <c r="K589" i="3"/>
  <c r="AE589" i="3" s="1"/>
  <c r="I589" i="3" l="1"/>
  <c r="J589" i="3"/>
  <c r="M589" i="3"/>
  <c r="N589" i="3" s="1"/>
  <c r="V589" i="3"/>
  <c r="A590" i="3"/>
  <c r="B590" i="3" s="1"/>
  <c r="W589" i="3" l="1"/>
  <c r="L589" i="3"/>
  <c r="P590" i="3"/>
  <c r="Q590" i="3" s="1"/>
  <c r="R590" i="3" s="1"/>
  <c r="S590" i="3" s="1"/>
  <c r="AC590" i="3"/>
  <c r="AA590" i="3"/>
  <c r="Z590" i="3"/>
  <c r="AD590" i="3"/>
  <c r="U589" i="3" l="1"/>
  <c r="Y588" i="3"/>
  <c r="T590" i="3"/>
  <c r="AH590" i="3" s="1"/>
  <c r="D590" i="3" l="1"/>
  <c r="G590" i="3" s="1"/>
  <c r="E590" i="3"/>
  <c r="H590" i="3" s="1"/>
  <c r="K590" i="3" s="1"/>
  <c r="AE590" i="3" s="1"/>
  <c r="AG590" i="3"/>
  <c r="F590" i="3" l="1"/>
  <c r="V590" i="3"/>
  <c r="A591" i="3"/>
  <c r="B591" i="3" s="1"/>
  <c r="I590" i="3"/>
  <c r="J590" i="3"/>
  <c r="M590" i="3"/>
  <c r="N590" i="3" s="1"/>
  <c r="W590" i="3" l="1"/>
  <c r="L590" i="3"/>
  <c r="AC591" i="3"/>
  <c r="P591" i="3"/>
  <c r="Q591" i="3" s="1"/>
  <c r="R591" i="3" s="1"/>
  <c r="S591" i="3" s="1"/>
  <c r="Z591" i="3"/>
  <c r="AA591" i="3"/>
  <c r="AD591" i="3"/>
  <c r="U590" i="3" l="1"/>
  <c r="Y589" i="3"/>
  <c r="T591" i="3"/>
  <c r="AG591" i="3" s="1"/>
  <c r="D591" i="3" l="1"/>
  <c r="G591" i="3" s="1"/>
  <c r="E591" i="3"/>
  <c r="H591" i="3" s="1"/>
  <c r="K591" i="3" s="1"/>
  <c r="AE591" i="3" s="1"/>
  <c r="AH591" i="3"/>
  <c r="F591" i="3" l="1"/>
  <c r="I591" i="3"/>
  <c r="J591" i="3"/>
  <c r="M591" i="3"/>
  <c r="N591" i="3" s="1"/>
  <c r="V591" i="3"/>
  <c r="A592" i="3"/>
  <c r="B592" i="3" s="1"/>
  <c r="W591" i="3" l="1"/>
  <c r="L591" i="3"/>
  <c r="AA592" i="3"/>
  <c r="AC592" i="3"/>
  <c r="Z592" i="3"/>
  <c r="AD592" i="3"/>
  <c r="P592" i="3"/>
  <c r="Q592" i="3" s="1"/>
  <c r="R592" i="3" s="1"/>
  <c r="S592" i="3" s="1"/>
  <c r="U591" i="3" l="1"/>
  <c r="Y590" i="3"/>
  <c r="T592" i="3"/>
  <c r="D592" i="3" l="1"/>
  <c r="G592" i="3" s="1"/>
  <c r="AH592" i="3"/>
  <c r="AG592" i="3"/>
  <c r="E592" i="3"/>
  <c r="H592" i="3" s="1"/>
  <c r="K592" i="3" s="1"/>
  <c r="AE592" i="3" s="1"/>
  <c r="F592" i="3" l="1"/>
  <c r="I592" i="3"/>
  <c r="J592" i="3"/>
  <c r="M592" i="3"/>
  <c r="N592" i="3" s="1"/>
  <c r="V592" i="3"/>
  <c r="A593" i="3"/>
  <c r="B593" i="3" s="1"/>
  <c r="W592" i="3" l="1"/>
  <c r="L592" i="3"/>
  <c r="Z593" i="3"/>
  <c r="P593" i="3"/>
  <c r="Q593" i="3" s="1"/>
  <c r="R593" i="3" s="1"/>
  <c r="S593" i="3" s="1"/>
  <c r="AD593" i="3"/>
  <c r="AA593" i="3"/>
  <c r="AC593" i="3"/>
  <c r="U592" i="3" l="1"/>
  <c r="Y591" i="3"/>
  <c r="T593" i="3"/>
  <c r="E593" i="3" l="1"/>
  <c r="H593" i="3" s="1"/>
  <c r="K593" i="3" s="1"/>
  <c r="AE593" i="3" s="1"/>
  <c r="D593" i="3"/>
  <c r="G593" i="3" s="1"/>
  <c r="AH593" i="3"/>
  <c r="AG593" i="3"/>
  <c r="F593" i="3" l="1"/>
  <c r="I593" i="3"/>
  <c r="J593" i="3"/>
  <c r="M593" i="3"/>
  <c r="N593" i="3" s="1"/>
  <c r="V593" i="3"/>
  <c r="A594" i="3"/>
  <c r="B594" i="3" s="1"/>
  <c r="W593" i="3" l="1"/>
  <c r="L593" i="3"/>
  <c r="Z594" i="3"/>
  <c r="AA594" i="3"/>
  <c r="P594" i="3"/>
  <c r="Q594" i="3" s="1"/>
  <c r="R594" i="3" s="1"/>
  <c r="S594" i="3" s="1"/>
  <c r="AC594" i="3"/>
  <c r="U593" i="3" l="1"/>
  <c r="Y592" i="3"/>
  <c r="T594" i="3"/>
  <c r="AG594" i="3" s="1"/>
  <c r="AH594" i="3" l="1"/>
  <c r="E594" i="3"/>
  <c r="H594" i="3" s="1"/>
  <c r="K594" i="3" s="1"/>
  <c r="AE594" i="3" s="1"/>
  <c r="D594" i="3"/>
  <c r="V594" i="3" l="1"/>
  <c r="A595" i="3"/>
  <c r="B595" i="3" s="1"/>
  <c r="F594" i="3"/>
  <c r="G594" i="3"/>
  <c r="I594" i="3" l="1"/>
  <c r="W594" i="3" s="1"/>
  <c r="J594" i="3"/>
  <c r="AD594" i="3" s="1"/>
  <c r="M594" i="3"/>
  <c r="N594" i="3" s="1"/>
  <c r="AC595" i="3"/>
  <c r="AA595" i="3"/>
  <c r="P595" i="3"/>
  <c r="Q595" i="3" s="1"/>
  <c r="R595" i="3" s="1"/>
  <c r="S595" i="3" s="1"/>
  <c r="Z595" i="3"/>
  <c r="T595" i="3" l="1"/>
  <c r="L594" i="3"/>
  <c r="AH595" i="3" l="1"/>
  <c r="U594" i="3"/>
  <c r="E595" i="3" s="1"/>
  <c r="H595" i="3" s="1"/>
  <c r="AG595" i="3"/>
  <c r="Y593" i="3"/>
  <c r="D595" i="3" l="1"/>
  <c r="G595" i="3" s="1"/>
  <c r="K595" i="3"/>
  <c r="AE595" i="3" s="1"/>
  <c r="F595" i="3" l="1"/>
  <c r="V595" i="3"/>
  <c r="A596" i="3"/>
  <c r="B596" i="3" s="1"/>
  <c r="I595" i="3"/>
  <c r="J595" i="3"/>
  <c r="AD595" i="3" s="1"/>
  <c r="M595" i="3"/>
  <c r="N595" i="3" s="1"/>
  <c r="W595" i="3" l="1"/>
  <c r="L595" i="3"/>
  <c r="P596" i="3"/>
  <c r="Q596" i="3" s="1"/>
  <c r="R596" i="3" s="1"/>
  <c r="S596" i="3" s="1"/>
  <c r="AA596" i="3"/>
  <c r="AC596" i="3"/>
  <c r="Z596" i="3"/>
  <c r="T596" i="3" l="1"/>
  <c r="AG596" i="3" s="1"/>
  <c r="U595" i="3"/>
  <c r="Y594" i="3"/>
  <c r="D596" i="3" l="1"/>
  <c r="E596" i="3"/>
  <c r="H596" i="3" s="1"/>
  <c r="AH596" i="3"/>
  <c r="F596" i="3" l="1"/>
  <c r="G596" i="3"/>
  <c r="K596" i="3"/>
  <c r="AE596" i="3" s="1"/>
  <c r="V596" i="3" l="1"/>
  <c r="A597" i="3"/>
  <c r="B597" i="3" s="1"/>
  <c r="I596" i="3"/>
  <c r="J596" i="3"/>
  <c r="AD596" i="3" s="1"/>
  <c r="M596" i="3"/>
  <c r="N596" i="3" s="1"/>
  <c r="W596" i="3" l="1"/>
  <c r="L596" i="3"/>
  <c r="Z597" i="3"/>
  <c r="P597" i="3"/>
  <c r="Q597" i="3" s="1"/>
  <c r="R597" i="3" s="1"/>
  <c r="S597" i="3" s="1"/>
  <c r="AA597" i="3"/>
  <c r="AC597" i="3"/>
  <c r="U596" i="3" l="1"/>
  <c r="Y595" i="3"/>
  <c r="T597" i="3"/>
  <c r="E597" i="3" l="1"/>
  <c r="H597" i="3" s="1"/>
  <c r="K597" i="3" s="1"/>
  <c r="AE597" i="3" s="1"/>
  <c r="AH597" i="3"/>
  <c r="AG597" i="3"/>
  <c r="D597" i="3"/>
  <c r="G597" i="3" s="1"/>
  <c r="F597" i="3" l="1"/>
  <c r="I597" i="3"/>
  <c r="J597" i="3"/>
  <c r="AD597" i="3" s="1"/>
  <c r="M597" i="3"/>
  <c r="N597" i="3" s="1"/>
  <c r="V597" i="3"/>
  <c r="A598" i="3"/>
  <c r="B598" i="3" s="1"/>
  <c r="W597" i="3" l="1"/>
  <c r="L597" i="3"/>
  <c r="AC598" i="3"/>
  <c r="P598" i="3"/>
  <c r="Q598" i="3" s="1"/>
  <c r="R598" i="3" s="1"/>
  <c r="S598" i="3" s="1"/>
  <c r="Z598" i="3"/>
  <c r="AA598" i="3"/>
  <c r="U597" i="3" l="1"/>
  <c r="Y596" i="3"/>
  <c r="T598" i="3"/>
  <c r="AG598" i="3" s="1"/>
  <c r="AH598" i="3" l="1"/>
  <c r="E598" i="3"/>
  <c r="H598" i="3" s="1"/>
  <c r="K598" i="3" s="1"/>
  <c r="AE598" i="3" s="1"/>
  <c r="D598" i="3"/>
  <c r="V598" i="3" l="1"/>
  <c r="A599" i="3"/>
  <c r="B599" i="3" s="1"/>
  <c r="F598" i="3"/>
  <c r="G598" i="3"/>
  <c r="I598" i="3" l="1"/>
  <c r="W598" i="3" s="1"/>
  <c r="J598" i="3"/>
  <c r="AD598" i="3" s="1"/>
  <c r="M598" i="3"/>
  <c r="N598" i="3" s="1"/>
  <c r="AC599" i="3"/>
  <c r="AA599" i="3"/>
  <c r="P599" i="3"/>
  <c r="Q599" i="3" s="1"/>
  <c r="R599" i="3" s="1"/>
  <c r="S599" i="3" s="1"/>
  <c r="Z599" i="3"/>
  <c r="T599" i="3" l="1"/>
  <c r="L598" i="3"/>
  <c r="U598" i="3" l="1"/>
  <c r="D599" i="3" s="1"/>
  <c r="AG599" i="3"/>
  <c r="AH599" i="3"/>
  <c r="Y597" i="3"/>
  <c r="G599" i="3" l="1"/>
  <c r="E599" i="3"/>
  <c r="H599" i="3" s="1"/>
  <c r="I599" i="3" l="1"/>
  <c r="J599" i="3"/>
  <c r="AD599" i="3" s="1"/>
  <c r="M599" i="3"/>
  <c r="N599" i="3" s="1"/>
  <c r="K599" i="3"/>
  <c r="AE599" i="3" s="1"/>
  <c r="F599" i="3"/>
  <c r="V599" i="3" l="1"/>
  <c r="W599" i="3" s="1"/>
  <c r="A600" i="3"/>
  <c r="B600" i="3" s="1"/>
  <c r="L599" i="3"/>
  <c r="U599" i="3" l="1"/>
  <c r="Y598" i="3"/>
  <c r="AC600" i="3"/>
  <c r="P600" i="3"/>
  <c r="Q600" i="3" s="1"/>
  <c r="R600" i="3" s="1"/>
  <c r="S600" i="3" s="1"/>
  <c r="Z600" i="3"/>
  <c r="AA600" i="3"/>
  <c r="T600" i="3" l="1"/>
  <c r="E600" i="3" s="1"/>
  <c r="H600" i="3" s="1"/>
  <c r="AH600" i="3" l="1"/>
  <c r="K600" i="3"/>
  <c r="AE600" i="3" s="1"/>
  <c r="AG600" i="3"/>
  <c r="D600" i="3"/>
  <c r="V600" i="3" l="1"/>
  <c r="A601" i="3"/>
  <c r="B601" i="3" s="1"/>
  <c r="F600" i="3"/>
  <c r="G600" i="3"/>
  <c r="I600" i="3" l="1"/>
  <c r="W600" i="3" s="1"/>
  <c r="J600" i="3"/>
  <c r="AD600" i="3" s="1"/>
  <c r="M600" i="3"/>
  <c r="N600" i="3" s="1"/>
  <c r="P601" i="3"/>
  <c r="Q601" i="3" s="1"/>
  <c r="R601" i="3" s="1"/>
  <c r="S601" i="3" s="1"/>
  <c r="AA601" i="3"/>
  <c r="AC601" i="3"/>
  <c r="Z601" i="3"/>
  <c r="T601" i="3" l="1"/>
  <c r="L600" i="3"/>
  <c r="AH601" i="3" l="1"/>
  <c r="U600" i="3"/>
  <c r="D601" i="3" s="1"/>
  <c r="AG601" i="3"/>
  <c r="Y599" i="3"/>
  <c r="E601" i="3" l="1"/>
  <c r="H601" i="3" s="1"/>
  <c r="K601" i="3" s="1"/>
  <c r="AE601" i="3" s="1"/>
  <c r="G601" i="3"/>
  <c r="F601" i="3" l="1"/>
  <c r="I601" i="3"/>
  <c r="J601" i="3"/>
  <c r="AD601" i="3" s="1"/>
  <c r="M601" i="3"/>
  <c r="N601" i="3" s="1"/>
  <c r="V601" i="3"/>
  <c r="A602" i="3"/>
  <c r="B602" i="3" s="1"/>
  <c r="W601" i="3" l="1"/>
  <c r="L601" i="3"/>
  <c r="P602" i="3"/>
  <c r="Q602" i="3" s="1"/>
  <c r="R602" i="3" s="1"/>
  <c r="S602" i="3" s="1"/>
  <c r="Z602" i="3"/>
  <c r="AC602" i="3"/>
  <c r="AA602" i="3"/>
  <c r="U601" i="3" l="1"/>
  <c r="Y600" i="3"/>
  <c r="T602" i="3"/>
  <c r="AG602" i="3" s="1"/>
  <c r="D602" i="3" l="1"/>
  <c r="E602" i="3"/>
  <c r="H602" i="3" s="1"/>
  <c r="AH602" i="3"/>
  <c r="K602" i="3" l="1"/>
  <c r="AE602" i="3" s="1"/>
  <c r="F602" i="3"/>
  <c r="G602" i="3"/>
  <c r="I602" i="3" l="1"/>
  <c r="J602" i="3"/>
  <c r="AD602" i="3" s="1"/>
  <c r="M602" i="3"/>
  <c r="N602" i="3" s="1"/>
  <c r="V602" i="3"/>
  <c r="A603" i="3"/>
  <c r="B603" i="3" s="1"/>
  <c r="W602" i="3" l="1"/>
  <c r="L602" i="3"/>
  <c r="AA603" i="3"/>
  <c r="AC603" i="3"/>
  <c r="Z603" i="3"/>
  <c r="P603" i="3"/>
  <c r="Q603" i="3" s="1"/>
  <c r="R603" i="3" s="1"/>
  <c r="S603" i="3" s="1"/>
  <c r="U602" i="3" l="1"/>
  <c r="Y601" i="3"/>
  <c r="T603" i="3"/>
  <c r="AG603" i="3" s="1"/>
  <c r="AH603" i="3" l="1"/>
  <c r="D603" i="3"/>
  <c r="G603" i="3" s="1"/>
  <c r="E603" i="3"/>
  <c r="H603" i="3" s="1"/>
  <c r="K603" i="3" s="1"/>
  <c r="AE603" i="3" s="1"/>
  <c r="F603" i="3" l="1"/>
  <c r="I603" i="3"/>
  <c r="J603" i="3"/>
  <c r="AD603" i="3" s="1"/>
  <c r="M603" i="3"/>
  <c r="N603" i="3" s="1"/>
  <c r="V603" i="3"/>
  <c r="A604" i="3"/>
  <c r="B604" i="3" s="1"/>
  <c r="W603" i="3" l="1"/>
  <c r="L603" i="3"/>
  <c r="AC604" i="3"/>
  <c r="Z604" i="3"/>
  <c r="AA604" i="3"/>
  <c r="P604" i="3"/>
  <c r="Q604" i="3" s="1"/>
  <c r="R604" i="3" s="1"/>
  <c r="S604" i="3" s="1"/>
  <c r="U603" i="3" l="1"/>
  <c r="Y602" i="3"/>
  <c r="T604" i="3"/>
  <c r="AH604" i="3" s="1"/>
  <c r="D604" i="3" l="1"/>
  <c r="E604" i="3"/>
  <c r="H604" i="3" s="1"/>
  <c r="AG604" i="3"/>
  <c r="F604" i="3" l="1"/>
  <c r="G604" i="3"/>
  <c r="K604" i="3"/>
  <c r="AE604" i="3" s="1"/>
  <c r="V604" i="3" l="1"/>
  <c r="A605" i="3"/>
  <c r="B605" i="3" s="1"/>
  <c r="I604" i="3"/>
  <c r="J604" i="3"/>
  <c r="AD604" i="3" s="1"/>
  <c r="M604" i="3"/>
  <c r="N604" i="3" s="1"/>
  <c r="W604" i="3" l="1"/>
  <c r="L604" i="3"/>
  <c r="P605" i="3"/>
  <c r="Q605" i="3" s="1"/>
  <c r="R605" i="3" s="1"/>
  <c r="S605" i="3" s="1"/>
  <c r="Z605" i="3"/>
  <c r="AA605" i="3"/>
  <c r="AD605" i="3"/>
  <c r="AC605" i="3"/>
  <c r="U604" i="3" l="1"/>
  <c r="Y603" i="3"/>
  <c r="T605" i="3"/>
  <c r="AG605" i="3" s="1"/>
  <c r="AH605" i="3" l="1"/>
  <c r="D605" i="3"/>
  <c r="E605" i="3"/>
  <c r="H605" i="3" s="1"/>
  <c r="K605" i="3" s="1"/>
  <c r="AE605" i="3" s="1"/>
  <c r="F605" i="3" l="1"/>
  <c r="G605" i="3"/>
  <c r="M605" i="3" s="1"/>
  <c r="N605" i="3" s="1"/>
  <c r="V605" i="3"/>
  <c r="A606" i="3"/>
  <c r="B606" i="3" s="1"/>
  <c r="I605" i="3" l="1"/>
  <c r="W605" i="3" s="1"/>
  <c r="J605" i="3"/>
  <c r="L605" i="3" s="1"/>
  <c r="P606" i="3"/>
  <c r="Q606" i="3" s="1"/>
  <c r="R606" i="3" s="1"/>
  <c r="S606" i="3" s="1"/>
  <c r="AC606" i="3"/>
  <c r="AD606" i="3"/>
  <c r="AA606" i="3"/>
  <c r="Z606" i="3"/>
  <c r="U605" i="3" l="1"/>
  <c r="Y604" i="3"/>
  <c r="T606" i="3"/>
  <c r="AG606" i="3" s="1"/>
  <c r="E606" i="3" l="1"/>
  <c r="H606" i="3" s="1"/>
  <c r="AH606" i="3"/>
  <c r="D606" i="3"/>
  <c r="F606" i="3" l="1"/>
  <c r="G606" i="3"/>
  <c r="K606" i="3"/>
  <c r="AE606" i="3" s="1"/>
  <c r="I606" i="3" l="1"/>
  <c r="J606" i="3"/>
  <c r="M606" i="3"/>
  <c r="N606" i="3" s="1"/>
  <c r="V606" i="3"/>
  <c r="A607" i="3"/>
  <c r="B607" i="3" s="1"/>
  <c r="W606" i="3" l="1"/>
  <c r="L606" i="3"/>
  <c r="Z607" i="3"/>
  <c r="AC607" i="3"/>
  <c r="P607" i="3"/>
  <c r="Q607" i="3" s="1"/>
  <c r="R607" i="3" s="1"/>
  <c r="S607" i="3" s="1"/>
  <c r="AA607" i="3"/>
  <c r="U606" i="3" l="1"/>
  <c r="Y605" i="3"/>
  <c r="T607" i="3"/>
  <c r="AH607" i="3" s="1"/>
  <c r="E607" i="3" l="1"/>
  <c r="H607" i="3" s="1"/>
  <c r="K607" i="3" s="1"/>
  <c r="AE607" i="3" s="1"/>
  <c r="D607" i="3"/>
  <c r="AG607" i="3"/>
  <c r="V607" i="3" l="1"/>
  <c r="A608" i="3"/>
  <c r="B608" i="3" s="1"/>
  <c r="F607" i="3"/>
  <c r="G607" i="3"/>
  <c r="I607" i="3" l="1"/>
  <c r="W607" i="3" s="1"/>
  <c r="J607" i="3"/>
  <c r="AD607" i="3" s="1"/>
  <c r="M607" i="3"/>
  <c r="N607" i="3" s="1"/>
  <c r="AA608" i="3"/>
  <c r="P608" i="3"/>
  <c r="Q608" i="3" s="1"/>
  <c r="R608" i="3" s="1"/>
  <c r="S608" i="3" s="1"/>
  <c r="Z608" i="3"/>
  <c r="AC608" i="3"/>
  <c r="T608" i="3" l="1"/>
  <c r="L607" i="3"/>
  <c r="AH608" i="3" l="1"/>
  <c r="AG608" i="3"/>
  <c r="U607" i="3"/>
  <c r="E608" i="3" s="1"/>
  <c r="H608" i="3" s="1"/>
  <c r="Y606" i="3"/>
  <c r="D608" i="3" l="1"/>
  <c r="G608" i="3" s="1"/>
  <c r="K608" i="3"/>
  <c r="AE608" i="3" s="1"/>
  <c r="F608" i="3" l="1"/>
  <c r="I608" i="3"/>
  <c r="J608" i="3"/>
  <c r="AD608" i="3" s="1"/>
  <c r="M608" i="3"/>
  <c r="N608" i="3" s="1"/>
  <c r="V608" i="3"/>
  <c r="A609" i="3"/>
  <c r="B609" i="3" s="1"/>
  <c r="L608" i="3" l="1"/>
  <c r="W608" i="3"/>
  <c r="Z609" i="3"/>
  <c r="P609" i="3"/>
  <c r="Q609" i="3" s="1"/>
  <c r="R609" i="3" s="1"/>
  <c r="S609" i="3" s="1"/>
  <c r="AC609" i="3"/>
  <c r="AA609" i="3"/>
  <c r="AD609" i="3"/>
  <c r="U608" i="3" l="1"/>
  <c r="Y607" i="3"/>
  <c r="T609" i="3"/>
  <c r="AG609" i="3" s="1"/>
  <c r="E609" i="3" l="1"/>
  <c r="H609" i="3" s="1"/>
  <c r="D609" i="3"/>
  <c r="AH609" i="3"/>
  <c r="K609" i="3" l="1"/>
  <c r="AE609" i="3" s="1"/>
  <c r="F609" i="3"/>
  <c r="G609" i="3"/>
  <c r="I609" i="3" l="1"/>
  <c r="J609" i="3"/>
  <c r="M609" i="3"/>
  <c r="N609" i="3" s="1"/>
  <c r="V609" i="3"/>
  <c r="A610" i="3"/>
  <c r="B610" i="3" s="1"/>
  <c r="L609" i="3" l="1"/>
  <c r="W609" i="3"/>
  <c r="AA610" i="3"/>
  <c r="P610" i="3"/>
  <c r="Q610" i="3" s="1"/>
  <c r="R610" i="3" s="1"/>
  <c r="S610" i="3" s="1"/>
  <c r="Z610" i="3"/>
  <c r="AC610" i="3"/>
  <c r="AD610" i="3"/>
  <c r="U609" i="3" l="1"/>
  <c r="Y608" i="3"/>
  <c r="T610" i="3"/>
  <c r="AG610" i="3" s="1"/>
  <c r="AH610" i="3" l="1"/>
  <c r="D610" i="3"/>
  <c r="G610" i="3" s="1"/>
  <c r="E610" i="3"/>
  <c r="H610" i="3" s="1"/>
  <c r="K610" i="3" s="1"/>
  <c r="AE610" i="3" s="1"/>
  <c r="F610" i="3" l="1"/>
  <c r="I610" i="3"/>
  <c r="J610" i="3"/>
  <c r="M610" i="3"/>
  <c r="N610" i="3" s="1"/>
  <c r="V610" i="3"/>
  <c r="A611" i="3"/>
  <c r="B611" i="3" s="1"/>
  <c r="W610" i="3" l="1"/>
  <c r="L610" i="3"/>
  <c r="AA611" i="3"/>
  <c r="P611" i="3"/>
  <c r="Q611" i="3" s="1"/>
  <c r="R611" i="3" s="1"/>
  <c r="S611" i="3" s="1"/>
  <c r="AC611" i="3"/>
  <c r="AD611" i="3"/>
  <c r="Z611" i="3"/>
  <c r="T611" i="3" l="1"/>
  <c r="U610" i="3"/>
  <c r="Y609" i="3"/>
  <c r="E611" i="3" l="1"/>
  <c r="H611" i="3" s="1"/>
  <c r="K611" i="3" s="1"/>
  <c r="AE611" i="3" s="1"/>
  <c r="AH611" i="3"/>
  <c r="AG611" i="3"/>
  <c r="D611" i="3"/>
  <c r="V611" i="3" l="1"/>
  <c r="A612" i="3"/>
  <c r="B612" i="3" s="1"/>
  <c r="F611" i="3"/>
  <c r="G611" i="3"/>
  <c r="I611" i="3" l="1"/>
  <c r="W611" i="3" s="1"/>
  <c r="J611" i="3"/>
  <c r="M611" i="3"/>
  <c r="N611" i="3" s="1"/>
  <c r="Z612" i="3"/>
  <c r="P612" i="3"/>
  <c r="Q612" i="3" s="1"/>
  <c r="R612" i="3" s="1"/>
  <c r="S612" i="3" s="1"/>
  <c r="AD612" i="3"/>
  <c r="AC612" i="3"/>
  <c r="AA612" i="3"/>
  <c r="T612" i="3" l="1"/>
  <c r="L611" i="3"/>
  <c r="U611" i="3" l="1"/>
  <c r="E612" i="3" s="1"/>
  <c r="H612" i="3" s="1"/>
  <c r="AH612" i="3"/>
  <c r="AG612" i="3"/>
  <c r="Y610" i="3"/>
  <c r="D612" i="3" l="1"/>
  <c r="G612" i="3" s="1"/>
  <c r="K612" i="3"/>
  <c r="AE612" i="3" s="1"/>
  <c r="F612" i="3" l="1"/>
  <c r="V612" i="3"/>
  <c r="A613" i="3"/>
  <c r="B613" i="3" s="1"/>
  <c r="I612" i="3"/>
  <c r="J612" i="3"/>
  <c r="M612" i="3"/>
  <c r="N612" i="3" s="1"/>
  <c r="W612" i="3" l="1"/>
  <c r="L612" i="3"/>
  <c r="P613" i="3"/>
  <c r="Q613" i="3" s="1"/>
  <c r="R613" i="3" s="1"/>
  <c r="S613" i="3" s="1"/>
  <c r="AD613" i="3"/>
  <c r="AA613" i="3"/>
  <c r="Z613" i="3"/>
  <c r="AC613" i="3"/>
  <c r="U612" i="3" l="1"/>
  <c r="Y611" i="3"/>
  <c r="T613" i="3"/>
  <c r="AG613" i="3" s="1"/>
  <c r="D613" i="3" l="1"/>
  <c r="AH613" i="3"/>
  <c r="E613" i="3"/>
  <c r="H613" i="3" s="1"/>
  <c r="F613" i="3" l="1"/>
  <c r="G613" i="3"/>
  <c r="K613" i="3"/>
  <c r="AE613" i="3" s="1"/>
  <c r="V613" i="3" l="1"/>
  <c r="A614" i="3"/>
  <c r="B614" i="3" s="1"/>
  <c r="I613" i="3"/>
  <c r="J613" i="3"/>
  <c r="M613" i="3"/>
  <c r="N613" i="3" s="1"/>
  <c r="W613" i="3" l="1"/>
  <c r="L613" i="3"/>
  <c r="AC614" i="3"/>
  <c r="AA614" i="3"/>
  <c r="Z614" i="3"/>
  <c r="P614" i="3"/>
  <c r="Q614" i="3" s="1"/>
  <c r="R614" i="3" s="1"/>
  <c r="S614" i="3" s="1"/>
  <c r="U613" i="3" l="1"/>
  <c r="Y612" i="3"/>
  <c r="T614" i="3"/>
  <c r="AG614" i="3" s="1"/>
  <c r="D614" i="3" l="1"/>
  <c r="G614" i="3" s="1"/>
  <c r="E614" i="3"/>
  <c r="H614" i="3" s="1"/>
  <c r="K614" i="3" s="1"/>
  <c r="AE614" i="3" s="1"/>
  <c r="AH614" i="3"/>
  <c r="F614" i="3" l="1"/>
  <c r="I614" i="3"/>
  <c r="J614" i="3"/>
  <c r="AD614" i="3" s="1"/>
  <c r="M614" i="3"/>
  <c r="N614" i="3" s="1"/>
  <c r="V614" i="3"/>
  <c r="A615" i="3"/>
  <c r="B615" i="3" s="1"/>
  <c r="L614" i="3" l="1"/>
  <c r="W614" i="3"/>
  <c r="P615" i="3"/>
  <c r="Q615" i="3" s="1"/>
  <c r="R615" i="3" s="1"/>
  <c r="S615" i="3" s="1"/>
  <c r="AC615" i="3"/>
  <c r="Z615" i="3"/>
  <c r="AA615" i="3"/>
  <c r="AD615" i="3"/>
  <c r="U614" i="3" l="1"/>
  <c r="Y613" i="3"/>
  <c r="T615" i="3"/>
  <c r="AH615" i="3" s="1"/>
  <c r="E615" i="3" l="1"/>
  <c r="H615" i="3" s="1"/>
  <c r="K615" i="3" s="1"/>
  <c r="AE615" i="3" s="1"/>
  <c r="AG615" i="3"/>
  <c r="D615" i="3"/>
  <c r="F615" i="3" l="1"/>
  <c r="G615" i="3"/>
  <c r="V615" i="3"/>
  <c r="A616" i="3"/>
  <c r="B616" i="3" s="1"/>
  <c r="AD616" i="3" l="1"/>
  <c r="P616" i="3"/>
  <c r="Q616" i="3" s="1"/>
  <c r="R616" i="3" s="1"/>
  <c r="S616" i="3" s="1"/>
  <c r="Z616" i="3"/>
  <c r="AC616" i="3"/>
  <c r="AA616" i="3"/>
  <c r="I615" i="3"/>
  <c r="W615" i="3" s="1"/>
  <c r="J615" i="3"/>
  <c r="M615" i="3"/>
  <c r="N615" i="3" s="1"/>
  <c r="L615" i="3" l="1"/>
  <c r="T616" i="3"/>
  <c r="U615" i="3" l="1"/>
  <c r="D616" i="3" s="1"/>
  <c r="AH616" i="3"/>
  <c r="AG616" i="3"/>
  <c r="Y614" i="3"/>
  <c r="E616" i="3" l="1"/>
  <c r="H616" i="3" s="1"/>
  <c r="K616" i="3" s="1"/>
  <c r="AE616" i="3" s="1"/>
  <c r="G616" i="3"/>
  <c r="F616" i="3" l="1"/>
  <c r="I616" i="3"/>
  <c r="J616" i="3"/>
  <c r="M616" i="3"/>
  <c r="N616" i="3" s="1"/>
  <c r="V616" i="3"/>
  <c r="A617" i="3"/>
  <c r="B617" i="3" s="1"/>
  <c r="W616" i="3" l="1"/>
  <c r="L616" i="3"/>
  <c r="Z617" i="3"/>
  <c r="AC617" i="3"/>
  <c r="P617" i="3"/>
  <c r="Q617" i="3" s="1"/>
  <c r="R617" i="3" s="1"/>
  <c r="S617" i="3" s="1"/>
  <c r="AA617" i="3"/>
  <c r="U616" i="3" l="1"/>
  <c r="Y615" i="3"/>
  <c r="T617" i="3"/>
  <c r="AG617" i="3" s="1"/>
  <c r="D617" i="3" l="1"/>
  <c r="G617" i="3" s="1"/>
  <c r="E617" i="3"/>
  <c r="H617" i="3" s="1"/>
  <c r="K617" i="3" s="1"/>
  <c r="AE617" i="3" s="1"/>
  <c r="AH617" i="3"/>
  <c r="F617" i="3" l="1"/>
  <c r="I617" i="3"/>
  <c r="J617" i="3"/>
  <c r="AD617" i="3" s="1"/>
  <c r="M617" i="3"/>
  <c r="N617" i="3" s="1"/>
  <c r="V617" i="3"/>
  <c r="A618" i="3"/>
  <c r="B618" i="3" s="1"/>
  <c r="W617" i="3" l="1"/>
  <c r="L617" i="3"/>
  <c r="P618" i="3"/>
  <c r="Q618" i="3" s="1"/>
  <c r="R618" i="3" s="1"/>
  <c r="S618" i="3" s="1"/>
  <c r="Z618" i="3"/>
  <c r="AC618" i="3"/>
  <c r="AA618" i="3"/>
  <c r="U617" i="3" l="1"/>
  <c r="Y616" i="3"/>
  <c r="T618" i="3"/>
  <c r="E618" i="3" l="1"/>
  <c r="H618" i="3" s="1"/>
  <c r="K618" i="3" s="1"/>
  <c r="AE618" i="3" s="1"/>
  <c r="AG618" i="3"/>
  <c r="D618" i="3"/>
  <c r="AH618" i="3"/>
  <c r="F618" i="3" l="1"/>
  <c r="G618" i="3"/>
  <c r="V618" i="3"/>
  <c r="A619" i="3"/>
  <c r="B619" i="3" s="1"/>
  <c r="P619" i="3" l="1"/>
  <c r="Q619" i="3" s="1"/>
  <c r="R619" i="3" s="1"/>
  <c r="S619" i="3" s="1"/>
  <c r="AD619" i="3"/>
  <c r="AA619" i="3"/>
  <c r="AC619" i="3"/>
  <c r="Z619" i="3"/>
  <c r="I618" i="3"/>
  <c r="W618" i="3" s="1"/>
  <c r="J618" i="3"/>
  <c r="AD618" i="3" s="1"/>
  <c r="M618" i="3"/>
  <c r="N618" i="3" s="1"/>
  <c r="T619" i="3" l="1"/>
  <c r="L618" i="3"/>
  <c r="AH619" i="3" l="1"/>
  <c r="AG619" i="3"/>
  <c r="U618" i="3"/>
  <c r="D619" i="3" s="1"/>
  <c r="Y617" i="3"/>
  <c r="E619" i="3" l="1"/>
  <c r="H619" i="3" s="1"/>
  <c r="K619" i="3" s="1"/>
  <c r="AE619" i="3" s="1"/>
  <c r="G619" i="3"/>
  <c r="F619" i="3" l="1"/>
  <c r="I619" i="3"/>
  <c r="J619" i="3"/>
  <c r="M619" i="3"/>
  <c r="N619" i="3" s="1"/>
  <c r="V619" i="3"/>
  <c r="A620" i="3"/>
  <c r="B620" i="3" s="1"/>
  <c r="W619" i="3" l="1"/>
  <c r="L619" i="3"/>
  <c r="AC620" i="3"/>
  <c r="AD620" i="3"/>
  <c r="P620" i="3"/>
  <c r="Q620" i="3" s="1"/>
  <c r="R620" i="3" s="1"/>
  <c r="S620" i="3" s="1"/>
  <c r="AA620" i="3"/>
  <c r="Z620" i="3"/>
  <c r="T620" i="3" l="1"/>
  <c r="AH620" i="3" s="1"/>
  <c r="U619" i="3"/>
  <c r="Y618" i="3"/>
  <c r="E620" i="3" l="1"/>
  <c r="H620" i="3" s="1"/>
  <c r="K620" i="3" s="1"/>
  <c r="AE620" i="3" s="1"/>
  <c r="D620" i="3"/>
  <c r="G620" i="3" s="1"/>
  <c r="AG620" i="3"/>
  <c r="F620" i="3" l="1"/>
  <c r="I620" i="3"/>
  <c r="J620" i="3"/>
  <c r="M620" i="3"/>
  <c r="N620" i="3" s="1"/>
  <c r="V620" i="3"/>
  <c r="A621" i="3"/>
  <c r="B621" i="3" s="1"/>
  <c r="W620" i="3" l="1"/>
  <c r="L620" i="3"/>
  <c r="AD621" i="3"/>
  <c r="AC621" i="3"/>
  <c r="AA621" i="3"/>
  <c r="P621" i="3"/>
  <c r="Q621" i="3" s="1"/>
  <c r="R621" i="3" s="1"/>
  <c r="S621" i="3" s="1"/>
  <c r="Z621" i="3"/>
  <c r="U620" i="3" l="1"/>
  <c r="Y619" i="3"/>
  <c r="T621" i="3"/>
  <c r="D621" i="3" l="1"/>
  <c r="G621" i="3" s="1"/>
  <c r="AH621" i="3"/>
  <c r="E621" i="3"/>
  <c r="H621" i="3" s="1"/>
  <c r="AG621" i="3"/>
  <c r="F621" i="3" l="1"/>
  <c r="I621" i="3"/>
  <c r="J621" i="3"/>
  <c r="M621" i="3"/>
  <c r="N621" i="3" s="1"/>
  <c r="K621" i="3"/>
  <c r="AE621" i="3" s="1"/>
  <c r="V621" i="3" l="1"/>
  <c r="W621" i="3" s="1"/>
  <c r="A622" i="3"/>
  <c r="B622" i="3" s="1"/>
  <c r="L621" i="3"/>
  <c r="U621" i="3" l="1"/>
  <c r="Y620" i="3"/>
  <c r="AA622" i="3"/>
  <c r="AC622" i="3"/>
  <c r="P622" i="3"/>
  <c r="Q622" i="3" s="1"/>
  <c r="R622" i="3" s="1"/>
  <c r="S622" i="3" s="1"/>
  <c r="Z622" i="3"/>
  <c r="AD622" i="3"/>
  <c r="T622" i="3" l="1"/>
  <c r="AG622" i="3" s="1"/>
  <c r="D622" i="3" l="1"/>
  <c r="E622" i="3"/>
  <c r="H622" i="3" s="1"/>
  <c r="K622" i="3" s="1"/>
  <c r="AE622" i="3" s="1"/>
  <c r="AH622" i="3"/>
  <c r="F622" i="3" l="1"/>
  <c r="G622" i="3"/>
  <c r="I622" i="3" s="1"/>
  <c r="V622" i="3"/>
  <c r="A623" i="3"/>
  <c r="B623" i="3" s="1"/>
  <c r="M622" i="3" l="1"/>
  <c r="N622" i="3" s="1"/>
  <c r="J622" i="3"/>
  <c r="L622" i="3" s="1"/>
  <c r="W622" i="3"/>
  <c r="P623" i="3"/>
  <c r="Q623" i="3" s="1"/>
  <c r="R623" i="3" s="1"/>
  <c r="S623" i="3" s="1"/>
  <c r="Z623" i="3"/>
  <c r="AD623" i="3"/>
  <c r="AA623" i="3"/>
  <c r="AC623" i="3"/>
  <c r="U622" i="3" l="1"/>
  <c r="Y621" i="3"/>
  <c r="T623" i="3"/>
  <c r="D623" i="3" l="1"/>
  <c r="G623" i="3" s="1"/>
  <c r="AH623" i="3"/>
  <c r="AG623" i="3"/>
  <c r="E623" i="3"/>
  <c r="H623" i="3" s="1"/>
  <c r="K623" i="3" l="1"/>
  <c r="AE623" i="3" s="1"/>
  <c r="I623" i="3"/>
  <c r="J623" i="3"/>
  <c r="M623" i="3"/>
  <c r="N623" i="3" s="1"/>
  <c r="F623" i="3"/>
  <c r="L623" i="3" l="1"/>
  <c r="V623" i="3"/>
  <c r="W623" i="3" s="1"/>
  <c r="A624" i="3"/>
  <c r="B624" i="3" s="1"/>
  <c r="U623" i="3" l="1"/>
  <c r="Y622" i="3"/>
  <c r="AA624" i="3"/>
  <c r="Z624" i="3"/>
  <c r="AC624" i="3"/>
  <c r="P624" i="3"/>
  <c r="Q624" i="3" s="1"/>
  <c r="R624" i="3" s="1"/>
  <c r="S624" i="3" s="1"/>
  <c r="T624" i="3" l="1"/>
  <c r="D624" i="3" s="1"/>
  <c r="AG624" i="3" l="1"/>
  <c r="AH624" i="3"/>
  <c r="E624" i="3"/>
  <c r="H624" i="3" s="1"/>
  <c r="K624" i="3" s="1"/>
  <c r="AE624" i="3" s="1"/>
  <c r="G624" i="3"/>
  <c r="F624" i="3" l="1"/>
  <c r="I624" i="3"/>
  <c r="J624" i="3"/>
  <c r="AD624" i="3" s="1"/>
  <c r="M624" i="3"/>
  <c r="N624" i="3" s="1"/>
  <c r="V624" i="3"/>
  <c r="A625" i="3"/>
  <c r="B625" i="3" s="1"/>
  <c r="W624" i="3" l="1"/>
  <c r="L624" i="3"/>
  <c r="P625" i="3"/>
  <c r="Q625" i="3" s="1"/>
  <c r="R625" i="3" s="1"/>
  <c r="S625" i="3" s="1"/>
  <c r="AD625" i="3"/>
  <c r="AA625" i="3"/>
  <c r="Z625" i="3"/>
  <c r="AC625" i="3"/>
  <c r="U624" i="3" l="1"/>
  <c r="Y623" i="3"/>
  <c r="T625" i="3"/>
  <c r="D625" i="3" l="1"/>
  <c r="G625" i="3" s="1"/>
  <c r="E625" i="3"/>
  <c r="H625" i="3" s="1"/>
  <c r="AH625" i="3"/>
  <c r="AG625" i="3"/>
  <c r="F625" i="3" l="1"/>
  <c r="I625" i="3"/>
  <c r="J625" i="3"/>
  <c r="M625" i="3"/>
  <c r="N625" i="3" s="1"/>
  <c r="K625" i="3"/>
  <c r="AE625" i="3" s="1"/>
  <c r="V625" i="3" l="1"/>
  <c r="W625" i="3" s="1"/>
  <c r="A626" i="3"/>
  <c r="B626" i="3" s="1"/>
  <c r="L625" i="3"/>
  <c r="U625" i="3" l="1"/>
  <c r="Y624" i="3"/>
  <c r="AD626" i="3"/>
  <c r="Z626" i="3"/>
  <c r="AC626" i="3"/>
  <c r="P626" i="3"/>
  <c r="Q626" i="3" s="1"/>
  <c r="R626" i="3" s="1"/>
  <c r="S626" i="3" s="1"/>
  <c r="AA626" i="3"/>
  <c r="T626" i="3" l="1"/>
  <c r="E626" i="3" s="1"/>
  <c r="H626" i="3" s="1"/>
  <c r="AG626" i="3" l="1"/>
  <c r="K626" i="3"/>
  <c r="AE626" i="3" s="1"/>
  <c r="D626" i="3"/>
  <c r="AH626" i="3"/>
  <c r="V626" i="3" l="1"/>
  <c r="A627" i="3"/>
  <c r="B627" i="3" s="1"/>
  <c r="F626" i="3"/>
  <c r="G626" i="3"/>
  <c r="I626" i="3" l="1"/>
  <c r="W626" i="3" s="1"/>
  <c r="J626" i="3"/>
  <c r="M626" i="3"/>
  <c r="N626" i="3" s="1"/>
  <c r="Z627" i="3"/>
  <c r="P627" i="3"/>
  <c r="Q627" i="3" s="1"/>
  <c r="R627" i="3" s="1"/>
  <c r="S627" i="3" s="1"/>
  <c r="AC627" i="3"/>
  <c r="AA627" i="3"/>
  <c r="L626" i="3" l="1"/>
  <c r="T627" i="3"/>
  <c r="AG627" i="3" l="1"/>
  <c r="U626" i="3"/>
  <c r="D627" i="3" s="1"/>
  <c r="AH627" i="3"/>
  <c r="Y625" i="3"/>
  <c r="G627" i="3" l="1"/>
  <c r="E627" i="3"/>
  <c r="H627" i="3" s="1"/>
  <c r="K627" i="3" l="1"/>
  <c r="AE627" i="3" s="1"/>
  <c r="I627" i="3"/>
  <c r="J627" i="3"/>
  <c r="AD627" i="3" s="1"/>
  <c r="M627" i="3"/>
  <c r="N627" i="3" s="1"/>
  <c r="F627" i="3"/>
  <c r="L627" i="3" l="1"/>
  <c r="V627" i="3"/>
  <c r="W627" i="3" s="1"/>
  <c r="A628" i="3"/>
  <c r="B628" i="3" s="1"/>
  <c r="Z628" i="3" l="1"/>
  <c r="AA628" i="3"/>
  <c r="P628" i="3"/>
  <c r="Q628" i="3" s="1"/>
  <c r="R628" i="3" s="1"/>
  <c r="S628" i="3" s="1"/>
  <c r="AC628" i="3"/>
  <c r="U627" i="3"/>
  <c r="Y626" i="3"/>
  <c r="T628" i="3" l="1"/>
  <c r="D628" i="3" l="1"/>
  <c r="E628" i="3"/>
  <c r="H628" i="3" s="1"/>
  <c r="AG628" i="3"/>
  <c r="AH628" i="3"/>
  <c r="F628" i="3" l="1"/>
  <c r="G628" i="3"/>
  <c r="K628" i="3"/>
  <c r="AE628" i="3" s="1"/>
  <c r="I628" i="3" l="1"/>
  <c r="J628" i="3"/>
  <c r="AD628" i="3" s="1"/>
  <c r="M628" i="3"/>
  <c r="N628" i="3" s="1"/>
  <c r="V628" i="3"/>
  <c r="A629" i="3"/>
  <c r="B629" i="3" s="1"/>
  <c r="W628" i="3" l="1"/>
  <c r="L628" i="3"/>
  <c r="AC629" i="3"/>
  <c r="AA629" i="3"/>
  <c r="P629" i="3"/>
  <c r="Q629" i="3" s="1"/>
  <c r="R629" i="3" s="1"/>
  <c r="S629" i="3" s="1"/>
  <c r="AD629" i="3"/>
  <c r="Z629" i="3"/>
  <c r="T629" i="3" l="1"/>
  <c r="U628" i="3"/>
  <c r="Y627" i="3"/>
  <c r="E629" i="3" l="1"/>
  <c r="H629" i="3" s="1"/>
  <c r="K629" i="3" s="1"/>
  <c r="AE629" i="3" s="1"/>
  <c r="AH629" i="3"/>
  <c r="AG629" i="3"/>
  <c r="D629" i="3"/>
  <c r="F629" i="3" l="1"/>
  <c r="G629" i="3"/>
  <c r="V629" i="3"/>
  <c r="A630" i="3"/>
  <c r="B630" i="3" s="1"/>
  <c r="I629" i="3" l="1"/>
  <c r="W629" i="3" s="1"/>
  <c r="J629" i="3"/>
  <c r="M629" i="3"/>
  <c r="N629" i="3" s="1"/>
  <c r="AD630" i="3"/>
  <c r="P630" i="3"/>
  <c r="Q630" i="3" s="1"/>
  <c r="R630" i="3" s="1"/>
  <c r="S630" i="3" s="1"/>
  <c r="AC630" i="3"/>
  <c r="AA630" i="3"/>
  <c r="Z630" i="3"/>
  <c r="T630" i="3" l="1"/>
  <c r="L629" i="3"/>
  <c r="U629" i="3" l="1"/>
  <c r="D630" i="3" s="1"/>
  <c r="AH630" i="3"/>
  <c r="AG630" i="3"/>
  <c r="Y628" i="3"/>
  <c r="G630" i="3" l="1"/>
  <c r="E630" i="3"/>
  <c r="H630" i="3" s="1"/>
  <c r="F630" i="3" l="1"/>
  <c r="K630" i="3"/>
  <c r="AE630" i="3" s="1"/>
  <c r="I630" i="3"/>
  <c r="J630" i="3"/>
  <c r="M630" i="3"/>
  <c r="N630" i="3" s="1"/>
  <c r="V630" i="3" l="1"/>
  <c r="W630" i="3" s="1"/>
  <c r="A631" i="3"/>
  <c r="B631" i="3" s="1"/>
  <c r="L630" i="3"/>
  <c r="U630" i="3" l="1"/>
  <c r="Y629" i="3"/>
  <c r="AD631" i="3"/>
  <c r="P631" i="3"/>
  <c r="Q631" i="3" s="1"/>
  <c r="R631" i="3" s="1"/>
  <c r="S631" i="3" s="1"/>
  <c r="AC631" i="3"/>
  <c r="AA631" i="3"/>
  <c r="Z631" i="3"/>
  <c r="T631" i="3" l="1"/>
  <c r="D631" i="3" s="1"/>
  <c r="AH631" i="3" l="1"/>
  <c r="E631" i="3"/>
  <c r="H631" i="3" s="1"/>
  <c r="K631" i="3" s="1"/>
  <c r="AE631" i="3" s="1"/>
  <c r="G631" i="3"/>
  <c r="AG631" i="3"/>
  <c r="F631" i="3" l="1"/>
  <c r="I631" i="3"/>
  <c r="J631" i="3"/>
  <c r="M631" i="3"/>
  <c r="N631" i="3" s="1"/>
  <c r="V631" i="3"/>
  <c r="A632" i="3"/>
  <c r="B632" i="3" s="1"/>
  <c r="L631" i="3" l="1"/>
  <c r="W631" i="3"/>
  <c r="AC632" i="3"/>
  <c r="AA632" i="3"/>
  <c r="Z632" i="3"/>
  <c r="P632" i="3"/>
  <c r="Q632" i="3" s="1"/>
  <c r="R632" i="3" s="1"/>
  <c r="S632" i="3" s="1"/>
  <c r="AD632" i="3"/>
  <c r="T632" i="3" l="1"/>
  <c r="U631" i="3"/>
  <c r="Y630" i="3"/>
  <c r="D632" i="3" l="1"/>
  <c r="G632" i="3" s="1"/>
  <c r="E632" i="3"/>
  <c r="H632" i="3" s="1"/>
  <c r="K632" i="3" s="1"/>
  <c r="AE632" i="3" s="1"/>
  <c r="AG632" i="3"/>
  <c r="AH632" i="3"/>
  <c r="F632" i="3" l="1"/>
  <c r="I632" i="3"/>
  <c r="J632" i="3"/>
  <c r="M632" i="3"/>
  <c r="N632" i="3" s="1"/>
  <c r="V632" i="3"/>
  <c r="A633" i="3"/>
  <c r="B633" i="3" s="1"/>
  <c r="W632" i="3" l="1"/>
  <c r="L632" i="3"/>
  <c r="AD633" i="3"/>
  <c r="Z633" i="3"/>
  <c r="AC633" i="3"/>
  <c r="P633" i="3"/>
  <c r="Q633" i="3" s="1"/>
  <c r="R633" i="3" s="1"/>
  <c r="S633" i="3" s="1"/>
  <c r="AA633" i="3"/>
  <c r="U632" i="3" l="1"/>
  <c r="Y631" i="3"/>
  <c r="T633" i="3"/>
  <c r="AG633" i="3" s="1"/>
  <c r="D633" i="3" l="1"/>
  <c r="G633" i="3" s="1"/>
  <c r="E633" i="3"/>
  <c r="H633" i="3" s="1"/>
  <c r="K633" i="3" s="1"/>
  <c r="AE633" i="3" s="1"/>
  <c r="AH633" i="3"/>
  <c r="F633" i="3" l="1"/>
  <c r="V633" i="3"/>
  <c r="A634" i="3"/>
  <c r="B634" i="3" s="1"/>
  <c r="I633" i="3"/>
  <c r="J633" i="3"/>
  <c r="M633" i="3"/>
  <c r="N633" i="3" s="1"/>
  <c r="L633" i="3" l="1"/>
  <c r="W633" i="3"/>
  <c r="P634" i="3"/>
  <c r="Q634" i="3" s="1"/>
  <c r="R634" i="3" s="1"/>
  <c r="S634" i="3" s="1"/>
  <c r="AA634" i="3"/>
  <c r="AC634" i="3"/>
  <c r="Z634" i="3"/>
  <c r="U633" i="3" l="1"/>
  <c r="Y632" i="3"/>
  <c r="T634" i="3"/>
  <c r="AH634" i="3" s="1"/>
  <c r="E634" i="3" l="1"/>
  <c r="H634" i="3" s="1"/>
  <c r="K634" i="3" s="1"/>
  <c r="AE634" i="3" s="1"/>
  <c r="AG634" i="3"/>
  <c r="D634" i="3"/>
  <c r="F634" i="3" l="1"/>
  <c r="G634" i="3"/>
  <c r="V634" i="3"/>
  <c r="A635" i="3"/>
  <c r="B635" i="3" s="1"/>
  <c r="Z635" i="3" l="1"/>
  <c r="AA635" i="3"/>
  <c r="P635" i="3"/>
  <c r="Q635" i="3" s="1"/>
  <c r="R635" i="3" s="1"/>
  <c r="S635" i="3" s="1"/>
  <c r="AD635" i="3"/>
  <c r="AC635" i="3"/>
  <c r="I634" i="3"/>
  <c r="W634" i="3" s="1"/>
  <c r="J634" i="3"/>
  <c r="AD634" i="3" s="1"/>
  <c r="M634" i="3"/>
  <c r="N634" i="3" s="1"/>
  <c r="T635" i="3" l="1"/>
  <c r="L634" i="3"/>
  <c r="AH635" i="3" l="1"/>
  <c r="U634" i="3"/>
  <c r="D635" i="3" s="1"/>
  <c r="AG635" i="3"/>
  <c r="Y633" i="3"/>
  <c r="E635" i="3" l="1"/>
  <c r="H635" i="3" s="1"/>
  <c r="K635" i="3" s="1"/>
  <c r="AE635" i="3" s="1"/>
  <c r="G635" i="3"/>
  <c r="F635" i="3" l="1"/>
  <c r="I635" i="3"/>
  <c r="J635" i="3"/>
  <c r="M635" i="3"/>
  <c r="N635" i="3" s="1"/>
  <c r="V635" i="3"/>
  <c r="A636" i="3"/>
  <c r="B636" i="3" s="1"/>
  <c r="W635" i="3" l="1"/>
  <c r="L635" i="3"/>
  <c r="AC636" i="3"/>
  <c r="AD636" i="3"/>
  <c r="AA636" i="3"/>
  <c r="P636" i="3"/>
  <c r="Q636" i="3" s="1"/>
  <c r="R636" i="3" s="1"/>
  <c r="S636" i="3" s="1"/>
  <c r="Z636" i="3"/>
  <c r="U635" i="3" l="1"/>
  <c r="Y634" i="3"/>
  <c r="T636" i="3"/>
  <c r="AG636" i="3" s="1"/>
  <c r="AH636" i="3" l="1"/>
  <c r="D636" i="3"/>
  <c r="E636" i="3"/>
  <c r="H636" i="3" s="1"/>
  <c r="F636" i="3" l="1"/>
  <c r="G636" i="3"/>
  <c r="K636" i="3"/>
  <c r="AE636" i="3" s="1"/>
  <c r="I636" i="3" l="1"/>
  <c r="J636" i="3"/>
  <c r="M636" i="3"/>
  <c r="N636" i="3" s="1"/>
  <c r="V636" i="3"/>
  <c r="A637" i="3"/>
  <c r="B637" i="3" s="1"/>
  <c r="W636" i="3" l="1"/>
  <c r="L636" i="3"/>
  <c r="Z637" i="3"/>
  <c r="P637" i="3"/>
  <c r="Q637" i="3" s="1"/>
  <c r="R637" i="3" s="1"/>
  <c r="S637" i="3" s="1"/>
  <c r="AC637" i="3"/>
  <c r="AA637" i="3"/>
  <c r="U636" i="3" l="1"/>
  <c r="Y635" i="3"/>
  <c r="T637" i="3"/>
  <c r="AG637" i="3" s="1"/>
  <c r="D637" i="3" l="1"/>
  <c r="AH637" i="3"/>
  <c r="E637" i="3"/>
  <c r="H637" i="3" s="1"/>
  <c r="F637" i="3" l="1"/>
  <c r="G637" i="3"/>
  <c r="K637" i="3"/>
  <c r="AE637" i="3" s="1"/>
  <c r="I637" i="3" l="1"/>
  <c r="J637" i="3"/>
  <c r="AD637" i="3" s="1"/>
  <c r="M637" i="3"/>
  <c r="N637" i="3" s="1"/>
  <c r="V637" i="3"/>
  <c r="A638" i="3"/>
  <c r="B638" i="3" s="1"/>
  <c r="W637" i="3" l="1"/>
  <c r="L637" i="3"/>
  <c r="P638" i="3"/>
  <c r="Q638" i="3" s="1"/>
  <c r="R638" i="3" s="1"/>
  <c r="S638" i="3" s="1"/>
  <c r="AC638" i="3"/>
  <c r="AA638" i="3"/>
  <c r="Z638" i="3"/>
  <c r="T638" i="3" l="1"/>
  <c r="AG638" i="3" s="1"/>
  <c r="U637" i="3"/>
  <c r="Y636" i="3"/>
  <c r="D638" i="3" l="1"/>
  <c r="G638" i="3" s="1"/>
  <c r="E638" i="3"/>
  <c r="H638" i="3" s="1"/>
  <c r="AH638" i="3"/>
  <c r="F638" i="3" l="1"/>
  <c r="I638" i="3"/>
  <c r="J638" i="3"/>
  <c r="AD638" i="3" s="1"/>
  <c r="M638" i="3"/>
  <c r="N638" i="3" s="1"/>
  <c r="K638" i="3"/>
  <c r="AE638" i="3" s="1"/>
  <c r="V638" i="3" l="1"/>
  <c r="W638" i="3" s="1"/>
  <c r="A639" i="3"/>
  <c r="B639" i="3" s="1"/>
  <c r="L638" i="3"/>
  <c r="U638" i="3" l="1"/>
  <c r="Y637" i="3"/>
  <c r="AC639" i="3"/>
  <c r="P639" i="3"/>
  <c r="Q639" i="3" s="1"/>
  <c r="R639" i="3" s="1"/>
  <c r="S639" i="3" s="1"/>
  <c r="AA639" i="3"/>
  <c r="AD639" i="3"/>
  <c r="Z639" i="3"/>
  <c r="T639" i="3" l="1"/>
  <c r="D639" i="3" s="1"/>
  <c r="AG639" i="3" l="1"/>
  <c r="E639" i="3"/>
  <c r="H639" i="3" s="1"/>
  <c r="K639" i="3" s="1"/>
  <c r="AE639" i="3" s="1"/>
  <c r="AH639" i="3"/>
  <c r="G639" i="3"/>
  <c r="F639" i="3" l="1"/>
  <c r="V639" i="3"/>
  <c r="A640" i="3"/>
  <c r="B640" i="3" s="1"/>
  <c r="I639" i="3"/>
  <c r="J639" i="3"/>
  <c r="M639" i="3"/>
  <c r="N639" i="3" s="1"/>
  <c r="W639" i="3" l="1"/>
  <c r="L639" i="3"/>
  <c r="AD640" i="3"/>
  <c r="P640" i="3"/>
  <c r="Q640" i="3" s="1"/>
  <c r="R640" i="3" s="1"/>
  <c r="S640" i="3" s="1"/>
  <c r="AA640" i="3"/>
  <c r="AC640" i="3"/>
  <c r="Z640" i="3"/>
  <c r="U639" i="3" l="1"/>
  <c r="Y638" i="3"/>
  <c r="T640" i="3"/>
  <c r="E640" i="3" l="1"/>
  <c r="H640" i="3" s="1"/>
  <c r="K640" i="3" s="1"/>
  <c r="AE640" i="3" s="1"/>
  <c r="D640" i="3"/>
  <c r="AG640" i="3"/>
  <c r="AH640" i="3"/>
  <c r="F640" i="3" l="1"/>
  <c r="G640" i="3"/>
  <c r="V640" i="3"/>
  <c r="A641" i="3"/>
  <c r="B641" i="3" s="1"/>
  <c r="AC641" i="3" l="1"/>
  <c r="AA641" i="3"/>
  <c r="AD641" i="3"/>
  <c r="Z641" i="3"/>
  <c r="P641" i="3"/>
  <c r="Q641" i="3" s="1"/>
  <c r="R641" i="3" s="1"/>
  <c r="S641" i="3" s="1"/>
  <c r="I640" i="3"/>
  <c r="W640" i="3" s="1"/>
  <c r="J640" i="3"/>
  <c r="M640" i="3"/>
  <c r="N640" i="3" s="1"/>
  <c r="L640" i="3" l="1"/>
  <c r="T641" i="3"/>
  <c r="U640" i="3" l="1"/>
  <c r="E641" i="3" s="1"/>
  <c r="H641" i="3" s="1"/>
  <c r="AG641" i="3"/>
  <c r="AH641" i="3"/>
  <c r="Y639" i="3"/>
  <c r="K641" i="3" l="1"/>
  <c r="AE641" i="3" s="1"/>
  <c r="D641" i="3"/>
  <c r="V641" i="3" l="1"/>
  <c r="A642" i="3"/>
  <c r="B642" i="3" s="1"/>
  <c r="F641" i="3"/>
  <c r="G641" i="3"/>
  <c r="I641" i="3" l="1"/>
  <c r="W641" i="3" s="1"/>
  <c r="J641" i="3"/>
  <c r="M641" i="3"/>
  <c r="N641" i="3" s="1"/>
  <c r="Z642" i="3"/>
  <c r="AD642" i="3"/>
  <c r="P642" i="3"/>
  <c r="Q642" i="3" s="1"/>
  <c r="R642" i="3" s="1"/>
  <c r="S642" i="3" s="1"/>
  <c r="AC642" i="3"/>
  <c r="AA642" i="3"/>
  <c r="T642" i="3" l="1"/>
  <c r="L641" i="3"/>
  <c r="U641" i="3" l="1"/>
  <c r="D642" i="3" s="1"/>
  <c r="AG642" i="3"/>
  <c r="AH642" i="3"/>
  <c r="Y640" i="3"/>
  <c r="E642" i="3" l="1"/>
  <c r="H642" i="3" s="1"/>
  <c r="K642" i="3" s="1"/>
  <c r="AE642" i="3" s="1"/>
  <c r="G642" i="3"/>
  <c r="F642" i="3" l="1"/>
  <c r="I642" i="3"/>
  <c r="J642" i="3"/>
  <c r="M642" i="3"/>
  <c r="N642" i="3" s="1"/>
  <c r="V642" i="3"/>
  <c r="A643" i="3"/>
  <c r="B643" i="3" s="1"/>
  <c r="W642" i="3" l="1"/>
  <c r="L642" i="3"/>
  <c r="AA643" i="3"/>
  <c r="AD643" i="3"/>
  <c r="AC643" i="3"/>
  <c r="P643" i="3"/>
  <c r="Q643" i="3" s="1"/>
  <c r="R643" i="3" s="1"/>
  <c r="S643" i="3" s="1"/>
  <c r="Z643" i="3"/>
  <c r="U642" i="3" l="1"/>
  <c r="Y641" i="3"/>
  <c r="T643" i="3"/>
  <c r="AH643" i="3" s="1"/>
  <c r="AG643" i="3" l="1"/>
  <c r="E643" i="3"/>
  <c r="H643" i="3" s="1"/>
  <c r="K643" i="3" s="1"/>
  <c r="AE643" i="3" s="1"/>
  <c r="D643" i="3"/>
  <c r="F643" i="3" l="1"/>
  <c r="G643" i="3"/>
  <c r="M643" i="3" s="1"/>
  <c r="N643" i="3" s="1"/>
  <c r="V643" i="3"/>
  <c r="A644" i="3"/>
  <c r="B644" i="3" s="1"/>
  <c r="I643" i="3" l="1"/>
  <c r="W643" i="3" s="1"/>
  <c r="J643" i="3"/>
  <c r="L643" i="3" s="1"/>
  <c r="P644" i="3"/>
  <c r="Q644" i="3" s="1"/>
  <c r="R644" i="3" s="1"/>
  <c r="S644" i="3" s="1"/>
  <c r="AA644" i="3"/>
  <c r="AC644" i="3"/>
  <c r="Z644" i="3"/>
  <c r="U643" i="3" l="1"/>
  <c r="Y642" i="3"/>
  <c r="T644" i="3"/>
  <c r="AG644" i="3" s="1"/>
  <c r="AH644" i="3" l="1"/>
  <c r="D644" i="3"/>
  <c r="E644" i="3"/>
  <c r="H644" i="3" s="1"/>
  <c r="K644" i="3" l="1"/>
  <c r="AE644" i="3" s="1"/>
  <c r="F644" i="3"/>
  <c r="G644" i="3"/>
  <c r="I644" i="3" l="1"/>
  <c r="J644" i="3"/>
  <c r="AD644" i="3" s="1"/>
  <c r="M644" i="3"/>
  <c r="N644" i="3" s="1"/>
  <c r="V644" i="3"/>
  <c r="A645" i="3"/>
  <c r="B645" i="3" s="1"/>
  <c r="L644" i="3" l="1"/>
  <c r="W644" i="3"/>
  <c r="Z645" i="3"/>
  <c r="P645" i="3"/>
  <c r="Q645" i="3" s="1"/>
  <c r="R645" i="3" s="1"/>
  <c r="S645" i="3" s="1"/>
  <c r="AD645" i="3"/>
  <c r="AA645" i="3"/>
  <c r="AC645" i="3"/>
  <c r="U644" i="3" l="1"/>
  <c r="Y643" i="3"/>
  <c r="T645" i="3"/>
  <c r="AG645" i="3" s="1"/>
  <c r="D645" i="3" l="1"/>
  <c r="AH645" i="3"/>
  <c r="E645" i="3"/>
  <c r="H645" i="3" s="1"/>
  <c r="F645" i="3" l="1"/>
  <c r="G645" i="3"/>
  <c r="K645" i="3"/>
  <c r="AE645" i="3" s="1"/>
  <c r="I645" i="3" l="1"/>
  <c r="J645" i="3"/>
  <c r="M645" i="3"/>
  <c r="N645" i="3" s="1"/>
  <c r="V645" i="3"/>
  <c r="A646" i="3"/>
  <c r="B646" i="3" s="1"/>
  <c r="W645" i="3" l="1"/>
  <c r="L645" i="3"/>
  <c r="AA646" i="3"/>
  <c r="Z646" i="3"/>
  <c r="AC646" i="3"/>
  <c r="AD646" i="3"/>
  <c r="P646" i="3"/>
  <c r="Q646" i="3" s="1"/>
  <c r="R646" i="3" s="1"/>
  <c r="S646" i="3" s="1"/>
  <c r="U645" i="3" l="1"/>
  <c r="Y644" i="3"/>
  <c r="T646" i="3"/>
  <c r="AG646" i="3" s="1"/>
  <c r="E646" i="3" l="1"/>
  <c r="H646" i="3" s="1"/>
  <c r="D646" i="3"/>
  <c r="AH646" i="3"/>
  <c r="F646" i="3" l="1"/>
  <c r="G646" i="3"/>
  <c r="K646" i="3"/>
  <c r="AE646" i="3" s="1"/>
  <c r="I646" i="3" l="1"/>
  <c r="J646" i="3"/>
  <c r="M646" i="3"/>
  <c r="N646" i="3" s="1"/>
  <c r="V646" i="3"/>
  <c r="A647" i="3"/>
  <c r="B647" i="3" s="1"/>
  <c r="L646" i="3" l="1"/>
  <c r="W646" i="3"/>
  <c r="P647" i="3"/>
  <c r="Q647" i="3" s="1"/>
  <c r="R647" i="3" s="1"/>
  <c r="S647" i="3" s="1"/>
  <c r="AC647" i="3"/>
  <c r="AA647" i="3"/>
  <c r="Z647" i="3"/>
  <c r="U646" i="3" l="1"/>
  <c r="Y645" i="3"/>
  <c r="T647" i="3"/>
  <c r="AG647" i="3" s="1"/>
  <c r="E647" i="3" l="1"/>
  <c r="H647" i="3" s="1"/>
  <c r="D647" i="3"/>
  <c r="AH647" i="3"/>
  <c r="F647" i="3" l="1"/>
  <c r="G647" i="3"/>
  <c r="K647" i="3"/>
  <c r="AE647" i="3" s="1"/>
  <c r="V647" i="3" l="1"/>
  <c r="A648" i="3"/>
  <c r="B648" i="3" s="1"/>
  <c r="I647" i="3"/>
  <c r="J647" i="3"/>
  <c r="AD647" i="3" s="1"/>
  <c r="M647" i="3"/>
  <c r="N647" i="3" s="1"/>
  <c r="W647" i="3" l="1"/>
  <c r="L647" i="3"/>
  <c r="AC648" i="3"/>
  <c r="AA648" i="3"/>
  <c r="P648" i="3"/>
  <c r="Q648" i="3" s="1"/>
  <c r="R648" i="3" s="1"/>
  <c r="S648" i="3" s="1"/>
  <c r="Z648" i="3"/>
  <c r="T648" i="3" l="1"/>
  <c r="AH648" i="3" s="1"/>
  <c r="U647" i="3"/>
  <c r="Y646" i="3"/>
  <c r="D648" i="3" l="1"/>
  <c r="AG648" i="3"/>
  <c r="E648" i="3"/>
  <c r="H648" i="3" s="1"/>
  <c r="F648" i="3" l="1"/>
  <c r="G648" i="3"/>
  <c r="K648" i="3"/>
  <c r="AE648" i="3" s="1"/>
  <c r="I648" i="3" l="1"/>
  <c r="J648" i="3"/>
  <c r="AD648" i="3" s="1"/>
  <c r="M648" i="3"/>
  <c r="N648" i="3" s="1"/>
  <c r="V648" i="3"/>
  <c r="A649" i="3"/>
  <c r="B649" i="3" s="1"/>
  <c r="W648" i="3" l="1"/>
  <c r="L648" i="3"/>
  <c r="AC649" i="3"/>
  <c r="AA649" i="3"/>
  <c r="AD649" i="3"/>
  <c r="P649" i="3"/>
  <c r="Q649" i="3" s="1"/>
  <c r="R649" i="3" s="1"/>
  <c r="S649" i="3" s="1"/>
  <c r="Z649" i="3"/>
  <c r="U648" i="3" l="1"/>
  <c r="Y647" i="3"/>
  <c r="T649" i="3"/>
  <c r="E649" i="3" l="1"/>
  <c r="H649" i="3" s="1"/>
  <c r="K649" i="3" s="1"/>
  <c r="AE649" i="3" s="1"/>
  <c r="D649" i="3"/>
  <c r="AH649" i="3"/>
  <c r="AG649" i="3"/>
  <c r="V649" i="3" l="1"/>
  <c r="A650" i="3"/>
  <c r="B650" i="3" s="1"/>
  <c r="F649" i="3"/>
  <c r="G649" i="3"/>
  <c r="I649" i="3" l="1"/>
  <c r="W649" i="3" s="1"/>
  <c r="J649" i="3"/>
  <c r="M649" i="3"/>
  <c r="N649" i="3" s="1"/>
  <c r="AA650" i="3"/>
  <c r="P650" i="3"/>
  <c r="Q650" i="3" s="1"/>
  <c r="R650" i="3" s="1"/>
  <c r="S650" i="3" s="1"/>
  <c r="Z650" i="3"/>
  <c r="AD650" i="3"/>
  <c r="AC650" i="3"/>
  <c r="L649" i="3" l="1"/>
  <c r="T650" i="3"/>
  <c r="U649" i="3" l="1"/>
  <c r="E650" i="3" s="1"/>
  <c r="H650" i="3" s="1"/>
  <c r="AG650" i="3"/>
  <c r="AH650" i="3"/>
  <c r="Y648" i="3"/>
  <c r="K650" i="3" l="1"/>
  <c r="AE650" i="3" s="1"/>
  <c r="D650" i="3"/>
  <c r="V650" i="3" l="1"/>
  <c r="A651" i="3"/>
  <c r="B651" i="3" s="1"/>
  <c r="F650" i="3"/>
  <c r="G650" i="3"/>
  <c r="I650" i="3" l="1"/>
  <c r="W650" i="3" s="1"/>
  <c r="J650" i="3"/>
  <c r="M650" i="3"/>
  <c r="N650" i="3" s="1"/>
  <c r="Z651" i="3"/>
  <c r="AC651" i="3"/>
  <c r="P651" i="3"/>
  <c r="Q651" i="3" s="1"/>
  <c r="R651" i="3" s="1"/>
  <c r="S651" i="3" s="1"/>
  <c r="AA651" i="3"/>
  <c r="AD651" i="3"/>
  <c r="T651" i="3" l="1"/>
  <c r="L650" i="3"/>
  <c r="AH651" i="3" l="1"/>
  <c r="U650" i="3"/>
  <c r="E651" i="3" s="1"/>
  <c r="H651" i="3" s="1"/>
  <c r="AG651" i="3"/>
  <c r="Y649" i="3"/>
  <c r="D651" i="3" l="1"/>
  <c r="G651" i="3" s="1"/>
  <c r="K651" i="3"/>
  <c r="AE651" i="3" s="1"/>
  <c r="F651" i="3" l="1"/>
  <c r="I651" i="3"/>
  <c r="J651" i="3"/>
  <c r="M651" i="3"/>
  <c r="N651" i="3" s="1"/>
  <c r="V651" i="3"/>
  <c r="A652" i="3"/>
  <c r="B652" i="3" s="1"/>
  <c r="W651" i="3" l="1"/>
  <c r="L651" i="3"/>
  <c r="P652" i="3"/>
  <c r="Q652" i="3" s="1"/>
  <c r="R652" i="3" s="1"/>
  <c r="S652" i="3" s="1"/>
  <c r="AC652" i="3"/>
  <c r="AA652" i="3"/>
  <c r="Z652" i="3"/>
  <c r="AD652" i="3"/>
  <c r="U651" i="3" l="1"/>
  <c r="Y650" i="3"/>
  <c r="T652" i="3"/>
  <c r="E652" i="3" l="1"/>
  <c r="H652" i="3" s="1"/>
  <c r="K652" i="3" s="1"/>
  <c r="AE652" i="3" s="1"/>
  <c r="AH652" i="3"/>
  <c r="AG652" i="3"/>
  <c r="D652" i="3"/>
  <c r="G652" i="3" s="1"/>
  <c r="F652" i="3" l="1"/>
  <c r="V652" i="3"/>
  <c r="A653" i="3"/>
  <c r="B653" i="3" s="1"/>
  <c r="I652" i="3"/>
  <c r="J652" i="3"/>
  <c r="M652" i="3"/>
  <c r="N652" i="3" s="1"/>
  <c r="W652" i="3" l="1"/>
  <c r="L652" i="3"/>
  <c r="Z653" i="3"/>
  <c r="AA653" i="3"/>
  <c r="P653" i="3"/>
  <c r="Q653" i="3" s="1"/>
  <c r="R653" i="3" s="1"/>
  <c r="S653" i="3" s="1"/>
  <c r="AD653" i="3"/>
  <c r="AC653" i="3"/>
  <c r="T653" i="3" l="1"/>
  <c r="AG653" i="3" s="1"/>
  <c r="U652" i="3"/>
  <c r="Y651" i="3"/>
  <c r="AH653" i="3" l="1"/>
  <c r="E653" i="3"/>
  <c r="H653" i="3" s="1"/>
  <c r="D653" i="3"/>
  <c r="K653" i="3" l="1"/>
  <c r="AE653" i="3" s="1"/>
  <c r="F653" i="3"/>
  <c r="G653" i="3"/>
  <c r="V653" i="3" l="1"/>
  <c r="A654" i="3"/>
  <c r="B654" i="3" s="1"/>
  <c r="I653" i="3"/>
  <c r="J653" i="3"/>
  <c r="M653" i="3"/>
  <c r="N653" i="3" s="1"/>
  <c r="W653" i="3" l="1"/>
  <c r="L653" i="3"/>
  <c r="Z654" i="3"/>
  <c r="P654" i="3"/>
  <c r="Q654" i="3" s="1"/>
  <c r="R654" i="3" s="1"/>
  <c r="S654" i="3" s="1"/>
  <c r="AC654" i="3"/>
  <c r="AA654" i="3"/>
  <c r="T654" i="3" l="1"/>
  <c r="AG654" i="3" s="1"/>
  <c r="U653" i="3"/>
  <c r="Y652" i="3"/>
  <c r="AH654" i="3" l="1"/>
  <c r="E654" i="3"/>
  <c r="H654" i="3" s="1"/>
  <c r="D654" i="3"/>
  <c r="K654" i="3" l="1"/>
  <c r="AE654" i="3" s="1"/>
  <c r="F654" i="3"/>
  <c r="G654" i="3"/>
  <c r="V654" i="3" l="1"/>
  <c r="A655" i="3"/>
  <c r="B655" i="3" s="1"/>
  <c r="I654" i="3"/>
  <c r="J654" i="3"/>
  <c r="AD654" i="3" s="1"/>
  <c r="M654" i="3"/>
  <c r="N654" i="3" s="1"/>
  <c r="L654" i="3" l="1"/>
  <c r="AD655" i="3"/>
  <c r="AC655" i="3"/>
  <c r="P655" i="3"/>
  <c r="Q655" i="3" s="1"/>
  <c r="R655" i="3" s="1"/>
  <c r="S655" i="3" s="1"/>
  <c r="Z655" i="3"/>
  <c r="AA655" i="3"/>
  <c r="W654" i="3"/>
  <c r="U654" i="3" l="1"/>
  <c r="Y653" i="3"/>
  <c r="T655" i="3"/>
  <c r="AH655" i="3" s="1"/>
  <c r="AG655" i="3" l="1"/>
  <c r="D655" i="3"/>
  <c r="E655" i="3"/>
  <c r="H655" i="3" s="1"/>
  <c r="K655" i="3" l="1"/>
  <c r="AE655" i="3" s="1"/>
  <c r="F655" i="3"/>
  <c r="G655" i="3"/>
  <c r="V655" i="3" l="1"/>
  <c r="A656" i="3"/>
  <c r="B656" i="3" s="1"/>
  <c r="I655" i="3"/>
  <c r="J655" i="3"/>
  <c r="M655" i="3"/>
  <c r="N655" i="3" s="1"/>
  <c r="W655" i="3" l="1"/>
  <c r="L655" i="3"/>
  <c r="Z656" i="3"/>
  <c r="AA656" i="3"/>
  <c r="AD656" i="3"/>
  <c r="AC656" i="3"/>
  <c r="P656" i="3"/>
  <c r="Q656" i="3" s="1"/>
  <c r="R656" i="3" s="1"/>
  <c r="S656" i="3" s="1"/>
  <c r="T656" i="3" l="1"/>
  <c r="U655" i="3"/>
  <c r="Y654" i="3"/>
  <c r="E656" i="3" l="1"/>
  <c r="H656" i="3" s="1"/>
  <c r="K656" i="3" s="1"/>
  <c r="AE656" i="3" s="1"/>
  <c r="AH656" i="3"/>
  <c r="D656" i="3"/>
  <c r="AG656" i="3"/>
  <c r="F656" i="3" l="1"/>
  <c r="G656" i="3"/>
  <c r="V656" i="3"/>
  <c r="A657" i="3"/>
  <c r="B657" i="3" s="1"/>
  <c r="I656" i="3" l="1"/>
  <c r="W656" i="3" s="1"/>
  <c r="J656" i="3"/>
  <c r="M656" i="3"/>
  <c r="N656" i="3" s="1"/>
  <c r="AC657" i="3"/>
  <c r="P657" i="3"/>
  <c r="Q657" i="3" s="1"/>
  <c r="R657" i="3" s="1"/>
  <c r="S657" i="3" s="1"/>
  <c r="AA657" i="3"/>
  <c r="Z657" i="3"/>
  <c r="L656" i="3" l="1"/>
  <c r="T657" i="3"/>
  <c r="AH657" i="3" l="1"/>
  <c r="U656" i="3"/>
  <c r="E657" i="3" s="1"/>
  <c r="H657" i="3" s="1"/>
  <c r="AG657" i="3"/>
  <c r="Y655" i="3"/>
  <c r="D657" i="3" l="1"/>
  <c r="G657" i="3" s="1"/>
  <c r="K657" i="3"/>
  <c r="AE657" i="3" s="1"/>
  <c r="F657" i="3" l="1"/>
  <c r="I657" i="3"/>
  <c r="J657" i="3"/>
  <c r="AD657" i="3" s="1"/>
  <c r="M657" i="3"/>
  <c r="N657" i="3" s="1"/>
  <c r="V657" i="3"/>
  <c r="A658" i="3"/>
  <c r="B658" i="3" s="1"/>
  <c r="W657" i="3" l="1"/>
  <c r="L657" i="3"/>
  <c r="AC658" i="3"/>
  <c r="Z658" i="3"/>
  <c r="AA658" i="3"/>
  <c r="P658" i="3"/>
  <c r="Q658" i="3" s="1"/>
  <c r="R658" i="3" s="1"/>
  <c r="S658" i="3" s="1"/>
  <c r="U657" i="3" l="1"/>
  <c r="Y656" i="3"/>
  <c r="T658" i="3"/>
  <c r="AG658" i="3" s="1"/>
  <c r="E658" i="3" l="1"/>
  <c r="H658" i="3" s="1"/>
  <c r="D658" i="3"/>
  <c r="AH658" i="3"/>
  <c r="K658" i="3" l="1"/>
  <c r="AE658" i="3" s="1"/>
  <c r="F658" i="3"/>
  <c r="G658" i="3"/>
  <c r="I658" i="3" l="1"/>
  <c r="J658" i="3"/>
  <c r="AD658" i="3" s="1"/>
  <c r="M658" i="3"/>
  <c r="N658" i="3" s="1"/>
  <c r="V658" i="3"/>
  <c r="A659" i="3"/>
  <c r="B659" i="3" s="1"/>
  <c r="W658" i="3" l="1"/>
  <c r="L658" i="3"/>
  <c r="AA659" i="3"/>
  <c r="P659" i="3"/>
  <c r="Q659" i="3" s="1"/>
  <c r="R659" i="3" s="1"/>
  <c r="S659" i="3" s="1"/>
  <c r="Z659" i="3"/>
  <c r="AD659" i="3"/>
  <c r="AC659" i="3"/>
  <c r="U658" i="3" l="1"/>
  <c r="Y657" i="3"/>
  <c r="T659" i="3"/>
  <c r="AH659" i="3" s="1"/>
  <c r="E659" i="3" l="1"/>
  <c r="H659" i="3" s="1"/>
  <c r="K659" i="3" s="1"/>
  <c r="AE659" i="3" s="1"/>
  <c r="AG659" i="3"/>
  <c r="D659" i="3"/>
  <c r="G659" i="3" s="1"/>
  <c r="F659" i="3" l="1"/>
  <c r="I659" i="3"/>
  <c r="J659" i="3"/>
  <c r="M659" i="3"/>
  <c r="N659" i="3" s="1"/>
  <c r="V659" i="3"/>
  <c r="A660" i="3"/>
  <c r="B660" i="3" s="1"/>
  <c r="W659" i="3" l="1"/>
  <c r="L659" i="3"/>
  <c r="AA660" i="3"/>
  <c r="P660" i="3"/>
  <c r="Q660" i="3" s="1"/>
  <c r="R660" i="3" s="1"/>
  <c r="S660" i="3" s="1"/>
  <c r="AC660" i="3"/>
  <c r="AD660" i="3"/>
  <c r="Z660" i="3"/>
  <c r="T660" i="3" l="1"/>
  <c r="AH660" i="3" s="1"/>
  <c r="U659" i="3"/>
  <c r="Y658" i="3"/>
  <c r="AG660" i="3" l="1"/>
  <c r="D660" i="3"/>
  <c r="E660" i="3"/>
  <c r="H660" i="3" s="1"/>
  <c r="K660" i="3" l="1"/>
  <c r="AE660" i="3" s="1"/>
  <c r="F660" i="3"/>
  <c r="G660" i="3"/>
  <c r="I660" i="3" l="1"/>
  <c r="J660" i="3"/>
  <c r="M660" i="3"/>
  <c r="N660" i="3" s="1"/>
  <c r="V660" i="3"/>
  <c r="A661" i="3"/>
  <c r="B661" i="3" s="1"/>
  <c r="L660" i="3" l="1"/>
  <c r="W660" i="3"/>
  <c r="Z661" i="3"/>
  <c r="P661" i="3"/>
  <c r="Q661" i="3" s="1"/>
  <c r="R661" i="3" s="1"/>
  <c r="S661" i="3" s="1"/>
  <c r="AA661" i="3"/>
  <c r="AD661" i="3"/>
  <c r="AC661" i="3"/>
  <c r="T661" i="3" l="1"/>
  <c r="U660" i="3"/>
  <c r="Y659" i="3"/>
  <c r="E661" i="3" l="1"/>
  <c r="H661" i="3" s="1"/>
  <c r="K661" i="3" s="1"/>
  <c r="AE661" i="3" s="1"/>
  <c r="D661" i="3"/>
  <c r="AH661" i="3"/>
  <c r="AG661" i="3"/>
  <c r="V661" i="3" l="1"/>
  <c r="A662" i="3"/>
  <c r="B662" i="3" s="1"/>
  <c r="F661" i="3"/>
  <c r="G661" i="3"/>
  <c r="I661" i="3" l="1"/>
  <c r="W661" i="3" s="1"/>
  <c r="J661" i="3"/>
  <c r="M661" i="3"/>
  <c r="N661" i="3" s="1"/>
  <c r="P662" i="3"/>
  <c r="Q662" i="3" s="1"/>
  <c r="R662" i="3" s="1"/>
  <c r="S662" i="3" s="1"/>
  <c r="Z662" i="3"/>
  <c r="AD662" i="3"/>
  <c r="AA662" i="3"/>
  <c r="AC662" i="3"/>
  <c r="T662" i="3" l="1"/>
  <c r="L661" i="3"/>
  <c r="AH662" i="3" l="1"/>
  <c r="AG662" i="3"/>
  <c r="U661" i="3"/>
  <c r="E662" i="3" s="1"/>
  <c r="H662" i="3" s="1"/>
  <c r="Y660" i="3"/>
  <c r="D662" i="3" l="1"/>
  <c r="F662" i="3" s="1"/>
  <c r="K662" i="3"/>
  <c r="AE662" i="3" s="1"/>
  <c r="G662" i="3" l="1"/>
  <c r="I662" i="3" s="1"/>
  <c r="V662" i="3"/>
  <c r="A663" i="3"/>
  <c r="B663" i="3" s="1"/>
  <c r="J662" i="3" l="1"/>
  <c r="L662" i="3" s="1"/>
  <c r="M662" i="3"/>
  <c r="N662" i="3" s="1"/>
  <c r="W662" i="3"/>
  <c r="AA663" i="3"/>
  <c r="Z663" i="3"/>
  <c r="P663" i="3"/>
  <c r="Q663" i="3" s="1"/>
  <c r="R663" i="3" s="1"/>
  <c r="S663" i="3" s="1"/>
  <c r="AC663" i="3"/>
  <c r="AD663" i="3"/>
  <c r="U662" i="3" l="1"/>
  <c r="Y661" i="3"/>
  <c r="T663" i="3"/>
  <c r="E663" i="3" l="1"/>
  <c r="H663" i="3" s="1"/>
  <c r="K663" i="3" s="1"/>
  <c r="AE663" i="3" s="1"/>
  <c r="AG663" i="3"/>
  <c r="AH663" i="3"/>
  <c r="D663" i="3"/>
  <c r="F663" i="3" l="1"/>
  <c r="G663" i="3"/>
  <c r="V663" i="3"/>
  <c r="A664" i="3"/>
  <c r="B664" i="3" s="1"/>
  <c r="P664" i="3" l="1"/>
  <c r="Q664" i="3" s="1"/>
  <c r="R664" i="3" s="1"/>
  <c r="S664" i="3" s="1"/>
  <c r="AA664" i="3"/>
  <c r="AC664" i="3"/>
  <c r="Z664" i="3"/>
  <c r="I663" i="3"/>
  <c r="W663" i="3" s="1"/>
  <c r="J663" i="3"/>
  <c r="M663" i="3"/>
  <c r="N663" i="3" s="1"/>
  <c r="T664" i="3" l="1"/>
  <c r="L663" i="3"/>
  <c r="AH664" i="3" l="1"/>
  <c r="U663" i="3"/>
  <c r="E664" i="3" s="1"/>
  <c r="H664" i="3" s="1"/>
  <c r="AG664" i="3"/>
  <c r="Y662" i="3"/>
  <c r="D664" i="3" l="1"/>
  <c r="G664" i="3" s="1"/>
  <c r="K664" i="3"/>
  <c r="AE664" i="3" s="1"/>
  <c r="F664" i="3" l="1"/>
  <c r="I664" i="3"/>
  <c r="J664" i="3"/>
  <c r="AD664" i="3" s="1"/>
  <c r="M664" i="3"/>
  <c r="N664" i="3" s="1"/>
  <c r="V664" i="3"/>
  <c r="A665" i="3"/>
  <c r="B665" i="3" s="1"/>
  <c r="W664" i="3" l="1"/>
  <c r="L664" i="3"/>
  <c r="AC665" i="3"/>
  <c r="P665" i="3"/>
  <c r="Q665" i="3" s="1"/>
  <c r="R665" i="3" s="1"/>
  <c r="S665" i="3" s="1"/>
  <c r="AA665" i="3"/>
  <c r="Z665" i="3"/>
  <c r="AD665" i="3"/>
  <c r="U664" i="3" l="1"/>
  <c r="Y663" i="3"/>
  <c r="T665" i="3"/>
  <c r="D665" i="3" l="1"/>
  <c r="G665" i="3" s="1"/>
  <c r="AG665" i="3"/>
  <c r="E665" i="3"/>
  <c r="H665" i="3" s="1"/>
  <c r="AH665" i="3"/>
  <c r="F665" i="3" l="1"/>
  <c r="I665" i="3"/>
  <c r="J665" i="3"/>
  <c r="M665" i="3"/>
  <c r="N665" i="3" s="1"/>
  <c r="K665" i="3"/>
  <c r="AE665" i="3" s="1"/>
  <c r="L665" i="3" l="1"/>
  <c r="V665" i="3"/>
  <c r="W665" i="3" s="1"/>
  <c r="A666" i="3"/>
  <c r="B666" i="3" s="1"/>
  <c r="U665" i="3" l="1"/>
  <c r="Y664" i="3"/>
  <c r="AA666" i="3"/>
  <c r="AD666" i="3"/>
  <c r="P666" i="3"/>
  <c r="Q666" i="3" s="1"/>
  <c r="R666" i="3" s="1"/>
  <c r="S666" i="3" s="1"/>
  <c r="Z666" i="3"/>
  <c r="AC666" i="3"/>
  <c r="T666" i="3" l="1"/>
  <c r="D666" i="3" s="1"/>
  <c r="AG666" i="3" l="1"/>
  <c r="E666" i="3"/>
  <c r="H666" i="3" s="1"/>
  <c r="K666" i="3" s="1"/>
  <c r="AE666" i="3" s="1"/>
  <c r="AH666" i="3"/>
  <c r="G666" i="3"/>
  <c r="F666" i="3" l="1"/>
  <c r="I666" i="3"/>
  <c r="J666" i="3"/>
  <c r="M666" i="3"/>
  <c r="N666" i="3" s="1"/>
  <c r="V666" i="3"/>
  <c r="A667" i="3"/>
  <c r="B667" i="3" s="1"/>
  <c r="L666" i="3" l="1"/>
  <c r="W666" i="3"/>
  <c r="AC667" i="3"/>
  <c r="Z667" i="3"/>
  <c r="P667" i="3"/>
  <c r="Q667" i="3" s="1"/>
  <c r="R667" i="3" s="1"/>
  <c r="S667" i="3" s="1"/>
  <c r="AA667" i="3"/>
  <c r="U666" i="3" l="1"/>
  <c r="Y665" i="3"/>
  <c r="T667" i="3"/>
  <c r="AG667" i="3" s="1"/>
  <c r="D667" i="3" l="1"/>
  <c r="E667" i="3"/>
  <c r="H667" i="3" s="1"/>
  <c r="AH667" i="3"/>
  <c r="F667" i="3" l="1"/>
  <c r="G667" i="3"/>
  <c r="K667" i="3"/>
  <c r="AE667" i="3" s="1"/>
  <c r="I667" i="3" l="1"/>
  <c r="J667" i="3"/>
  <c r="AD667" i="3" s="1"/>
  <c r="M667" i="3"/>
  <c r="N667" i="3" s="1"/>
  <c r="V667" i="3"/>
  <c r="A668" i="3"/>
  <c r="B668" i="3" s="1"/>
  <c r="W667" i="3" l="1"/>
  <c r="L667" i="3"/>
  <c r="Z668" i="3"/>
  <c r="P668" i="3"/>
  <c r="Q668" i="3" s="1"/>
  <c r="R668" i="3" s="1"/>
  <c r="S668" i="3" s="1"/>
  <c r="AC668" i="3"/>
  <c r="AA668" i="3"/>
  <c r="T668" i="3" l="1"/>
  <c r="AH668" i="3" s="1"/>
  <c r="U667" i="3"/>
  <c r="Y666" i="3"/>
  <c r="D668" i="3" l="1"/>
  <c r="G668" i="3" s="1"/>
  <c r="AG668" i="3"/>
  <c r="E668" i="3"/>
  <c r="H668" i="3" s="1"/>
  <c r="F668" i="3" l="1"/>
  <c r="I668" i="3"/>
  <c r="J668" i="3"/>
  <c r="AD668" i="3" s="1"/>
  <c r="M668" i="3"/>
  <c r="N668" i="3" s="1"/>
  <c r="K668" i="3"/>
  <c r="AE668" i="3" s="1"/>
  <c r="L668" i="3" l="1"/>
  <c r="V668" i="3"/>
  <c r="W668" i="3" s="1"/>
  <c r="A669" i="3"/>
  <c r="B669" i="3" s="1"/>
  <c r="AA669" i="3" l="1"/>
  <c r="P669" i="3"/>
  <c r="Q669" i="3" s="1"/>
  <c r="R669" i="3" s="1"/>
  <c r="S669" i="3" s="1"/>
  <c r="AD669" i="3"/>
  <c r="AC669" i="3"/>
  <c r="Z669" i="3"/>
  <c r="U668" i="3"/>
  <c r="Y667" i="3"/>
  <c r="T669" i="3" l="1"/>
  <c r="AH669" i="3" l="1"/>
  <c r="AG669" i="3"/>
  <c r="D669" i="3"/>
  <c r="E669" i="3"/>
  <c r="H669" i="3" s="1"/>
  <c r="F669" i="3" l="1"/>
  <c r="G669" i="3"/>
  <c r="K669" i="3"/>
  <c r="AE669" i="3" s="1"/>
  <c r="V669" i="3" l="1"/>
  <c r="A670" i="3"/>
  <c r="B670" i="3" s="1"/>
  <c r="I669" i="3"/>
  <c r="J669" i="3"/>
  <c r="M669" i="3"/>
  <c r="N669" i="3" s="1"/>
  <c r="L669" i="3" l="1"/>
  <c r="W669" i="3"/>
  <c r="AD670" i="3"/>
  <c r="P670" i="3"/>
  <c r="Q670" i="3" s="1"/>
  <c r="R670" i="3" s="1"/>
  <c r="S670" i="3" s="1"/>
  <c r="AA670" i="3"/>
  <c r="Z670" i="3"/>
  <c r="AC670" i="3"/>
  <c r="T670" i="3" l="1"/>
  <c r="U669" i="3"/>
  <c r="Y668" i="3"/>
  <c r="E670" i="3" l="1"/>
  <c r="H670" i="3" s="1"/>
  <c r="K670" i="3" s="1"/>
  <c r="AE670" i="3" s="1"/>
  <c r="AH670" i="3"/>
  <c r="AG670" i="3"/>
  <c r="D670" i="3"/>
  <c r="V670" i="3" l="1"/>
  <c r="A671" i="3"/>
  <c r="B671" i="3" s="1"/>
  <c r="F670" i="3"/>
  <c r="G670" i="3"/>
  <c r="I670" i="3" l="1"/>
  <c r="W670" i="3" s="1"/>
  <c r="J670" i="3"/>
  <c r="M670" i="3"/>
  <c r="N670" i="3" s="1"/>
  <c r="AC671" i="3"/>
  <c r="Z671" i="3"/>
  <c r="AD671" i="3"/>
  <c r="AA671" i="3"/>
  <c r="P671" i="3"/>
  <c r="Q671" i="3" s="1"/>
  <c r="R671" i="3" s="1"/>
  <c r="S671" i="3" s="1"/>
  <c r="T671" i="3" l="1"/>
  <c r="L670" i="3"/>
  <c r="U670" i="3" l="1"/>
  <c r="E671" i="3" s="1"/>
  <c r="H671" i="3" s="1"/>
  <c r="AG671" i="3"/>
  <c r="AH671" i="3"/>
  <c r="Y669" i="3"/>
  <c r="D671" i="3" l="1"/>
  <c r="G671" i="3" s="1"/>
  <c r="K671" i="3"/>
  <c r="AE671" i="3" s="1"/>
  <c r="F671" i="3" l="1"/>
  <c r="V671" i="3"/>
  <c r="A672" i="3"/>
  <c r="B672" i="3" s="1"/>
  <c r="I671" i="3"/>
  <c r="J671" i="3"/>
  <c r="M671" i="3"/>
  <c r="N671" i="3" s="1"/>
  <c r="W671" i="3" l="1"/>
  <c r="L671" i="3"/>
  <c r="AD672" i="3"/>
  <c r="P672" i="3"/>
  <c r="Q672" i="3" s="1"/>
  <c r="R672" i="3" s="1"/>
  <c r="S672" i="3" s="1"/>
  <c r="AC672" i="3"/>
  <c r="Z672" i="3"/>
  <c r="AA672" i="3"/>
  <c r="T672" i="3" l="1"/>
  <c r="AG672" i="3" s="1"/>
  <c r="U671" i="3"/>
  <c r="Y670" i="3"/>
  <c r="E672" i="3" l="1"/>
  <c r="H672" i="3" s="1"/>
  <c r="K672" i="3" s="1"/>
  <c r="AE672" i="3" s="1"/>
  <c r="D672" i="3"/>
  <c r="AH672" i="3"/>
  <c r="F672" i="3" l="1"/>
  <c r="G672" i="3"/>
  <c r="V672" i="3"/>
  <c r="A673" i="3"/>
  <c r="B673" i="3" s="1"/>
  <c r="AC673" i="3" l="1"/>
  <c r="AA673" i="3"/>
  <c r="P673" i="3"/>
  <c r="Q673" i="3" s="1"/>
  <c r="R673" i="3" s="1"/>
  <c r="S673" i="3" s="1"/>
  <c r="AD673" i="3"/>
  <c r="Z673" i="3"/>
  <c r="I672" i="3"/>
  <c r="W672" i="3" s="1"/>
  <c r="J672" i="3"/>
  <c r="M672" i="3"/>
  <c r="N672" i="3" s="1"/>
  <c r="L672" i="3" l="1"/>
  <c r="T673" i="3"/>
  <c r="AH673" i="3" l="1"/>
  <c r="AG673" i="3"/>
  <c r="U672" i="3"/>
  <c r="E673" i="3" s="1"/>
  <c r="H673" i="3" s="1"/>
  <c r="Y671" i="3"/>
  <c r="K673" i="3" l="1"/>
  <c r="AE673" i="3" s="1"/>
  <c r="D673" i="3"/>
  <c r="V673" i="3" l="1"/>
  <c r="A674" i="3"/>
  <c r="B674" i="3" s="1"/>
  <c r="F673" i="3"/>
  <c r="G673" i="3"/>
  <c r="I673" i="3" l="1"/>
  <c r="W673" i="3" s="1"/>
  <c r="J673" i="3"/>
  <c r="M673" i="3"/>
  <c r="N673" i="3" s="1"/>
  <c r="P674" i="3"/>
  <c r="Q674" i="3" s="1"/>
  <c r="R674" i="3" s="1"/>
  <c r="S674" i="3" s="1"/>
  <c r="AA674" i="3"/>
  <c r="Z674" i="3"/>
  <c r="AC674" i="3"/>
  <c r="T674" i="3" l="1"/>
  <c r="L673" i="3"/>
  <c r="AH674" i="3" l="1"/>
  <c r="U673" i="3"/>
  <c r="E674" i="3" s="1"/>
  <c r="H674" i="3" s="1"/>
  <c r="AG674" i="3"/>
  <c r="Y672" i="3"/>
  <c r="D674" i="3" l="1"/>
  <c r="G674" i="3" s="1"/>
  <c r="K674" i="3"/>
  <c r="AE674" i="3" s="1"/>
  <c r="F674" i="3" l="1"/>
  <c r="I674" i="3"/>
  <c r="J674" i="3"/>
  <c r="AD674" i="3" s="1"/>
  <c r="M674" i="3"/>
  <c r="N674" i="3" s="1"/>
  <c r="V674" i="3"/>
  <c r="A675" i="3"/>
  <c r="B675" i="3" s="1"/>
  <c r="W674" i="3" l="1"/>
  <c r="L674" i="3"/>
  <c r="P675" i="3"/>
  <c r="Q675" i="3" s="1"/>
  <c r="R675" i="3" s="1"/>
  <c r="S675" i="3" s="1"/>
  <c r="AA675" i="3"/>
  <c r="AC675" i="3"/>
  <c r="Z675" i="3"/>
  <c r="U674" i="3" l="1"/>
  <c r="Y673" i="3"/>
  <c r="T675" i="3"/>
  <c r="AH675" i="3" s="1"/>
  <c r="AG675" i="3" l="1"/>
  <c r="D675" i="3"/>
  <c r="E675" i="3"/>
  <c r="H675" i="3" s="1"/>
  <c r="F675" i="3" l="1"/>
  <c r="G675" i="3"/>
  <c r="K675" i="3"/>
  <c r="AE675" i="3" s="1"/>
  <c r="I675" i="3" l="1"/>
  <c r="J675" i="3"/>
  <c r="AD675" i="3" s="1"/>
  <c r="M675" i="3"/>
  <c r="N675" i="3" s="1"/>
  <c r="V675" i="3"/>
  <c r="A676" i="3"/>
  <c r="B676" i="3" s="1"/>
  <c r="W675" i="3" l="1"/>
  <c r="L675" i="3"/>
  <c r="AC676" i="3"/>
  <c r="P676" i="3"/>
  <c r="Q676" i="3" s="1"/>
  <c r="R676" i="3" s="1"/>
  <c r="S676" i="3" s="1"/>
  <c r="Z676" i="3"/>
  <c r="AA676" i="3"/>
  <c r="T676" i="3" l="1"/>
  <c r="U675" i="3"/>
  <c r="Y674" i="3"/>
  <c r="E676" i="3" l="1"/>
  <c r="H676" i="3" s="1"/>
  <c r="K676" i="3" s="1"/>
  <c r="AE676" i="3" s="1"/>
  <c r="AH676" i="3"/>
  <c r="D676" i="3"/>
  <c r="G676" i="3" s="1"/>
  <c r="AG676" i="3"/>
  <c r="F676" i="3" l="1"/>
  <c r="I676" i="3"/>
  <c r="J676" i="3"/>
  <c r="AD676" i="3" s="1"/>
  <c r="M676" i="3"/>
  <c r="N676" i="3" s="1"/>
  <c r="V676" i="3"/>
  <c r="A677" i="3"/>
  <c r="B677" i="3" s="1"/>
  <c r="W676" i="3" l="1"/>
  <c r="L676" i="3"/>
  <c r="AA677" i="3"/>
  <c r="AC677" i="3"/>
  <c r="Z677" i="3"/>
  <c r="P677" i="3"/>
  <c r="Q677" i="3" s="1"/>
  <c r="R677" i="3" s="1"/>
  <c r="S677" i="3" s="1"/>
  <c r="U676" i="3" l="1"/>
  <c r="Y675" i="3"/>
  <c r="T677" i="3"/>
  <c r="AG677" i="3" s="1"/>
  <c r="D677" i="3" l="1"/>
  <c r="G677" i="3" s="1"/>
  <c r="AH677" i="3"/>
  <c r="E677" i="3"/>
  <c r="H677" i="3" s="1"/>
  <c r="F677" i="3" l="1"/>
  <c r="I677" i="3"/>
  <c r="J677" i="3"/>
  <c r="AD677" i="3" s="1"/>
  <c r="M677" i="3"/>
  <c r="N677" i="3" s="1"/>
  <c r="K677" i="3"/>
  <c r="AE677" i="3" s="1"/>
  <c r="V677" i="3" l="1"/>
  <c r="W677" i="3" s="1"/>
  <c r="A678" i="3"/>
  <c r="B678" i="3" s="1"/>
  <c r="L677" i="3"/>
  <c r="U677" i="3" l="1"/>
  <c r="Y676" i="3"/>
  <c r="P678" i="3"/>
  <c r="Q678" i="3" s="1"/>
  <c r="R678" i="3" s="1"/>
  <c r="S678" i="3" s="1"/>
  <c r="Z678" i="3"/>
  <c r="AC678" i="3"/>
  <c r="AA678" i="3"/>
  <c r="T678" i="3" l="1"/>
  <c r="AH678" i="3" s="1"/>
  <c r="E678" i="3" l="1"/>
  <c r="H678" i="3" s="1"/>
  <c r="K678" i="3" s="1"/>
  <c r="AE678" i="3" s="1"/>
  <c r="D678" i="3"/>
  <c r="AG678" i="3"/>
  <c r="F678" i="3" l="1"/>
  <c r="G678" i="3"/>
  <c r="J678" i="3" s="1"/>
  <c r="AD678" i="3" s="1"/>
  <c r="V678" i="3"/>
  <c r="A679" i="3"/>
  <c r="B679" i="3" s="1"/>
  <c r="M678" i="3" l="1"/>
  <c r="N678" i="3" s="1"/>
  <c r="I678" i="3"/>
  <c r="W678" i="3" s="1"/>
  <c r="L678" i="3"/>
  <c r="P679" i="3"/>
  <c r="Q679" i="3" s="1"/>
  <c r="R679" i="3" s="1"/>
  <c r="S679" i="3" s="1"/>
  <c r="AA679" i="3"/>
  <c r="Z679" i="3"/>
  <c r="AC679" i="3"/>
  <c r="T679" i="3" l="1"/>
  <c r="U678" i="3"/>
  <c r="Y677" i="3"/>
  <c r="E679" i="3" l="1"/>
  <c r="H679" i="3" s="1"/>
  <c r="K679" i="3" s="1"/>
  <c r="AE679" i="3" s="1"/>
  <c r="AH679" i="3"/>
  <c r="AG679" i="3"/>
  <c r="D679" i="3"/>
  <c r="F679" i="3" l="1"/>
  <c r="G679" i="3"/>
  <c r="V679" i="3"/>
  <c r="A680" i="3"/>
  <c r="B680" i="3" s="1"/>
  <c r="AC680" i="3" l="1"/>
  <c r="P680" i="3"/>
  <c r="Q680" i="3" s="1"/>
  <c r="R680" i="3" s="1"/>
  <c r="S680" i="3" s="1"/>
  <c r="AA680" i="3"/>
  <c r="Z680" i="3"/>
  <c r="I679" i="3"/>
  <c r="W679" i="3" s="1"/>
  <c r="J679" i="3"/>
  <c r="AD679" i="3" s="1"/>
  <c r="M679" i="3"/>
  <c r="N679" i="3" s="1"/>
  <c r="L679" i="3" l="1"/>
  <c r="T680" i="3"/>
  <c r="AH680" i="3" l="1"/>
  <c r="U679" i="3"/>
  <c r="E680" i="3" s="1"/>
  <c r="H680" i="3" s="1"/>
  <c r="AG680" i="3"/>
  <c r="Y678" i="3"/>
  <c r="D680" i="3" l="1"/>
  <c r="G680" i="3" s="1"/>
  <c r="K680" i="3"/>
  <c r="AE680" i="3" s="1"/>
  <c r="F680" i="3" l="1"/>
  <c r="I680" i="3"/>
  <c r="J680" i="3"/>
  <c r="AD680" i="3" s="1"/>
  <c r="M680" i="3"/>
  <c r="N680" i="3" s="1"/>
  <c r="V680" i="3"/>
  <c r="A681" i="3"/>
  <c r="B681" i="3" s="1"/>
  <c r="W680" i="3" l="1"/>
  <c r="L680" i="3"/>
  <c r="AA681" i="3"/>
  <c r="P681" i="3"/>
  <c r="Q681" i="3" s="1"/>
  <c r="R681" i="3" s="1"/>
  <c r="S681" i="3" s="1"/>
  <c r="Z681" i="3"/>
  <c r="AC681" i="3"/>
  <c r="U680" i="3" l="1"/>
  <c r="Y679" i="3"/>
  <c r="T681" i="3"/>
  <c r="E681" i="3" l="1"/>
  <c r="H681" i="3" s="1"/>
  <c r="K681" i="3" s="1"/>
  <c r="AE681" i="3" s="1"/>
  <c r="AG681" i="3"/>
  <c r="AH681" i="3"/>
  <c r="D681" i="3"/>
  <c r="F681" i="3" l="1"/>
  <c r="G681" i="3"/>
  <c r="V681" i="3"/>
  <c r="A682" i="3"/>
  <c r="B682" i="3" s="1"/>
  <c r="Z682" i="3" l="1"/>
  <c r="P682" i="3"/>
  <c r="Q682" i="3" s="1"/>
  <c r="R682" i="3" s="1"/>
  <c r="S682" i="3" s="1"/>
  <c r="AC682" i="3"/>
  <c r="AA682" i="3"/>
  <c r="I681" i="3"/>
  <c r="W681" i="3" s="1"/>
  <c r="J681" i="3"/>
  <c r="AD681" i="3" s="1"/>
  <c r="M681" i="3"/>
  <c r="N681" i="3" s="1"/>
  <c r="L681" i="3" l="1"/>
  <c r="T682" i="3"/>
  <c r="U681" i="3" l="1"/>
  <c r="E682" i="3" s="1"/>
  <c r="H682" i="3" s="1"/>
  <c r="AG682" i="3"/>
  <c r="AH682" i="3"/>
  <c r="Y680" i="3"/>
  <c r="D682" i="3" l="1"/>
  <c r="G682" i="3" s="1"/>
  <c r="K682" i="3"/>
  <c r="AE682" i="3" s="1"/>
  <c r="F682" i="3" l="1"/>
  <c r="V682" i="3"/>
  <c r="A683" i="3"/>
  <c r="B683" i="3" s="1"/>
  <c r="I682" i="3"/>
  <c r="J682" i="3"/>
  <c r="AD682" i="3" s="1"/>
  <c r="M682" i="3"/>
  <c r="N682" i="3" s="1"/>
  <c r="W682" i="3" l="1"/>
  <c r="L682" i="3"/>
  <c r="P683" i="3"/>
  <c r="Q683" i="3" s="1"/>
  <c r="R683" i="3" s="1"/>
  <c r="S683" i="3" s="1"/>
  <c r="AC683" i="3"/>
  <c r="AA683" i="3"/>
  <c r="Z683" i="3"/>
  <c r="U682" i="3" l="1"/>
  <c r="Y681" i="3"/>
  <c r="T683" i="3"/>
  <c r="E683" i="3" l="1"/>
  <c r="H683" i="3" s="1"/>
  <c r="K683" i="3" s="1"/>
  <c r="AE683" i="3" s="1"/>
  <c r="AH683" i="3"/>
  <c r="AG683" i="3"/>
  <c r="D683" i="3"/>
  <c r="F683" i="3" l="1"/>
  <c r="G683" i="3"/>
  <c r="V683" i="3"/>
  <c r="A684" i="3"/>
  <c r="B684" i="3" s="1"/>
  <c r="Z684" i="3" l="1"/>
  <c r="AA684" i="3"/>
  <c r="AC684" i="3"/>
  <c r="P684" i="3"/>
  <c r="Q684" i="3" s="1"/>
  <c r="R684" i="3" s="1"/>
  <c r="S684" i="3" s="1"/>
  <c r="I683" i="3"/>
  <c r="W683" i="3" s="1"/>
  <c r="J683" i="3"/>
  <c r="AD683" i="3" s="1"/>
  <c r="M683" i="3"/>
  <c r="N683" i="3" s="1"/>
  <c r="T684" i="3" l="1"/>
  <c r="L683" i="3"/>
  <c r="AH684" i="3" l="1"/>
  <c r="AG684" i="3"/>
  <c r="U683" i="3"/>
  <c r="D684" i="3" s="1"/>
  <c r="Y682" i="3"/>
  <c r="E684" i="3" l="1"/>
  <c r="H684" i="3" s="1"/>
  <c r="K684" i="3" s="1"/>
  <c r="AE684" i="3" s="1"/>
  <c r="G684" i="3"/>
  <c r="F684" i="3" l="1"/>
  <c r="V684" i="3"/>
  <c r="A685" i="3"/>
  <c r="B685" i="3" s="1"/>
  <c r="I684" i="3"/>
  <c r="J684" i="3"/>
  <c r="AD684" i="3" s="1"/>
  <c r="M684" i="3"/>
  <c r="N684" i="3" s="1"/>
  <c r="W684" i="3" l="1"/>
  <c r="L684" i="3"/>
  <c r="P685" i="3"/>
  <c r="Q685" i="3" s="1"/>
  <c r="R685" i="3" s="1"/>
  <c r="S685" i="3" s="1"/>
  <c r="Z685" i="3"/>
  <c r="AC685" i="3"/>
  <c r="AD685" i="3"/>
  <c r="AA685" i="3"/>
  <c r="U684" i="3" l="1"/>
  <c r="Y683" i="3"/>
  <c r="T685" i="3"/>
  <c r="AG685" i="3" s="1"/>
  <c r="D685" i="3" l="1"/>
  <c r="G685" i="3" s="1"/>
  <c r="E685" i="3"/>
  <c r="H685" i="3" s="1"/>
  <c r="AH685" i="3"/>
  <c r="F685" i="3" l="1"/>
  <c r="I685" i="3"/>
  <c r="J685" i="3"/>
  <c r="M685" i="3"/>
  <c r="N685" i="3" s="1"/>
  <c r="K685" i="3"/>
  <c r="AE685" i="3" s="1"/>
  <c r="V685" i="3" l="1"/>
  <c r="W685" i="3" s="1"/>
  <c r="A686" i="3"/>
  <c r="B686" i="3" s="1"/>
  <c r="L685" i="3"/>
  <c r="U685" i="3" l="1"/>
  <c r="Y684" i="3"/>
  <c r="AA686" i="3"/>
  <c r="AC686" i="3"/>
  <c r="AD686" i="3"/>
  <c r="P686" i="3"/>
  <c r="Q686" i="3" s="1"/>
  <c r="R686" i="3" s="1"/>
  <c r="S686" i="3" s="1"/>
  <c r="Z686" i="3"/>
  <c r="T686" i="3" l="1"/>
  <c r="D686" i="3" s="1"/>
  <c r="E686" i="3" l="1"/>
  <c r="H686" i="3" s="1"/>
  <c r="K686" i="3" s="1"/>
  <c r="AE686" i="3" s="1"/>
  <c r="AG686" i="3"/>
  <c r="AH686" i="3"/>
  <c r="G686" i="3"/>
  <c r="F686" i="3" l="1"/>
  <c r="V686" i="3"/>
  <c r="A687" i="3"/>
  <c r="B687" i="3" s="1"/>
  <c r="I686" i="3"/>
  <c r="J686" i="3"/>
  <c r="M686" i="3"/>
  <c r="N686" i="3" s="1"/>
  <c r="L686" i="3" l="1"/>
  <c r="W686" i="3"/>
  <c r="Z687" i="3"/>
  <c r="P687" i="3"/>
  <c r="Q687" i="3" s="1"/>
  <c r="R687" i="3" s="1"/>
  <c r="S687" i="3" s="1"/>
  <c r="AA687" i="3"/>
  <c r="AC687" i="3"/>
  <c r="U686" i="3" l="1"/>
  <c r="Y685" i="3"/>
  <c r="T687" i="3"/>
  <c r="AG687" i="3" s="1"/>
  <c r="AH687" i="3" l="1"/>
  <c r="D687" i="3"/>
  <c r="G687" i="3" s="1"/>
  <c r="E687" i="3"/>
  <c r="H687" i="3" s="1"/>
  <c r="K687" i="3" s="1"/>
  <c r="AE687" i="3" s="1"/>
  <c r="F687" i="3" l="1"/>
  <c r="I687" i="3"/>
  <c r="J687" i="3"/>
  <c r="AD687" i="3" s="1"/>
  <c r="M687" i="3"/>
  <c r="N687" i="3" s="1"/>
  <c r="V687" i="3"/>
  <c r="A688" i="3"/>
  <c r="B688" i="3" s="1"/>
  <c r="W687" i="3" l="1"/>
  <c r="L687" i="3"/>
  <c r="AC688" i="3"/>
  <c r="AA688" i="3"/>
  <c r="P688" i="3"/>
  <c r="Q688" i="3" s="1"/>
  <c r="R688" i="3" s="1"/>
  <c r="S688" i="3" s="1"/>
  <c r="Z688" i="3"/>
  <c r="U687" i="3" l="1"/>
  <c r="Y686" i="3"/>
  <c r="T688" i="3"/>
  <c r="AG688" i="3" s="1"/>
  <c r="E688" i="3" l="1"/>
  <c r="H688" i="3" s="1"/>
  <c r="K688" i="3" s="1"/>
  <c r="AE688" i="3" s="1"/>
  <c r="AH688" i="3"/>
  <c r="D688" i="3"/>
  <c r="F688" i="3" l="1"/>
  <c r="G688" i="3"/>
  <c r="V688" i="3"/>
  <c r="A689" i="3"/>
  <c r="B689" i="3" s="1"/>
  <c r="AA689" i="3" l="1"/>
  <c r="P689" i="3"/>
  <c r="Q689" i="3" s="1"/>
  <c r="R689" i="3" s="1"/>
  <c r="S689" i="3" s="1"/>
  <c r="Z689" i="3"/>
  <c r="AD689" i="3"/>
  <c r="AC689" i="3"/>
  <c r="I688" i="3"/>
  <c r="W688" i="3" s="1"/>
  <c r="J688" i="3"/>
  <c r="AD688" i="3" s="1"/>
  <c r="M688" i="3"/>
  <c r="N688" i="3" s="1"/>
  <c r="T689" i="3" l="1"/>
  <c r="L688" i="3"/>
  <c r="U688" i="3" l="1"/>
  <c r="D689" i="3" s="1"/>
  <c r="AG689" i="3"/>
  <c r="AH689" i="3"/>
  <c r="Y687" i="3"/>
  <c r="E689" i="3" l="1"/>
  <c r="H689" i="3" s="1"/>
  <c r="K689" i="3" s="1"/>
  <c r="AE689" i="3" s="1"/>
  <c r="G689" i="3"/>
  <c r="F689" i="3" l="1"/>
  <c r="I689" i="3"/>
  <c r="J689" i="3"/>
  <c r="M689" i="3"/>
  <c r="N689" i="3" s="1"/>
  <c r="V689" i="3"/>
  <c r="A690" i="3"/>
  <c r="B690" i="3" s="1"/>
  <c r="W689" i="3" l="1"/>
  <c r="L689" i="3"/>
  <c r="AA690" i="3"/>
  <c r="AC690" i="3"/>
  <c r="P690" i="3"/>
  <c r="Q690" i="3" s="1"/>
  <c r="R690" i="3" s="1"/>
  <c r="S690" i="3" s="1"/>
  <c r="AD690" i="3"/>
  <c r="Z690" i="3"/>
  <c r="U689" i="3" l="1"/>
  <c r="Y688" i="3"/>
  <c r="T690" i="3"/>
  <c r="AH690" i="3" s="1"/>
  <c r="D690" i="3" l="1"/>
  <c r="G690" i="3" s="1"/>
  <c r="E690" i="3"/>
  <c r="H690" i="3" s="1"/>
  <c r="K690" i="3" s="1"/>
  <c r="AE690" i="3" s="1"/>
  <c r="AG690" i="3"/>
  <c r="F690" i="3" l="1"/>
  <c r="I690" i="3"/>
  <c r="J690" i="3"/>
  <c r="M690" i="3"/>
  <c r="N690" i="3" s="1"/>
  <c r="V690" i="3"/>
  <c r="A691" i="3"/>
  <c r="B691" i="3" s="1"/>
  <c r="W690" i="3" l="1"/>
  <c r="L690" i="3"/>
  <c r="AA691" i="3"/>
  <c r="Z691" i="3"/>
  <c r="P691" i="3"/>
  <c r="Q691" i="3" s="1"/>
  <c r="R691" i="3" s="1"/>
  <c r="S691" i="3" s="1"/>
  <c r="AD691" i="3"/>
  <c r="AC691" i="3"/>
  <c r="T691" i="3" l="1"/>
  <c r="U690" i="3"/>
  <c r="Y689" i="3"/>
  <c r="D691" i="3" l="1"/>
  <c r="G691" i="3" s="1"/>
  <c r="AH691" i="3"/>
  <c r="E691" i="3"/>
  <c r="H691" i="3" s="1"/>
  <c r="AG691" i="3"/>
  <c r="F691" i="3" l="1"/>
  <c r="I691" i="3"/>
  <c r="J691" i="3"/>
  <c r="M691" i="3"/>
  <c r="N691" i="3" s="1"/>
  <c r="K691" i="3"/>
  <c r="AE691" i="3" s="1"/>
  <c r="V691" i="3" l="1"/>
  <c r="W691" i="3" s="1"/>
  <c r="A692" i="3"/>
  <c r="B692" i="3" s="1"/>
  <c r="L691" i="3"/>
  <c r="U691" i="3" l="1"/>
  <c r="Y690" i="3"/>
  <c r="AC692" i="3"/>
  <c r="AD692" i="3"/>
  <c r="AA692" i="3"/>
  <c r="Z692" i="3"/>
  <c r="P692" i="3"/>
  <c r="Q692" i="3" s="1"/>
  <c r="R692" i="3" s="1"/>
  <c r="S692" i="3" s="1"/>
  <c r="T692" i="3" l="1"/>
  <c r="E692" i="3" s="1"/>
  <c r="H692" i="3" s="1"/>
  <c r="D692" i="3" l="1"/>
  <c r="G692" i="3" s="1"/>
  <c r="AH692" i="3"/>
  <c r="K692" i="3"/>
  <c r="AE692" i="3" s="1"/>
  <c r="AG692" i="3"/>
  <c r="F692" i="3" l="1"/>
  <c r="I692" i="3"/>
  <c r="J692" i="3"/>
  <c r="M692" i="3"/>
  <c r="N692" i="3" s="1"/>
  <c r="V692" i="3"/>
  <c r="A693" i="3"/>
  <c r="B693" i="3" s="1"/>
  <c r="W692" i="3" l="1"/>
  <c r="L692" i="3"/>
  <c r="AC693" i="3"/>
  <c r="AA693" i="3"/>
  <c r="AD693" i="3"/>
  <c r="P693" i="3"/>
  <c r="Q693" i="3" s="1"/>
  <c r="R693" i="3" s="1"/>
  <c r="S693" i="3" s="1"/>
  <c r="Z693" i="3"/>
  <c r="U692" i="3" l="1"/>
  <c r="Y691" i="3"/>
  <c r="T693" i="3"/>
  <c r="AG693" i="3" s="1"/>
  <c r="D693" i="3" l="1"/>
  <c r="G693" i="3" s="1"/>
  <c r="E693" i="3"/>
  <c r="H693" i="3" s="1"/>
  <c r="K693" i="3" s="1"/>
  <c r="AE693" i="3" s="1"/>
  <c r="AH693" i="3"/>
  <c r="F693" i="3" l="1"/>
  <c r="V693" i="3"/>
  <c r="A694" i="3"/>
  <c r="B694" i="3" s="1"/>
  <c r="I693" i="3"/>
  <c r="J693" i="3"/>
  <c r="M693" i="3"/>
  <c r="N693" i="3" s="1"/>
  <c r="W693" i="3" l="1"/>
  <c r="L693" i="3"/>
  <c r="AA694" i="3"/>
  <c r="AC694" i="3"/>
  <c r="P694" i="3"/>
  <c r="Q694" i="3" s="1"/>
  <c r="R694" i="3" s="1"/>
  <c r="S694" i="3" s="1"/>
  <c r="Z694" i="3"/>
  <c r="U693" i="3" l="1"/>
  <c r="Y692" i="3"/>
  <c r="T694" i="3"/>
  <c r="AG694" i="3" s="1"/>
  <c r="E694" i="3" l="1"/>
  <c r="H694" i="3" s="1"/>
  <c r="K694" i="3" s="1"/>
  <c r="AE694" i="3" s="1"/>
  <c r="AH694" i="3"/>
  <c r="D694" i="3"/>
  <c r="G694" i="3" s="1"/>
  <c r="F694" i="3" l="1"/>
  <c r="I694" i="3"/>
  <c r="J694" i="3"/>
  <c r="AD694" i="3" s="1"/>
  <c r="M694" i="3"/>
  <c r="N694" i="3" s="1"/>
  <c r="V694" i="3"/>
  <c r="A695" i="3"/>
  <c r="B695" i="3" s="1"/>
  <c r="W694" i="3" l="1"/>
  <c r="L694" i="3"/>
  <c r="Z695" i="3"/>
  <c r="P695" i="3"/>
  <c r="Q695" i="3" s="1"/>
  <c r="R695" i="3" s="1"/>
  <c r="S695" i="3" s="1"/>
  <c r="AC695" i="3"/>
  <c r="AA695" i="3"/>
  <c r="U694" i="3" l="1"/>
  <c r="Y693" i="3"/>
  <c r="T695" i="3"/>
  <c r="E695" i="3" l="1"/>
  <c r="H695" i="3" s="1"/>
  <c r="K695" i="3" s="1"/>
  <c r="AE695" i="3" s="1"/>
  <c r="D695" i="3"/>
  <c r="AG695" i="3"/>
  <c r="AH695" i="3"/>
  <c r="V695" i="3" l="1"/>
  <c r="A696" i="3"/>
  <c r="B696" i="3" s="1"/>
  <c r="F695" i="3"/>
  <c r="G695" i="3"/>
  <c r="I695" i="3" l="1"/>
  <c r="W695" i="3" s="1"/>
  <c r="J695" i="3"/>
  <c r="AD695" i="3" s="1"/>
  <c r="M695" i="3"/>
  <c r="N695" i="3" s="1"/>
  <c r="AA696" i="3"/>
  <c r="Z696" i="3"/>
  <c r="P696" i="3"/>
  <c r="Q696" i="3" s="1"/>
  <c r="R696" i="3" s="1"/>
  <c r="S696" i="3" s="1"/>
  <c r="AC696" i="3"/>
  <c r="T696" i="3" l="1"/>
  <c r="L695" i="3"/>
  <c r="AH696" i="3" l="1"/>
  <c r="U695" i="3"/>
  <c r="D696" i="3" s="1"/>
  <c r="AG696" i="3"/>
  <c r="Y694" i="3"/>
  <c r="E696" i="3" l="1"/>
  <c r="H696" i="3" s="1"/>
  <c r="K696" i="3" s="1"/>
  <c r="AE696" i="3" s="1"/>
  <c r="G696" i="3"/>
  <c r="F696" i="3" l="1"/>
  <c r="V696" i="3"/>
  <c r="A697" i="3"/>
  <c r="B697" i="3" s="1"/>
  <c r="I696" i="3"/>
  <c r="J696" i="3"/>
  <c r="AD696" i="3" s="1"/>
  <c r="M696" i="3"/>
  <c r="N696" i="3" s="1"/>
  <c r="W696" i="3" l="1"/>
  <c r="P697" i="3"/>
  <c r="Q697" i="3" s="1"/>
  <c r="R697" i="3" s="1"/>
  <c r="S697" i="3" s="1"/>
  <c r="Z697" i="3"/>
  <c r="AA697" i="3"/>
  <c r="AC697" i="3"/>
  <c r="L696" i="3"/>
  <c r="U696" i="3" l="1"/>
  <c r="Y695" i="3"/>
  <c r="T697" i="3"/>
  <c r="E697" i="3" l="1"/>
  <c r="H697" i="3" s="1"/>
  <c r="K697" i="3" s="1"/>
  <c r="AE697" i="3" s="1"/>
  <c r="D697" i="3"/>
  <c r="AH697" i="3"/>
  <c r="AG697" i="3"/>
  <c r="F697" i="3" l="1"/>
  <c r="G697" i="3"/>
  <c r="M697" i="3" s="1"/>
  <c r="N697" i="3" s="1"/>
  <c r="V697" i="3"/>
  <c r="A698" i="3"/>
  <c r="B698" i="3" s="1"/>
  <c r="I697" i="3" l="1"/>
  <c r="W697" i="3" s="1"/>
  <c r="J697" i="3"/>
  <c r="AA698" i="3"/>
  <c r="Z698" i="3"/>
  <c r="AC698" i="3"/>
  <c r="P698" i="3"/>
  <c r="Q698" i="3" s="1"/>
  <c r="R698" i="3" s="1"/>
  <c r="S698" i="3" s="1"/>
  <c r="L697" i="3" l="1"/>
  <c r="U697" i="3" s="1"/>
  <c r="AD697" i="3"/>
  <c r="T698" i="3"/>
  <c r="Y696" i="3" l="1"/>
  <c r="AG698" i="3"/>
  <c r="E698" i="3"/>
  <c r="H698" i="3" s="1"/>
  <c r="K698" i="3" s="1"/>
  <c r="AE698" i="3" s="1"/>
  <c r="AH698" i="3"/>
  <c r="D698" i="3"/>
  <c r="F698" i="3" l="1"/>
  <c r="G698" i="3"/>
  <c r="J698" i="3" s="1"/>
  <c r="AD698" i="3" s="1"/>
  <c r="V698" i="3"/>
  <c r="A699" i="3"/>
  <c r="B699" i="3" s="1"/>
  <c r="M698" i="3" l="1"/>
  <c r="N698" i="3" s="1"/>
  <c r="I698" i="3"/>
  <c r="W698" i="3" s="1"/>
  <c r="L698" i="3"/>
  <c r="Z699" i="3"/>
  <c r="P699" i="3"/>
  <c r="Q699" i="3" s="1"/>
  <c r="R699" i="3" s="1"/>
  <c r="S699" i="3" s="1"/>
  <c r="AA699" i="3"/>
  <c r="AC699" i="3"/>
  <c r="T699" i="3" l="1"/>
  <c r="U698" i="3"/>
  <c r="Y697" i="3"/>
  <c r="D699" i="3" l="1"/>
  <c r="G699" i="3" s="1"/>
  <c r="AG699" i="3"/>
  <c r="AH699" i="3"/>
  <c r="E699" i="3"/>
  <c r="H699" i="3" s="1"/>
  <c r="K699" i="3" l="1"/>
  <c r="AE699" i="3" s="1"/>
  <c r="I699" i="3"/>
  <c r="J699" i="3"/>
  <c r="AD699" i="3" s="1"/>
  <c r="M699" i="3"/>
  <c r="N699" i="3" s="1"/>
  <c r="F699" i="3"/>
  <c r="L699" i="3" l="1"/>
  <c r="V699" i="3"/>
  <c r="W699" i="3" s="1"/>
  <c r="A700" i="3"/>
  <c r="B700" i="3" s="1"/>
  <c r="U699" i="3" l="1"/>
  <c r="Y698" i="3"/>
  <c r="Z700" i="3"/>
  <c r="P700" i="3"/>
  <c r="Q700" i="3" s="1"/>
  <c r="R700" i="3" s="1"/>
  <c r="S700" i="3" s="1"/>
  <c r="AC700" i="3"/>
  <c r="AA700" i="3"/>
  <c r="T700" i="3" l="1"/>
  <c r="D700" i="3" s="1"/>
  <c r="AH700" i="3" l="1"/>
  <c r="AG700" i="3"/>
  <c r="E700" i="3"/>
  <c r="H700" i="3" s="1"/>
  <c r="K700" i="3" s="1"/>
  <c r="AE700" i="3" s="1"/>
  <c r="G700" i="3"/>
  <c r="F700" i="3" l="1"/>
  <c r="I700" i="3"/>
  <c r="J700" i="3"/>
  <c r="AD700" i="3" s="1"/>
  <c r="M700" i="3"/>
  <c r="N700" i="3" s="1"/>
  <c r="V700" i="3"/>
  <c r="A701" i="3"/>
  <c r="B701" i="3" s="1"/>
  <c r="W700" i="3" l="1"/>
  <c r="L700" i="3"/>
  <c r="AC701" i="3"/>
  <c r="AA701" i="3"/>
  <c r="Z701" i="3"/>
  <c r="P701" i="3"/>
  <c r="Q701" i="3" s="1"/>
  <c r="R701" i="3" s="1"/>
  <c r="S701" i="3" s="1"/>
  <c r="U700" i="3" l="1"/>
  <c r="Y699" i="3"/>
  <c r="T701" i="3"/>
  <c r="AG701" i="3" s="1"/>
  <c r="AH701" i="3" l="1"/>
  <c r="E701" i="3"/>
  <c r="H701" i="3" s="1"/>
  <c r="D701" i="3"/>
  <c r="F701" i="3" l="1"/>
  <c r="G701" i="3"/>
  <c r="K701" i="3"/>
  <c r="AE701" i="3" s="1"/>
  <c r="I701" i="3" l="1"/>
  <c r="J701" i="3"/>
  <c r="AD701" i="3" s="1"/>
  <c r="M701" i="3"/>
  <c r="N701" i="3" s="1"/>
  <c r="V701" i="3"/>
  <c r="A702" i="3"/>
  <c r="B702" i="3" s="1"/>
  <c r="W701" i="3" l="1"/>
  <c r="L701" i="3"/>
  <c r="AC702" i="3"/>
  <c r="P702" i="3"/>
  <c r="Q702" i="3" s="1"/>
  <c r="R702" i="3" s="1"/>
  <c r="S702" i="3" s="1"/>
  <c r="Z702" i="3"/>
  <c r="AA702" i="3"/>
  <c r="U701" i="3" l="1"/>
  <c r="Y700" i="3"/>
  <c r="T702" i="3"/>
  <c r="AH702" i="3" s="1"/>
  <c r="D702" i="3" l="1"/>
  <c r="G702" i="3" s="1"/>
  <c r="E702" i="3"/>
  <c r="H702" i="3" s="1"/>
  <c r="K702" i="3" s="1"/>
  <c r="AE702" i="3" s="1"/>
  <c r="AG702" i="3"/>
  <c r="F702" i="3" l="1"/>
  <c r="V702" i="3"/>
  <c r="A703" i="3"/>
  <c r="B703" i="3" s="1"/>
  <c r="I702" i="3"/>
  <c r="J702" i="3"/>
  <c r="AD702" i="3" s="1"/>
  <c r="M702" i="3"/>
  <c r="N702" i="3" s="1"/>
  <c r="W702" i="3" l="1"/>
  <c r="L702" i="3"/>
  <c r="AC703" i="3"/>
  <c r="P703" i="3"/>
  <c r="Q703" i="3" s="1"/>
  <c r="R703" i="3" s="1"/>
  <c r="S703" i="3" s="1"/>
  <c r="AA703" i="3"/>
  <c r="Z703" i="3"/>
  <c r="T703" i="3" l="1"/>
  <c r="AH703" i="3" s="1"/>
  <c r="U702" i="3"/>
  <c r="Y701" i="3"/>
  <c r="E703" i="3" l="1"/>
  <c r="H703" i="3" s="1"/>
  <c r="K703" i="3" s="1"/>
  <c r="AE703" i="3" s="1"/>
  <c r="AG703" i="3"/>
  <c r="D703" i="3"/>
  <c r="F703" i="3" l="1"/>
  <c r="G703" i="3"/>
  <c r="V703" i="3"/>
  <c r="A704" i="3"/>
  <c r="B704" i="3" s="1"/>
  <c r="P704" i="3" l="1"/>
  <c r="Q704" i="3" s="1"/>
  <c r="R704" i="3" s="1"/>
  <c r="S704" i="3" s="1"/>
  <c r="AC704" i="3"/>
  <c r="Z704" i="3"/>
  <c r="AA704" i="3"/>
  <c r="I703" i="3"/>
  <c r="W703" i="3" s="1"/>
  <c r="J703" i="3"/>
  <c r="AD703" i="3" s="1"/>
  <c r="M703" i="3"/>
  <c r="N703" i="3" s="1"/>
  <c r="T704" i="3" l="1"/>
  <c r="L703" i="3"/>
  <c r="U703" i="3" l="1"/>
  <c r="D704" i="3" s="1"/>
  <c r="AG704" i="3"/>
  <c r="AH704" i="3"/>
  <c r="Y702" i="3"/>
  <c r="G704" i="3" l="1"/>
  <c r="E704" i="3"/>
  <c r="H704" i="3" s="1"/>
  <c r="F704" i="3" l="1"/>
  <c r="I704" i="3"/>
  <c r="J704" i="3"/>
  <c r="AD704" i="3" s="1"/>
  <c r="M704" i="3"/>
  <c r="N704" i="3" s="1"/>
  <c r="K704" i="3"/>
  <c r="AE704" i="3" s="1"/>
  <c r="V704" i="3" l="1"/>
  <c r="W704" i="3" s="1"/>
  <c r="A705" i="3"/>
  <c r="B705" i="3" s="1"/>
  <c r="L704" i="3"/>
  <c r="U704" i="3" l="1"/>
  <c r="Y703" i="3"/>
  <c r="Z705" i="3"/>
  <c r="P705" i="3"/>
  <c r="Q705" i="3" s="1"/>
  <c r="R705" i="3" s="1"/>
  <c r="S705" i="3" s="1"/>
  <c r="AC705" i="3"/>
  <c r="AA705" i="3"/>
  <c r="AD705" i="3"/>
  <c r="T705" i="3" l="1"/>
  <c r="AH705" i="3" s="1"/>
  <c r="AG705" i="3" l="1"/>
  <c r="D705" i="3"/>
  <c r="E705" i="3"/>
  <c r="H705" i="3" s="1"/>
  <c r="F705" i="3" l="1"/>
  <c r="G705" i="3"/>
  <c r="K705" i="3"/>
  <c r="AE705" i="3" s="1"/>
  <c r="I705" i="3" l="1"/>
  <c r="J705" i="3"/>
  <c r="M705" i="3"/>
  <c r="N705" i="3" s="1"/>
  <c r="V705" i="3"/>
  <c r="A706" i="3"/>
  <c r="B706" i="3" s="1"/>
  <c r="W705" i="3" l="1"/>
  <c r="L705" i="3"/>
  <c r="P706" i="3"/>
  <c r="Q706" i="3" s="1"/>
  <c r="R706" i="3" s="1"/>
  <c r="S706" i="3" s="1"/>
  <c r="AA706" i="3"/>
  <c r="AC706" i="3"/>
  <c r="Z706" i="3"/>
  <c r="AD706" i="3"/>
  <c r="U705" i="3" l="1"/>
  <c r="Y704" i="3"/>
  <c r="T706" i="3"/>
  <c r="AH706" i="3" s="1"/>
  <c r="E706" i="3" l="1"/>
  <c r="H706" i="3" s="1"/>
  <c r="D706" i="3"/>
  <c r="AG706" i="3"/>
  <c r="K706" i="3" l="1"/>
  <c r="AE706" i="3" s="1"/>
  <c r="F706" i="3"/>
  <c r="G706" i="3"/>
  <c r="I706" i="3" l="1"/>
  <c r="J706" i="3"/>
  <c r="M706" i="3"/>
  <c r="N706" i="3" s="1"/>
  <c r="V706" i="3"/>
  <c r="A707" i="3"/>
  <c r="B707" i="3" s="1"/>
  <c r="W706" i="3" l="1"/>
  <c r="P707" i="3"/>
  <c r="Q707" i="3" s="1"/>
  <c r="R707" i="3" s="1"/>
  <c r="S707" i="3" s="1"/>
  <c r="Z707" i="3"/>
  <c r="AC707" i="3"/>
  <c r="AA707" i="3"/>
  <c r="L706" i="3"/>
  <c r="T707" i="3" l="1"/>
  <c r="AG707" i="3" s="1"/>
  <c r="U706" i="3"/>
  <c r="Y705" i="3"/>
  <c r="E707" i="3" l="1"/>
  <c r="H707" i="3" s="1"/>
  <c r="K707" i="3" s="1"/>
  <c r="AE707" i="3" s="1"/>
  <c r="D707" i="3"/>
  <c r="AH707" i="3"/>
  <c r="V707" i="3" l="1"/>
  <c r="A708" i="3"/>
  <c r="B708" i="3" s="1"/>
  <c r="F707" i="3"/>
  <c r="G707" i="3"/>
  <c r="I707" i="3" l="1"/>
  <c r="W707" i="3" s="1"/>
  <c r="J707" i="3"/>
  <c r="AD707" i="3" s="1"/>
  <c r="M707" i="3"/>
  <c r="N707" i="3" s="1"/>
  <c r="P708" i="3"/>
  <c r="Q708" i="3" s="1"/>
  <c r="R708" i="3" s="1"/>
  <c r="S708" i="3" s="1"/>
  <c r="AC708" i="3"/>
  <c r="Z708" i="3"/>
  <c r="AA708" i="3"/>
  <c r="T708" i="3" l="1"/>
  <c r="L707" i="3"/>
  <c r="U707" i="3" l="1"/>
  <c r="D708" i="3" s="1"/>
  <c r="AG708" i="3"/>
  <c r="AH708" i="3"/>
  <c r="Y706" i="3"/>
  <c r="E708" i="3" l="1"/>
  <c r="H708" i="3" s="1"/>
  <c r="K708" i="3" s="1"/>
  <c r="AE708" i="3" s="1"/>
  <c r="G708" i="3"/>
  <c r="F708" i="3" l="1"/>
  <c r="I708" i="3"/>
  <c r="J708" i="3"/>
  <c r="AD708" i="3" s="1"/>
  <c r="M708" i="3"/>
  <c r="N708" i="3" s="1"/>
  <c r="V708" i="3"/>
  <c r="A709" i="3"/>
  <c r="B709" i="3" s="1"/>
  <c r="W708" i="3" l="1"/>
  <c r="L708" i="3"/>
  <c r="Z709" i="3"/>
  <c r="AA709" i="3"/>
  <c r="AD709" i="3"/>
  <c r="P709" i="3"/>
  <c r="Q709" i="3" s="1"/>
  <c r="R709" i="3" s="1"/>
  <c r="S709" i="3" s="1"/>
  <c r="AC709" i="3"/>
  <c r="U708" i="3" l="1"/>
  <c r="Y707" i="3"/>
  <c r="T709" i="3"/>
  <c r="AG709" i="3" s="1"/>
  <c r="AH709" i="3" l="1"/>
  <c r="E709" i="3"/>
  <c r="H709" i="3" s="1"/>
  <c r="D709" i="3"/>
  <c r="F709" i="3" l="1"/>
  <c r="G709" i="3"/>
  <c r="K709" i="3"/>
  <c r="AE709" i="3" s="1"/>
  <c r="V709" i="3" l="1"/>
  <c r="A710" i="3"/>
  <c r="B710" i="3" s="1"/>
  <c r="I709" i="3"/>
  <c r="J709" i="3"/>
  <c r="M709" i="3"/>
  <c r="N709" i="3" s="1"/>
  <c r="W709" i="3" l="1"/>
  <c r="L709" i="3"/>
  <c r="AD710" i="3"/>
  <c r="AC710" i="3"/>
  <c r="Z710" i="3"/>
  <c r="AA710" i="3"/>
  <c r="P710" i="3"/>
  <c r="Q710" i="3" s="1"/>
  <c r="R710" i="3" s="1"/>
  <c r="S710" i="3" s="1"/>
  <c r="U709" i="3" l="1"/>
  <c r="Y708" i="3"/>
  <c r="T710" i="3"/>
  <c r="AH710" i="3" s="1"/>
  <c r="D710" i="3" l="1"/>
  <c r="E710" i="3"/>
  <c r="H710" i="3" s="1"/>
  <c r="AG710" i="3"/>
  <c r="F710" i="3" l="1"/>
  <c r="G710" i="3"/>
  <c r="K710" i="3"/>
  <c r="AE710" i="3" s="1"/>
  <c r="I710" i="3" l="1"/>
  <c r="J710" i="3"/>
  <c r="M710" i="3"/>
  <c r="N710" i="3" s="1"/>
  <c r="V710" i="3"/>
  <c r="A711" i="3"/>
  <c r="B711" i="3" s="1"/>
  <c r="W710" i="3" l="1"/>
  <c r="L710" i="3"/>
  <c r="AA711" i="3"/>
  <c r="AC711" i="3"/>
  <c r="Z711" i="3"/>
  <c r="AD711" i="3"/>
  <c r="P711" i="3"/>
  <c r="Q711" i="3" s="1"/>
  <c r="R711" i="3" s="1"/>
  <c r="S711" i="3" s="1"/>
  <c r="T711" i="3" l="1"/>
  <c r="U710" i="3"/>
  <c r="Y709" i="3"/>
  <c r="D711" i="3" l="1"/>
  <c r="G711" i="3" s="1"/>
  <c r="E711" i="3"/>
  <c r="H711" i="3" s="1"/>
  <c r="AH711" i="3"/>
  <c r="AG711" i="3"/>
  <c r="F711" i="3" l="1"/>
  <c r="K711" i="3"/>
  <c r="AE711" i="3" s="1"/>
  <c r="I711" i="3"/>
  <c r="J711" i="3"/>
  <c r="M711" i="3"/>
  <c r="N711" i="3" s="1"/>
  <c r="L711" i="3" l="1"/>
  <c r="V711" i="3"/>
  <c r="W711" i="3" s="1"/>
  <c r="A712" i="3"/>
  <c r="B712" i="3" s="1"/>
  <c r="AC712" i="3" l="1"/>
  <c r="AD712" i="3"/>
  <c r="P712" i="3"/>
  <c r="Q712" i="3" s="1"/>
  <c r="R712" i="3" s="1"/>
  <c r="S712" i="3" s="1"/>
  <c r="AA712" i="3"/>
  <c r="Z712" i="3"/>
  <c r="U711" i="3"/>
  <c r="Y710" i="3"/>
  <c r="T712" i="3" l="1"/>
  <c r="AG712" i="3" l="1"/>
  <c r="D712" i="3"/>
  <c r="E712" i="3"/>
  <c r="H712" i="3" s="1"/>
  <c r="AH712" i="3"/>
  <c r="K712" i="3" l="1"/>
  <c r="AE712" i="3" s="1"/>
  <c r="F712" i="3"/>
  <c r="G712" i="3"/>
  <c r="V712" i="3" l="1"/>
  <c r="A713" i="3"/>
  <c r="B713" i="3" s="1"/>
  <c r="I712" i="3"/>
  <c r="J712" i="3"/>
  <c r="M712" i="3"/>
  <c r="N712" i="3" s="1"/>
  <c r="W712" i="3" l="1"/>
  <c r="L712" i="3"/>
  <c r="Z713" i="3"/>
  <c r="P713" i="3"/>
  <c r="Q713" i="3" s="1"/>
  <c r="R713" i="3" s="1"/>
  <c r="S713" i="3" s="1"/>
  <c r="AC713" i="3"/>
  <c r="AD713" i="3"/>
  <c r="AA713" i="3"/>
  <c r="T713" i="3" l="1"/>
  <c r="AH713" i="3" s="1"/>
  <c r="U712" i="3"/>
  <c r="Y711" i="3"/>
  <c r="D713" i="3" l="1"/>
  <c r="AG713" i="3"/>
  <c r="E713" i="3"/>
  <c r="H713" i="3" s="1"/>
  <c r="F713" i="3" l="1"/>
  <c r="G713" i="3"/>
  <c r="M713" i="3" s="1"/>
  <c r="N713" i="3" s="1"/>
  <c r="K713" i="3"/>
  <c r="AE713" i="3" s="1"/>
  <c r="I713" i="3" l="1"/>
  <c r="J713" i="3"/>
  <c r="L713" i="3" s="1"/>
  <c r="V713" i="3"/>
  <c r="A714" i="3"/>
  <c r="B714" i="3" s="1"/>
  <c r="W713" i="3" l="1"/>
  <c r="U713" i="3"/>
  <c r="Y712" i="3"/>
  <c r="AA714" i="3"/>
  <c r="P714" i="3"/>
  <c r="Q714" i="3" s="1"/>
  <c r="R714" i="3" s="1"/>
  <c r="S714" i="3" s="1"/>
  <c r="Z714" i="3"/>
  <c r="AC714" i="3"/>
  <c r="T714" i="3" l="1"/>
  <c r="AH714" i="3" s="1"/>
  <c r="D714" i="3" l="1"/>
  <c r="G714" i="3" s="1"/>
  <c r="E714" i="3"/>
  <c r="H714" i="3" s="1"/>
  <c r="K714" i="3" s="1"/>
  <c r="AE714" i="3" s="1"/>
  <c r="AG714" i="3"/>
  <c r="F714" i="3" l="1"/>
  <c r="V714" i="3"/>
  <c r="A715" i="3"/>
  <c r="B715" i="3" s="1"/>
  <c r="I714" i="3"/>
  <c r="J714" i="3"/>
  <c r="AD714" i="3" s="1"/>
  <c r="M714" i="3"/>
  <c r="N714" i="3" s="1"/>
  <c r="L714" i="3" l="1"/>
  <c r="W714" i="3"/>
  <c r="AC715" i="3"/>
  <c r="P715" i="3"/>
  <c r="Q715" i="3" s="1"/>
  <c r="R715" i="3" s="1"/>
  <c r="S715" i="3" s="1"/>
  <c r="Z715" i="3"/>
  <c r="AA715" i="3"/>
  <c r="AD715" i="3"/>
  <c r="U714" i="3" l="1"/>
  <c r="Y713" i="3"/>
  <c r="T715" i="3"/>
  <c r="AG715" i="3" s="1"/>
  <c r="AH715" i="3" l="1"/>
  <c r="D715" i="3"/>
  <c r="G715" i="3" s="1"/>
  <c r="E715" i="3"/>
  <c r="H715" i="3" s="1"/>
  <c r="F715" i="3" l="1"/>
  <c r="I715" i="3"/>
  <c r="J715" i="3"/>
  <c r="M715" i="3"/>
  <c r="N715" i="3" s="1"/>
  <c r="K715" i="3"/>
  <c r="AE715" i="3" s="1"/>
  <c r="V715" i="3" l="1"/>
  <c r="W715" i="3" s="1"/>
  <c r="A716" i="3"/>
  <c r="B716" i="3" s="1"/>
  <c r="L715" i="3"/>
  <c r="U715" i="3" l="1"/>
  <c r="Y714" i="3"/>
  <c r="AC716" i="3"/>
  <c r="Z716" i="3"/>
  <c r="P716" i="3"/>
  <c r="Q716" i="3" s="1"/>
  <c r="R716" i="3" s="1"/>
  <c r="S716" i="3" s="1"/>
  <c r="AA716" i="3"/>
  <c r="AD716" i="3"/>
  <c r="T716" i="3" l="1"/>
  <c r="D716" i="3" s="1"/>
  <c r="E716" i="3" l="1"/>
  <c r="H716" i="3" s="1"/>
  <c r="K716" i="3" s="1"/>
  <c r="AE716" i="3" s="1"/>
  <c r="AH716" i="3"/>
  <c r="AG716" i="3"/>
  <c r="G716" i="3"/>
  <c r="F716" i="3" l="1"/>
  <c r="I716" i="3"/>
  <c r="J716" i="3"/>
  <c r="M716" i="3"/>
  <c r="N716" i="3" s="1"/>
  <c r="V716" i="3"/>
  <c r="A717" i="3"/>
  <c r="B717" i="3" s="1"/>
  <c r="W716" i="3" l="1"/>
  <c r="L716" i="3"/>
  <c r="AC717" i="3"/>
  <c r="P717" i="3"/>
  <c r="Q717" i="3" s="1"/>
  <c r="R717" i="3" s="1"/>
  <c r="S717" i="3" s="1"/>
  <c r="Z717" i="3"/>
  <c r="AA717" i="3"/>
  <c r="U716" i="3" l="1"/>
  <c r="Y715" i="3"/>
  <c r="T717" i="3"/>
  <c r="AG717" i="3" s="1"/>
  <c r="E717" i="3" l="1"/>
  <c r="H717" i="3" s="1"/>
  <c r="K717" i="3" s="1"/>
  <c r="AE717" i="3" s="1"/>
  <c r="AH717" i="3"/>
  <c r="D717" i="3"/>
  <c r="V717" i="3" l="1"/>
  <c r="A718" i="3"/>
  <c r="B718" i="3" s="1"/>
  <c r="F717" i="3"/>
  <c r="G717" i="3"/>
  <c r="I717" i="3" l="1"/>
  <c r="W717" i="3" s="1"/>
  <c r="J717" i="3"/>
  <c r="AD717" i="3" s="1"/>
  <c r="M717" i="3"/>
  <c r="N717" i="3" s="1"/>
  <c r="P718" i="3"/>
  <c r="Q718" i="3" s="1"/>
  <c r="R718" i="3" s="1"/>
  <c r="S718" i="3" s="1"/>
  <c r="AC718" i="3"/>
  <c r="Z718" i="3"/>
  <c r="AA718" i="3"/>
  <c r="L717" i="3" l="1"/>
  <c r="T718" i="3"/>
  <c r="U717" i="3" l="1"/>
  <c r="E718" i="3" s="1"/>
  <c r="H718" i="3" s="1"/>
  <c r="AH718" i="3"/>
  <c r="AG718" i="3"/>
  <c r="Y716" i="3"/>
  <c r="K718" i="3" l="1"/>
  <c r="AE718" i="3" s="1"/>
  <c r="D718" i="3"/>
  <c r="V718" i="3" l="1"/>
  <c r="A719" i="3"/>
  <c r="B719" i="3" s="1"/>
  <c r="F718" i="3"/>
  <c r="G718" i="3"/>
  <c r="I718" i="3" l="1"/>
  <c r="W718" i="3" s="1"/>
  <c r="J718" i="3"/>
  <c r="AD718" i="3" s="1"/>
  <c r="M718" i="3"/>
  <c r="N718" i="3" s="1"/>
  <c r="Z719" i="3"/>
  <c r="P719" i="3"/>
  <c r="Q719" i="3" s="1"/>
  <c r="R719" i="3" s="1"/>
  <c r="S719" i="3" s="1"/>
  <c r="AA719" i="3"/>
  <c r="AC719" i="3"/>
  <c r="T719" i="3" l="1"/>
  <c r="L718" i="3"/>
  <c r="AG719" i="3" l="1"/>
  <c r="AH719" i="3"/>
  <c r="U718" i="3"/>
  <c r="E719" i="3" s="1"/>
  <c r="H719" i="3" s="1"/>
  <c r="Y717" i="3"/>
  <c r="D719" i="3" l="1"/>
  <c r="G719" i="3" s="1"/>
  <c r="K719" i="3"/>
  <c r="AE719" i="3" s="1"/>
  <c r="F719" i="3" l="1"/>
  <c r="I719" i="3"/>
  <c r="J719" i="3"/>
  <c r="AD719" i="3" s="1"/>
  <c r="M719" i="3"/>
  <c r="N719" i="3" s="1"/>
  <c r="V719" i="3"/>
  <c r="A720" i="3"/>
  <c r="B720" i="3" s="1"/>
  <c r="W719" i="3" l="1"/>
  <c r="L719" i="3"/>
  <c r="P720" i="3"/>
  <c r="Q720" i="3" s="1"/>
  <c r="R720" i="3" s="1"/>
  <c r="S720" i="3" s="1"/>
  <c r="AA720" i="3"/>
  <c r="AC720" i="3"/>
  <c r="Z720" i="3"/>
  <c r="U719" i="3" l="1"/>
  <c r="Y718" i="3"/>
  <c r="T720" i="3"/>
  <c r="AG720" i="3" s="1"/>
  <c r="E720" i="3" l="1"/>
  <c r="H720" i="3" s="1"/>
  <c r="K720" i="3" s="1"/>
  <c r="AE720" i="3" s="1"/>
  <c r="D720" i="3"/>
  <c r="AH720" i="3"/>
  <c r="V720" i="3" l="1"/>
  <c r="A721" i="3"/>
  <c r="B721" i="3" s="1"/>
  <c r="F720" i="3"/>
  <c r="G720" i="3"/>
  <c r="I720" i="3" l="1"/>
  <c r="W720" i="3" s="1"/>
  <c r="J720" i="3"/>
  <c r="AD720" i="3" s="1"/>
  <c r="M720" i="3"/>
  <c r="N720" i="3" s="1"/>
  <c r="AA721" i="3"/>
  <c r="Z721" i="3"/>
  <c r="AC721" i="3"/>
  <c r="P721" i="3"/>
  <c r="Q721" i="3" s="1"/>
  <c r="R721" i="3" s="1"/>
  <c r="S721" i="3" s="1"/>
  <c r="T721" i="3" l="1"/>
  <c r="L720" i="3"/>
  <c r="AG721" i="3" l="1"/>
  <c r="U720" i="3"/>
  <c r="D721" i="3" s="1"/>
  <c r="AH721" i="3"/>
  <c r="Y719" i="3"/>
  <c r="G721" i="3" l="1"/>
  <c r="E721" i="3"/>
  <c r="H721" i="3" s="1"/>
  <c r="F721" i="3" l="1"/>
  <c r="I721" i="3"/>
  <c r="J721" i="3"/>
  <c r="AD721" i="3" s="1"/>
  <c r="M721" i="3"/>
  <c r="N721" i="3" s="1"/>
  <c r="K721" i="3"/>
  <c r="AE721" i="3" s="1"/>
  <c r="V721" i="3" l="1"/>
  <c r="W721" i="3" s="1"/>
  <c r="A722" i="3"/>
  <c r="B722" i="3" s="1"/>
  <c r="L721" i="3"/>
  <c r="U721" i="3" l="1"/>
  <c r="Y720" i="3"/>
  <c r="AA722" i="3"/>
  <c r="AC722" i="3"/>
  <c r="P722" i="3"/>
  <c r="Q722" i="3" s="1"/>
  <c r="R722" i="3" s="1"/>
  <c r="S722" i="3" s="1"/>
  <c r="Z722" i="3"/>
  <c r="T722" i="3" l="1"/>
  <c r="AH722" i="3" s="1"/>
  <c r="E722" i="3" l="1"/>
  <c r="H722" i="3" s="1"/>
  <c r="K722" i="3" s="1"/>
  <c r="AE722" i="3" s="1"/>
  <c r="D722" i="3"/>
  <c r="AG722" i="3"/>
  <c r="V722" i="3" l="1"/>
  <c r="A723" i="3"/>
  <c r="B723" i="3" s="1"/>
  <c r="F722" i="3"/>
  <c r="G722" i="3"/>
  <c r="I722" i="3" l="1"/>
  <c r="W722" i="3" s="1"/>
  <c r="J722" i="3"/>
  <c r="AD722" i="3" s="1"/>
  <c r="M722" i="3"/>
  <c r="N722" i="3" s="1"/>
  <c r="Z723" i="3"/>
  <c r="AA723" i="3"/>
  <c r="AC723" i="3"/>
  <c r="P723" i="3"/>
  <c r="Q723" i="3" s="1"/>
  <c r="R723" i="3" s="1"/>
  <c r="S723" i="3" s="1"/>
  <c r="T723" i="3" l="1"/>
  <c r="L722" i="3"/>
  <c r="U722" i="3" l="1"/>
  <c r="E723" i="3" s="1"/>
  <c r="H723" i="3" s="1"/>
  <c r="AG723" i="3"/>
  <c r="AH723" i="3"/>
  <c r="Y721" i="3"/>
  <c r="D723" i="3" l="1"/>
  <c r="G723" i="3" s="1"/>
  <c r="K723" i="3"/>
  <c r="AE723" i="3" s="1"/>
  <c r="F723" i="3" l="1"/>
  <c r="V723" i="3"/>
  <c r="A724" i="3"/>
  <c r="B724" i="3" s="1"/>
  <c r="I723" i="3"/>
  <c r="J723" i="3"/>
  <c r="AD723" i="3" s="1"/>
  <c r="M723" i="3"/>
  <c r="N723" i="3" s="1"/>
  <c r="W723" i="3" l="1"/>
  <c r="L723" i="3"/>
  <c r="AA724" i="3"/>
  <c r="Z724" i="3"/>
  <c r="AC724" i="3"/>
  <c r="P724" i="3"/>
  <c r="Q724" i="3" s="1"/>
  <c r="R724" i="3" s="1"/>
  <c r="S724" i="3" s="1"/>
  <c r="T724" i="3" l="1"/>
  <c r="AH724" i="3" s="1"/>
  <c r="U723" i="3"/>
  <c r="Y722" i="3"/>
  <c r="D724" i="3" l="1"/>
  <c r="E724" i="3"/>
  <c r="H724" i="3" s="1"/>
  <c r="AG724" i="3"/>
  <c r="K724" i="3" l="1"/>
  <c r="AE724" i="3" s="1"/>
  <c r="F724" i="3"/>
  <c r="G724" i="3"/>
  <c r="I724" i="3" l="1"/>
  <c r="J724" i="3"/>
  <c r="AD724" i="3" s="1"/>
  <c r="M724" i="3"/>
  <c r="N724" i="3" s="1"/>
  <c r="V724" i="3"/>
  <c r="A725" i="3"/>
  <c r="B725" i="3" s="1"/>
  <c r="W724" i="3" l="1"/>
  <c r="L724" i="3"/>
  <c r="AC725" i="3"/>
  <c r="P725" i="3"/>
  <c r="Q725" i="3" s="1"/>
  <c r="R725" i="3" s="1"/>
  <c r="S725" i="3" s="1"/>
  <c r="Z725" i="3"/>
  <c r="AA725" i="3"/>
  <c r="U724" i="3" l="1"/>
  <c r="Y723" i="3"/>
  <c r="T725" i="3"/>
  <c r="AG725" i="3" s="1"/>
  <c r="AH725" i="3" l="1"/>
  <c r="D725" i="3"/>
  <c r="G725" i="3" s="1"/>
  <c r="E725" i="3"/>
  <c r="H725" i="3" s="1"/>
  <c r="F725" i="3" l="1"/>
  <c r="I725" i="3"/>
  <c r="J725" i="3"/>
  <c r="AD725" i="3" s="1"/>
  <c r="M725" i="3"/>
  <c r="N725" i="3" s="1"/>
  <c r="K725" i="3"/>
  <c r="AE725" i="3" s="1"/>
  <c r="V725" i="3" l="1"/>
  <c r="W725" i="3" s="1"/>
  <c r="A726" i="3"/>
  <c r="B726" i="3" s="1"/>
  <c r="L725" i="3"/>
  <c r="U725" i="3" l="1"/>
  <c r="Y724" i="3"/>
  <c r="Z726" i="3"/>
  <c r="P726" i="3"/>
  <c r="Q726" i="3" s="1"/>
  <c r="R726" i="3" s="1"/>
  <c r="S726" i="3" s="1"/>
  <c r="AA726" i="3"/>
  <c r="AC726" i="3"/>
  <c r="T726" i="3" l="1"/>
  <c r="AG726" i="3" s="1"/>
  <c r="D726" i="3" l="1"/>
  <c r="G726" i="3" s="1"/>
  <c r="E726" i="3"/>
  <c r="H726" i="3" s="1"/>
  <c r="K726" i="3" s="1"/>
  <c r="AE726" i="3" s="1"/>
  <c r="AH726" i="3"/>
  <c r="F726" i="3" l="1"/>
  <c r="I726" i="3"/>
  <c r="J726" i="3"/>
  <c r="AD726" i="3" s="1"/>
  <c r="M726" i="3"/>
  <c r="N726" i="3" s="1"/>
  <c r="V726" i="3"/>
  <c r="A727" i="3"/>
  <c r="B727" i="3" s="1"/>
  <c r="W726" i="3" l="1"/>
  <c r="L726" i="3"/>
  <c r="P727" i="3"/>
  <c r="Q727" i="3" s="1"/>
  <c r="R727" i="3" s="1"/>
  <c r="S727" i="3" s="1"/>
  <c r="Z727" i="3"/>
  <c r="AA727" i="3"/>
  <c r="AC727" i="3"/>
  <c r="U726" i="3" l="1"/>
  <c r="Y725" i="3"/>
  <c r="T727" i="3"/>
  <c r="AH727" i="3" s="1"/>
  <c r="E727" i="3" l="1"/>
  <c r="H727" i="3" s="1"/>
  <c r="K727" i="3" s="1"/>
  <c r="AE727" i="3" s="1"/>
  <c r="D727" i="3"/>
  <c r="AG727" i="3"/>
  <c r="F727" i="3" l="1"/>
  <c r="G727" i="3"/>
  <c r="M727" i="3" s="1"/>
  <c r="N727" i="3" s="1"/>
  <c r="V727" i="3"/>
  <c r="A728" i="3"/>
  <c r="B728" i="3" s="1"/>
  <c r="I727" i="3" l="1"/>
  <c r="W727" i="3" s="1"/>
  <c r="J727" i="3"/>
  <c r="AA728" i="3"/>
  <c r="P728" i="3"/>
  <c r="Q728" i="3" s="1"/>
  <c r="R728" i="3" s="1"/>
  <c r="S728" i="3" s="1"/>
  <c r="AC728" i="3"/>
  <c r="Z728" i="3"/>
  <c r="L727" i="3" l="1"/>
  <c r="U727" i="3" s="1"/>
  <c r="AD727" i="3"/>
  <c r="T728" i="3"/>
  <c r="Y726" i="3" l="1"/>
  <c r="D728" i="3"/>
  <c r="G728" i="3" s="1"/>
  <c r="AG728" i="3"/>
  <c r="E728" i="3"/>
  <c r="H728" i="3" s="1"/>
  <c r="AH728" i="3"/>
  <c r="F728" i="3" l="1"/>
  <c r="I728" i="3"/>
  <c r="J728" i="3"/>
  <c r="AD728" i="3" s="1"/>
  <c r="M728" i="3"/>
  <c r="N728" i="3" s="1"/>
  <c r="K728" i="3"/>
  <c r="AE728" i="3" s="1"/>
  <c r="V728" i="3" l="1"/>
  <c r="W728" i="3" s="1"/>
  <c r="A729" i="3"/>
  <c r="B729" i="3" s="1"/>
  <c r="L728" i="3"/>
  <c r="U728" i="3" l="1"/>
  <c r="Y727" i="3"/>
  <c r="P729" i="3"/>
  <c r="Q729" i="3" s="1"/>
  <c r="R729" i="3" s="1"/>
  <c r="S729" i="3" s="1"/>
  <c r="AA729" i="3"/>
  <c r="AC729" i="3"/>
  <c r="Z729" i="3"/>
  <c r="T729" i="3" l="1"/>
  <c r="E729" i="3" s="1"/>
  <c r="H729" i="3" s="1"/>
  <c r="AH729" i="3" l="1"/>
  <c r="D729" i="3"/>
  <c r="F729" i="3" s="1"/>
  <c r="AG729" i="3"/>
  <c r="K729" i="3"/>
  <c r="AE729" i="3" s="1"/>
  <c r="G729" i="3" l="1"/>
  <c r="I729" i="3" s="1"/>
  <c r="V729" i="3"/>
  <c r="A730" i="3"/>
  <c r="B730" i="3" s="1"/>
  <c r="W729" i="3" l="1"/>
  <c r="J729" i="3"/>
  <c r="M729" i="3"/>
  <c r="N729" i="3" s="1"/>
  <c r="AA730" i="3"/>
  <c r="Z730" i="3"/>
  <c r="P730" i="3"/>
  <c r="Q730" i="3" s="1"/>
  <c r="R730" i="3" s="1"/>
  <c r="S730" i="3" s="1"/>
  <c r="AC730" i="3"/>
  <c r="L729" i="3" l="1"/>
  <c r="U729" i="3" s="1"/>
  <c r="AD729" i="3"/>
  <c r="T730" i="3"/>
  <c r="Y728" i="3" l="1"/>
  <c r="AG730" i="3"/>
  <c r="D730" i="3"/>
  <c r="E730" i="3"/>
  <c r="H730" i="3" s="1"/>
  <c r="AH730" i="3"/>
  <c r="K730" i="3" l="1"/>
  <c r="AE730" i="3" s="1"/>
  <c r="F730" i="3"/>
  <c r="G730" i="3"/>
  <c r="I730" i="3" l="1"/>
  <c r="J730" i="3"/>
  <c r="AD730" i="3" s="1"/>
  <c r="M730" i="3"/>
  <c r="N730" i="3" s="1"/>
  <c r="V730" i="3"/>
  <c r="A731" i="3"/>
  <c r="B731" i="3" s="1"/>
  <c r="W730" i="3" l="1"/>
  <c r="L730" i="3"/>
  <c r="P731" i="3"/>
  <c r="Q731" i="3" s="1"/>
  <c r="R731" i="3" s="1"/>
  <c r="S731" i="3" s="1"/>
  <c r="Z731" i="3"/>
  <c r="AA731" i="3"/>
  <c r="AC731" i="3"/>
  <c r="U730" i="3" l="1"/>
  <c r="Y729" i="3"/>
  <c r="T731" i="3"/>
  <c r="AG731" i="3" s="1"/>
  <c r="E731" i="3" l="1"/>
  <c r="H731" i="3" s="1"/>
  <c r="K731" i="3" s="1"/>
  <c r="AE731" i="3" s="1"/>
  <c r="AH731" i="3"/>
  <c r="D731" i="3"/>
  <c r="F731" i="3" l="1"/>
  <c r="G731" i="3"/>
  <c r="J731" i="3" s="1"/>
  <c r="AD731" i="3" s="1"/>
  <c r="V731" i="3"/>
  <c r="A732" i="3"/>
  <c r="B732" i="3" s="1"/>
  <c r="M731" i="3" l="1"/>
  <c r="N731" i="3" s="1"/>
  <c r="I731" i="3"/>
  <c r="W731" i="3" s="1"/>
  <c r="L731" i="3"/>
  <c r="AC732" i="3"/>
  <c r="Z732" i="3"/>
  <c r="AA732" i="3"/>
  <c r="P732" i="3"/>
  <c r="Q732" i="3" s="1"/>
  <c r="R732" i="3" s="1"/>
  <c r="S732" i="3" s="1"/>
  <c r="U731" i="3" l="1"/>
  <c r="Y730" i="3"/>
  <c r="T732" i="3"/>
  <c r="E732" i="3" l="1"/>
  <c r="H732" i="3" s="1"/>
  <c r="K732" i="3" s="1"/>
  <c r="AE732" i="3" s="1"/>
  <c r="D732" i="3"/>
  <c r="G732" i="3" s="1"/>
  <c r="AH732" i="3"/>
  <c r="AG732" i="3"/>
  <c r="F732" i="3" l="1"/>
  <c r="I732" i="3"/>
  <c r="J732" i="3"/>
  <c r="AD732" i="3" s="1"/>
  <c r="M732" i="3"/>
  <c r="N732" i="3" s="1"/>
  <c r="V732" i="3"/>
  <c r="A733" i="3"/>
  <c r="B733" i="3" s="1"/>
  <c r="W732" i="3" l="1"/>
  <c r="L732" i="3"/>
  <c r="AC733" i="3"/>
  <c r="P733" i="3"/>
  <c r="Q733" i="3" s="1"/>
  <c r="R733" i="3" s="1"/>
  <c r="S733" i="3" s="1"/>
  <c r="AA733" i="3"/>
  <c r="Z733" i="3"/>
  <c r="T733" i="3" l="1"/>
  <c r="AH733" i="3" s="1"/>
  <c r="U732" i="3"/>
  <c r="Y731" i="3"/>
  <c r="D733" i="3" l="1"/>
  <c r="G733" i="3" s="1"/>
  <c r="E733" i="3"/>
  <c r="H733" i="3" s="1"/>
  <c r="AG733" i="3"/>
  <c r="F733" i="3" l="1"/>
  <c r="I733" i="3"/>
  <c r="J733" i="3"/>
  <c r="AD733" i="3" s="1"/>
  <c r="M733" i="3"/>
  <c r="N733" i="3" s="1"/>
  <c r="K733" i="3"/>
  <c r="AE733" i="3" s="1"/>
  <c r="V733" i="3" l="1"/>
  <c r="W733" i="3" s="1"/>
  <c r="A734" i="3"/>
  <c r="B734" i="3" s="1"/>
  <c r="L733" i="3"/>
  <c r="U733" i="3" l="1"/>
  <c r="Y732" i="3"/>
  <c r="P734" i="3"/>
  <c r="Q734" i="3" s="1"/>
  <c r="R734" i="3" s="1"/>
  <c r="S734" i="3" s="1"/>
  <c r="AC734" i="3"/>
  <c r="AA734" i="3"/>
  <c r="Z734" i="3"/>
  <c r="T734" i="3" l="1"/>
  <c r="AG734" i="3" s="1"/>
  <c r="D734" i="3" l="1"/>
  <c r="E734" i="3"/>
  <c r="H734" i="3" s="1"/>
  <c r="K734" i="3" s="1"/>
  <c r="AE734" i="3" s="1"/>
  <c r="AH734" i="3"/>
  <c r="F734" i="3" l="1"/>
  <c r="G734" i="3"/>
  <c r="M734" i="3" s="1"/>
  <c r="N734" i="3" s="1"/>
  <c r="V734" i="3"/>
  <c r="A735" i="3"/>
  <c r="B735" i="3" s="1"/>
  <c r="I734" i="3" l="1"/>
  <c r="W734" i="3" s="1"/>
  <c r="J734" i="3"/>
  <c r="AA735" i="3"/>
  <c r="Z735" i="3"/>
  <c r="P735" i="3"/>
  <c r="Q735" i="3" s="1"/>
  <c r="R735" i="3" s="1"/>
  <c r="S735" i="3" s="1"/>
  <c r="AC735" i="3"/>
  <c r="L734" i="3" l="1"/>
  <c r="Y733" i="3" s="1"/>
  <c r="AD734" i="3"/>
  <c r="T735" i="3"/>
  <c r="U734" i="3" l="1"/>
  <c r="E735" i="3" s="1"/>
  <c r="H735" i="3" s="1"/>
  <c r="AH735" i="3"/>
  <c r="AG735" i="3"/>
  <c r="D735" i="3" l="1"/>
  <c r="G735" i="3" s="1"/>
  <c r="M735" i="3" s="1"/>
  <c r="N735" i="3" s="1"/>
  <c r="K735" i="3"/>
  <c r="AE735" i="3" s="1"/>
  <c r="F735" i="3" l="1"/>
  <c r="I735" i="3"/>
  <c r="J735" i="3"/>
  <c r="V735" i="3"/>
  <c r="A736" i="3"/>
  <c r="B736" i="3" s="1"/>
  <c r="L735" i="3" l="1"/>
  <c r="U735" i="3" s="1"/>
  <c r="AD735" i="3"/>
  <c r="W735" i="3"/>
  <c r="Z736" i="3"/>
  <c r="P736" i="3"/>
  <c r="Q736" i="3" s="1"/>
  <c r="R736" i="3" s="1"/>
  <c r="S736" i="3" s="1"/>
  <c r="AA736" i="3"/>
  <c r="AC736" i="3"/>
  <c r="Y734" i="3" l="1"/>
  <c r="T736" i="3"/>
  <c r="E736" i="3" s="1"/>
  <c r="H736" i="3" s="1"/>
  <c r="AH736" i="3" l="1"/>
  <c r="D736" i="3"/>
  <c r="F736" i="3" s="1"/>
  <c r="K736" i="3"/>
  <c r="AE736" i="3" s="1"/>
  <c r="AG736" i="3"/>
  <c r="G736" i="3" l="1"/>
  <c r="M736" i="3" s="1"/>
  <c r="N736" i="3" s="1"/>
  <c r="V736" i="3"/>
  <c r="A737" i="3"/>
  <c r="B737" i="3" s="1"/>
  <c r="I736" i="3" l="1"/>
  <c r="W736" i="3" s="1"/>
  <c r="J736" i="3"/>
  <c r="AC737" i="3"/>
  <c r="P737" i="3"/>
  <c r="Q737" i="3" s="1"/>
  <c r="R737" i="3" s="1"/>
  <c r="S737" i="3" s="1"/>
  <c r="Z737" i="3"/>
  <c r="AA737" i="3"/>
  <c r="L736" i="3" l="1"/>
  <c r="U736" i="3" s="1"/>
  <c r="AD736" i="3"/>
  <c r="T737" i="3"/>
  <c r="Y735" i="3" l="1"/>
  <c r="AH737" i="3"/>
  <c r="D737" i="3"/>
  <c r="E737" i="3"/>
  <c r="H737" i="3" s="1"/>
  <c r="AG737" i="3"/>
  <c r="F737" i="3" l="1"/>
  <c r="G737" i="3"/>
  <c r="K737" i="3"/>
  <c r="AE737" i="3" s="1"/>
  <c r="V737" i="3" l="1"/>
  <c r="A738" i="3"/>
  <c r="B738" i="3" s="1"/>
  <c r="I737" i="3"/>
  <c r="J737" i="3"/>
  <c r="AD737" i="3" s="1"/>
  <c r="M737" i="3"/>
  <c r="N737" i="3" s="1"/>
  <c r="W737" i="3" l="1"/>
  <c r="L737" i="3"/>
  <c r="AA738" i="3"/>
  <c r="P738" i="3"/>
  <c r="Q738" i="3" s="1"/>
  <c r="R738" i="3" s="1"/>
  <c r="S738" i="3" s="1"/>
  <c r="AC738" i="3"/>
  <c r="Z738" i="3"/>
  <c r="U737" i="3" l="1"/>
  <c r="Y736" i="3"/>
  <c r="T738" i="3"/>
  <c r="E738" i="3" l="1"/>
  <c r="H738" i="3" s="1"/>
  <c r="K738" i="3" s="1"/>
  <c r="AE738" i="3" s="1"/>
  <c r="D738" i="3"/>
  <c r="AG738" i="3"/>
  <c r="AH738" i="3"/>
  <c r="V738" i="3" l="1"/>
  <c r="A739" i="3"/>
  <c r="B739" i="3" s="1"/>
  <c r="F738" i="3"/>
  <c r="G738" i="3"/>
  <c r="I738" i="3" l="1"/>
  <c r="W738" i="3" s="1"/>
  <c r="J738" i="3"/>
  <c r="AD738" i="3" s="1"/>
  <c r="M738" i="3"/>
  <c r="N738" i="3" s="1"/>
  <c r="P739" i="3"/>
  <c r="Q739" i="3" s="1"/>
  <c r="R739" i="3" s="1"/>
  <c r="S739" i="3" s="1"/>
  <c r="AC739" i="3"/>
  <c r="AA739" i="3"/>
  <c r="AD739" i="3"/>
  <c r="Z739" i="3"/>
  <c r="T739" i="3" l="1"/>
  <c r="L738" i="3"/>
  <c r="AH739" i="3" l="1"/>
  <c r="U738" i="3"/>
  <c r="E739" i="3" s="1"/>
  <c r="H739" i="3" s="1"/>
  <c r="AG739" i="3"/>
  <c r="Y737" i="3"/>
  <c r="D739" i="3" l="1"/>
  <c r="G739" i="3" s="1"/>
  <c r="K739" i="3"/>
  <c r="AE739" i="3" s="1"/>
  <c r="F739" i="3" l="1"/>
  <c r="I739" i="3"/>
  <c r="J739" i="3"/>
  <c r="M739" i="3"/>
  <c r="N739" i="3" s="1"/>
  <c r="V739" i="3"/>
  <c r="A740" i="3"/>
  <c r="B740" i="3" s="1"/>
  <c r="W739" i="3" l="1"/>
  <c r="L739" i="3"/>
  <c r="P740" i="3"/>
  <c r="Q740" i="3" s="1"/>
  <c r="R740" i="3" s="1"/>
  <c r="S740" i="3" s="1"/>
  <c r="Z740" i="3"/>
  <c r="AC740" i="3"/>
  <c r="AD740" i="3"/>
  <c r="AA740" i="3"/>
  <c r="U739" i="3" l="1"/>
  <c r="Y738" i="3"/>
  <c r="T740" i="3"/>
  <c r="E740" i="3" l="1"/>
  <c r="H740" i="3" s="1"/>
  <c r="K740" i="3" s="1"/>
  <c r="AE740" i="3" s="1"/>
  <c r="D740" i="3"/>
  <c r="G740" i="3" s="1"/>
  <c r="AH740" i="3"/>
  <c r="AG740" i="3"/>
  <c r="F740" i="3" l="1"/>
  <c r="I740" i="3"/>
  <c r="J740" i="3"/>
  <c r="M740" i="3"/>
  <c r="N740" i="3" s="1"/>
  <c r="V740" i="3"/>
  <c r="A741" i="3"/>
  <c r="B741" i="3" s="1"/>
  <c r="W740" i="3" l="1"/>
  <c r="L740" i="3"/>
  <c r="AA741" i="3"/>
  <c r="P741" i="3"/>
  <c r="Q741" i="3" s="1"/>
  <c r="R741" i="3" s="1"/>
  <c r="S741" i="3" s="1"/>
  <c r="AD741" i="3"/>
  <c r="Z741" i="3"/>
  <c r="AC741" i="3"/>
  <c r="T741" i="3" l="1"/>
  <c r="AG741" i="3" s="1"/>
  <c r="U740" i="3"/>
  <c r="Y739" i="3"/>
  <c r="E741" i="3" l="1"/>
  <c r="H741" i="3" s="1"/>
  <c r="D741" i="3"/>
  <c r="AH741" i="3"/>
  <c r="K741" i="3" l="1"/>
  <c r="AE741" i="3" s="1"/>
  <c r="F741" i="3"/>
  <c r="G741" i="3"/>
  <c r="V741" i="3" l="1"/>
  <c r="A742" i="3"/>
  <c r="B742" i="3" s="1"/>
  <c r="I741" i="3"/>
  <c r="J741" i="3"/>
  <c r="M741" i="3"/>
  <c r="N741" i="3" s="1"/>
  <c r="L741" i="3" l="1"/>
  <c r="W741" i="3"/>
  <c r="AC742" i="3"/>
  <c r="P742" i="3"/>
  <c r="Q742" i="3" s="1"/>
  <c r="R742" i="3" s="1"/>
  <c r="S742" i="3" s="1"/>
  <c r="AD742" i="3"/>
  <c r="Z742" i="3"/>
  <c r="AA742" i="3"/>
  <c r="U741" i="3" l="1"/>
  <c r="Y740" i="3"/>
  <c r="T742" i="3"/>
  <c r="AG742" i="3" s="1"/>
  <c r="E742" i="3" l="1"/>
  <c r="H742" i="3" s="1"/>
  <c r="K742" i="3" s="1"/>
  <c r="AE742" i="3" s="1"/>
  <c r="AH742" i="3"/>
  <c r="D742" i="3"/>
  <c r="F742" i="3" l="1"/>
  <c r="G742" i="3"/>
  <c r="V742" i="3"/>
  <c r="A743" i="3"/>
  <c r="B743" i="3" s="1"/>
  <c r="I742" i="3" l="1"/>
  <c r="W742" i="3" s="1"/>
  <c r="J742" i="3"/>
  <c r="M742" i="3"/>
  <c r="N742" i="3" s="1"/>
  <c r="Z743" i="3"/>
  <c r="AA743" i="3"/>
  <c r="P743" i="3"/>
  <c r="Q743" i="3" s="1"/>
  <c r="R743" i="3" s="1"/>
  <c r="S743" i="3" s="1"/>
  <c r="AC743" i="3"/>
  <c r="AD743" i="3"/>
  <c r="T743" i="3" l="1"/>
  <c r="L742" i="3"/>
  <c r="U742" i="3" l="1"/>
  <c r="E743" i="3" s="1"/>
  <c r="H743" i="3" s="1"/>
  <c r="AH743" i="3"/>
  <c r="AG743" i="3"/>
  <c r="Y741" i="3"/>
  <c r="D743" i="3" l="1"/>
  <c r="G743" i="3" s="1"/>
  <c r="K743" i="3"/>
  <c r="AE743" i="3" s="1"/>
  <c r="F743" i="3" l="1"/>
  <c r="I743" i="3"/>
  <c r="J743" i="3"/>
  <c r="M743" i="3"/>
  <c r="N743" i="3" s="1"/>
  <c r="V743" i="3"/>
  <c r="A744" i="3"/>
  <c r="B744" i="3" s="1"/>
  <c r="W743" i="3" l="1"/>
  <c r="L743" i="3"/>
  <c r="AA744" i="3"/>
  <c r="P744" i="3"/>
  <c r="Q744" i="3" s="1"/>
  <c r="R744" i="3" s="1"/>
  <c r="S744" i="3" s="1"/>
  <c r="AC744" i="3"/>
  <c r="Z744" i="3"/>
  <c r="U743" i="3" l="1"/>
  <c r="Y742" i="3"/>
  <c r="T744" i="3"/>
  <c r="AG744" i="3" s="1"/>
  <c r="E744" i="3" l="1"/>
  <c r="H744" i="3" s="1"/>
  <c r="K744" i="3" s="1"/>
  <c r="AE744" i="3" s="1"/>
  <c r="D744" i="3"/>
  <c r="AH744" i="3"/>
  <c r="F744" i="3" l="1"/>
  <c r="G744" i="3"/>
  <c r="I744" i="3" s="1"/>
  <c r="V744" i="3"/>
  <c r="A745" i="3"/>
  <c r="B745" i="3" s="1"/>
  <c r="J744" i="3" l="1"/>
  <c r="M744" i="3"/>
  <c r="N744" i="3" s="1"/>
  <c r="W744" i="3"/>
  <c r="P745" i="3"/>
  <c r="Q745" i="3" s="1"/>
  <c r="R745" i="3" s="1"/>
  <c r="S745" i="3" s="1"/>
  <c r="AA745" i="3"/>
  <c r="AC745" i="3"/>
  <c r="Z745" i="3"/>
  <c r="L744" i="3" l="1"/>
  <c r="U744" i="3" s="1"/>
  <c r="AD744" i="3"/>
  <c r="T745" i="3"/>
  <c r="Y743" i="3" l="1"/>
  <c r="AG745" i="3"/>
  <c r="E745" i="3"/>
  <c r="H745" i="3" s="1"/>
  <c r="K745" i="3" s="1"/>
  <c r="AE745" i="3" s="1"/>
  <c r="D745" i="3"/>
  <c r="AH745" i="3"/>
  <c r="F745" i="3" l="1"/>
  <c r="G745" i="3"/>
  <c r="M745" i="3" s="1"/>
  <c r="N745" i="3" s="1"/>
  <c r="V745" i="3"/>
  <c r="A746" i="3"/>
  <c r="B746" i="3" s="1"/>
  <c r="I745" i="3" l="1"/>
  <c r="W745" i="3" s="1"/>
  <c r="J745" i="3"/>
  <c r="Z746" i="3"/>
  <c r="P746" i="3"/>
  <c r="Q746" i="3" s="1"/>
  <c r="R746" i="3" s="1"/>
  <c r="S746" i="3" s="1"/>
  <c r="AA746" i="3"/>
  <c r="AC746" i="3"/>
  <c r="L745" i="3" l="1"/>
  <c r="U745" i="3" s="1"/>
  <c r="AD745" i="3"/>
  <c r="T746" i="3"/>
  <c r="Y744" i="3" l="1"/>
  <c r="D746" i="3"/>
  <c r="G746" i="3" s="1"/>
  <c r="AG746" i="3"/>
  <c r="E746" i="3"/>
  <c r="H746" i="3" s="1"/>
  <c r="AH746" i="3"/>
  <c r="F746" i="3" l="1"/>
  <c r="I746" i="3"/>
  <c r="J746" i="3"/>
  <c r="AD746" i="3" s="1"/>
  <c r="M746" i="3"/>
  <c r="N746" i="3" s="1"/>
  <c r="K746" i="3"/>
  <c r="AE746" i="3" s="1"/>
  <c r="V746" i="3" l="1"/>
  <c r="W746" i="3" s="1"/>
  <c r="A747" i="3"/>
  <c r="B747" i="3" s="1"/>
  <c r="L746" i="3"/>
  <c r="U746" i="3" l="1"/>
  <c r="Y745" i="3"/>
  <c r="AA747" i="3"/>
  <c r="Z747" i="3"/>
  <c r="AC747" i="3"/>
  <c r="P747" i="3"/>
  <c r="Q747" i="3" s="1"/>
  <c r="R747" i="3" s="1"/>
  <c r="S747" i="3" s="1"/>
  <c r="T747" i="3" l="1"/>
  <c r="D747" i="3" s="1"/>
  <c r="AG747" i="3" l="1"/>
  <c r="E747" i="3"/>
  <c r="H747" i="3" s="1"/>
  <c r="K747" i="3" s="1"/>
  <c r="AE747" i="3" s="1"/>
  <c r="AH747" i="3"/>
  <c r="G747" i="3"/>
  <c r="F747" i="3" l="1"/>
  <c r="I747" i="3"/>
  <c r="J747" i="3"/>
  <c r="AD747" i="3" s="1"/>
  <c r="M747" i="3"/>
  <c r="N747" i="3" s="1"/>
  <c r="V747" i="3"/>
  <c r="A748" i="3"/>
  <c r="B748" i="3" s="1"/>
  <c r="W747" i="3" l="1"/>
  <c r="L747" i="3"/>
  <c r="AC748" i="3"/>
  <c r="P748" i="3"/>
  <c r="Q748" i="3" s="1"/>
  <c r="R748" i="3" s="1"/>
  <c r="S748" i="3" s="1"/>
  <c r="Z748" i="3"/>
  <c r="AA748" i="3"/>
  <c r="U747" i="3" l="1"/>
  <c r="Y746" i="3"/>
  <c r="T748" i="3"/>
  <c r="E748" i="3" l="1"/>
  <c r="H748" i="3" s="1"/>
  <c r="K748" i="3" s="1"/>
  <c r="AE748" i="3" s="1"/>
  <c r="D748" i="3"/>
  <c r="AH748" i="3"/>
  <c r="AG748" i="3"/>
  <c r="V748" i="3" l="1"/>
  <c r="A749" i="3"/>
  <c r="B749" i="3" s="1"/>
  <c r="F748" i="3"/>
  <c r="G748" i="3"/>
  <c r="I748" i="3" l="1"/>
  <c r="W748" i="3" s="1"/>
  <c r="J748" i="3"/>
  <c r="AD748" i="3" s="1"/>
  <c r="M748" i="3"/>
  <c r="N748" i="3" s="1"/>
  <c r="AA749" i="3"/>
  <c r="Z749" i="3"/>
  <c r="P749" i="3"/>
  <c r="Q749" i="3" s="1"/>
  <c r="R749" i="3" s="1"/>
  <c r="S749" i="3" s="1"/>
  <c r="AC749" i="3"/>
  <c r="T749" i="3" l="1"/>
  <c r="L748" i="3"/>
  <c r="U748" i="3" l="1"/>
  <c r="E749" i="3" s="1"/>
  <c r="H749" i="3" s="1"/>
  <c r="AG749" i="3"/>
  <c r="AH749" i="3"/>
  <c r="Y747" i="3"/>
  <c r="K749" i="3" l="1"/>
  <c r="AE749" i="3" s="1"/>
  <c r="D749" i="3"/>
  <c r="V749" i="3" l="1"/>
  <c r="A750" i="3"/>
  <c r="B750" i="3" s="1"/>
  <c r="F749" i="3"/>
  <c r="G749" i="3"/>
  <c r="I749" i="3" l="1"/>
  <c r="W749" i="3" s="1"/>
  <c r="J749" i="3"/>
  <c r="AD749" i="3" s="1"/>
  <c r="M749" i="3"/>
  <c r="N749" i="3" s="1"/>
  <c r="AA750" i="3"/>
  <c r="AC750" i="3"/>
  <c r="Z750" i="3"/>
  <c r="P750" i="3"/>
  <c r="Q750" i="3" s="1"/>
  <c r="R750" i="3" s="1"/>
  <c r="S750" i="3" s="1"/>
  <c r="T750" i="3" l="1"/>
  <c r="L749" i="3"/>
  <c r="AH750" i="3" l="1"/>
  <c r="AG750" i="3"/>
  <c r="U749" i="3"/>
  <c r="D750" i="3" s="1"/>
  <c r="Y748" i="3"/>
  <c r="G750" i="3" l="1"/>
  <c r="E750" i="3"/>
  <c r="H750" i="3" s="1"/>
  <c r="F750" i="3" l="1"/>
  <c r="I750" i="3"/>
  <c r="J750" i="3"/>
  <c r="AD750" i="3" s="1"/>
  <c r="M750" i="3"/>
  <c r="N750" i="3" s="1"/>
  <c r="K750" i="3"/>
  <c r="AE750" i="3" s="1"/>
  <c r="V750" i="3" l="1"/>
  <c r="W750" i="3" s="1"/>
  <c r="A751" i="3"/>
  <c r="B751" i="3" s="1"/>
  <c r="L750" i="3"/>
  <c r="U750" i="3" l="1"/>
  <c r="Y749" i="3"/>
  <c r="P751" i="3"/>
  <c r="Q751" i="3" s="1"/>
  <c r="R751" i="3" s="1"/>
  <c r="S751" i="3" s="1"/>
  <c r="Z751" i="3"/>
  <c r="AA751" i="3"/>
  <c r="AC751" i="3"/>
  <c r="T751" i="3" l="1"/>
  <c r="AH751" i="3" s="1"/>
  <c r="E751" i="3" l="1"/>
  <c r="H751" i="3" s="1"/>
  <c r="K751" i="3" s="1"/>
  <c r="AE751" i="3" s="1"/>
  <c r="AG751" i="3"/>
  <c r="D751" i="3"/>
  <c r="F751" i="3" l="1"/>
  <c r="G751" i="3"/>
  <c r="V751" i="3"/>
  <c r="A752" i="3"/>
  <c r="B752" i="3" s="1"/>
  <c r="AA752" i="3" l="1"/>
  <c r="Z752" i="3"/>
  <c r="AC752" i="3"/>
  <c r="P752" i="3"/>
  <c r="Q752" i="3" s="1"/>
  <c r="R752" i="3" s="1"/>
  <c r="S752" i="3" s="1"/>
  <c r="I751" i="3"/>
  <c r="W751" i="3" s="1"/>
  <c r="J751" i="3"/>
  <c r="AD751" i="3" s="1"/>
  <c r="M751" i="3"/>
  <c r="N751" i="3" s="1"/>
  <c r="L751" i="3" l="1"/>
  <c r="T752" i="3"/>
  <c r="U751" i="3" l="1"/>
  <c r="E752" i="3" s="1"/>
  <c r="H752" i="3" s="1"/>
  <c r="AG752" i="3"/>
  <c r="AH752" i="3"/>
  <c r="Y750" i="3"/>
  <c r="K752" i="3" l="1"/>
  <c r="AE752" i="3" s="1"/>
  <c r="D752" i="3"/>
  <c r="V752" i="3" l="1"/>
  <c r="A753" i="3"/>
  <c r="B753" i="3" s="1"/>
  <c r="F752" i="3"/>
  <c r="G752" i="3"/>
  <c r="I752" i="3" l="1"/>
  <c r="W752" i="3" s="1"/>
  <c r="J752" i="3"/>
  <c r="AD752" i="3" s="1"/>
  <c r="M752" i="3"/>
  <c r="N752" i="3" s="1"/>
  <c r="AA753" i="3"/>
  <c r="Z753" i="3"/>
  <c r="P753" i="3"/>
  <c r="Q753" i="3" s="1"/>
  <c r="R753" i="3" s="1"/>
  <c r="S753" i="3" s="1"/>
  <c r="AC753" i="3"/>
  <c r="T753" i="3" l="1"/>
  <c r="L752" i="3"/>
  <c r="AG753" i="3" l="1"/>
  <c r="U752" i="3"/>
  <c r="E753" i="3" s="1"/>
  <c r="H753" i="3" s="1"/>
  <c r="AH753" i="3"/>
  <c r="Y751" i="3"/>
  <c r="K753" i="3" l="1"/>
  <c r="AE753" i="3" s="1"/>
  <c r="D753" i="3"/>
  <c r="V753" i="3" l="1"/>
  <c r="A754" i="3"/>
  <c r="B754" i="3" s="1"/>
  <c r="F753" i="3"/>
  <c r="G753" i="3"/>
  <c r="I753" i="3" l="1"/>
  <c r="W753" i="3" s="1"/>
  <c r="J753" i="3"/>
  <c r="AD753" i="3" s="1"/>
  <c r="M753" i="3"/>
  <c r="N753" i="3" s="1"/>
  <c r="AC754" i="3"/>
  <c r="P754" i="3"/>
  <c r="Q754" i="3" s="1"/>
  <c r="R754" i="3" s="1"/>
  <c r="S754" i="3" s="1"/>
  <c r="Z754" i="3"/>
  <c r="AA754" i="3"/>
  <c r="T754" i="3" l="1"/>
  <c r="L753" i="3"/>
  <c r="AG754" i="3" l="1"/>
  <c r="AH754" i="3"/>
  <c r="U753" i="3"/>
  <c r="E754" i="3" s="1"/>
  <c r="H754" i="3" s="1"/>
  <c r="Y752" i="3"/>
  <c r="D754" i="3" l="1"/>
  <c r="G754" i="3" s="1"/>
  <c r="K754" i="3"/>
  <c r="AE754" i="3" s="1"/>
  <c r="F754" i="3" l="1"/>
  <c r="I754" i="3"/>
  <c r="J754" i="3"/>
  <c r="AD754" i="3" s="1"/>
  <c r="M754" i="3"/>
  <c r="N754" i="3" s="1"/>
  <c r="V754" i="3"/>
  <c r="A755" i="3"/>
  <c r="B755" i="3" s="1"/>
  <c r="W754" i="3" l="1"/>
  <c r="L754" i="3"/>
  <c r="AC755" i="3"/>
  <c r="AA755" i="3"/>
  <c r="P755" i="3"/>
  <c r="Q755" i="3" s="1"/>
  <c r="R755" i="3" s="1"/>
  <c r="S755" i="3" s="1"/>
  <c r="Z755" i="3"/>
  <c r="T755" i="3" l="1"/>
  <c r="U754" i="3"/>
  <c r="Y753" i="3"/>
  <c r="E755" i="3" l="1"/>
  <c r="H755" i="3" s="1"/>
  <c r="K755" i="3" s="1"/>
  <c r="AE755" i="3" s="1"/>
  <c r="AH755" i="3"/>
  <c r="AG755" i="3"/>
  <c r="D755" i="3"/>
  <c r="F755" i="3" l="1"/>
  <c r="G755" i="3"/>
  <c r="V755" i="3"/>
  <c r="A756" i="3"/>
  <c r="B756" i="3" s="1"/>
  <c r="P756" i="3" l="1"/>
  <c r="Q756" i="3" s="1"/>
  <c r="R756" i="3" s="1"/>
  <c r="S756" i="3" s="1"/>
  <c r="Z756" i="3"/>
  <c r="AA756" i="3"/>
  <c r="AC756" i="3"/>
  <c r="I755" i="3"/>
  <c r="W755" i="3" s="1"/>
  <c r="J755" i="3"/>
  <c r="AD755" i="3" s="1"/>
  <c r="M755" i="3"/>
  <c r="N755" i="3" s="1"/>
  <c r="T756" i="3" l="1"/>
  <c r="L755" i="3"/>
  <c r="AG756" i="3" l="1"/>
  <c r="U755" i="3"/>
  <c r="E756" i="3" s="1"/>
  <c r="H756" i="3" s="1"/>
  <c r="AH756" i="3"/>
  <c r="Y754" i="3"/>
  <c r="D756" i="3" l="1"/>
  <c r="F756" i="3" s="1"/>
  <c r="K756" i="3"/>
  <c r="AE756" i="3" s="1"/>
  <c r="G756" i="3" l="1"/>
  <c r="M756" i="3" s="1"/>
  <c r="N756" i="3" s="1"/>
  <c r="V756" i="3"/>
  <c r="A757" i="3"/>
  <c r="B757" i="3" s="1"/>
  <c r="I756" i="3" l="1"/>
  <c r="W756" i="3" s="1"/>
  <c r="J756" i="3"/>
  <c r="AC757" i="3"/>
  <c r="P757" i="3"/>
  <c r="Q757" i="3" s="1"/>
  <c r="R757" i="3" s="1"/>
  <c r="S757" i="3" s="1"/>
  <c r="Z757" i="3"/>
  <c r="AA757" i="3"/>
  <c r="L756" i="3" l="1"/>
  <c r="U756" i="3" s="1"/>
  <c r="AD756" i="3"/>
  <c r="T757" i="3"/>
  <c r="Y755" i="3" l="1"/>
  <c r="E757" i="3"/>
  <c r="H757" i="3" s="1"/>
  <c r="K757" i="3" s="1"/>
  <c r="AE757" i="3" s="1"/>
  <c r="AH757" i="3"/>
  <c r="D757" i="3"/>
  <c r="AG757" i="3"/>
  <c r="V757" i="3" l="1"/>
  <c r="A758" i="3"/>
  <c r="B758" i="3" s="1"/>
  <c r="F757" i="3"/>
  <c r="G757" i="3"/>
  <c r="I757" i="3" l="1"/>
  <c r="W757" i="3" s="1"/>
  <c r="J757" i="3"/>
  <c r="AD757" i="3" s="1"/>
  <c r="M757" i="3"/>
  <c r="N757" i="3" s="1"/>
  <c r="AA758" i="3"/>
  <c r="Z758" i="3"/>
  <c r="AC758" i="3"/>
  <c r="P758" i="3"/>
  <c r="Q758" i="3" s="1"/>
  <c r="R758" i="3" s="1"/>
  <c r="S758" i="3" s="1"/>
  <c r="T758" i="3" l="1"/>
  <c r="L757" i="3"/>
  <c r="AG758" i="3" l="1"/>
  <c r="U757" i="3"/>
  <c r="D758" i="3" s="1"/>
  <c r="AH758" i="3"/>
  <c r="Y756" i="3"/>
  <c r="E758" i="3" l="1"/>
  <c r="H758" i="3" s="1"/>
  <c r="K758" i="3" s="1"/>
  <c r="AE758" i="3" s="1"/>
  <c r="G758" i="3"/>
  <c r="F758" i="3" l="1"/>
  <c r="V758" i="3"/>
  <c r="A759" i="3"/>
  <c r="B759" i="3" s="1"/>
  <c r="I758" i="3"/>
  <c r="J758" i="3"/>
  <c r="AD758" i="3" s="1"/>
  <c r="M758" i="3"/>
  <c r="N758" i="3" s="1"/>
  <c r="L758" i="3" l="1"/>
  <c r="W758" i="3"/>
  <c r="P759" i="3"/>
  <c r="Q759" i="3" s="1"/>
  <c r="R759" i="3" s="1"/>
  <c r="S759" i="3" s="1"/>
  <c r="Z759" i="3"/>
  <c r="AA759" i="3"/>
  <c r="AC759" i="3"/>
  <c r="U758" i="3" l="1"/>
  <c r="Y757" i="3"/>
  <c r="T759" i="3"/>
  <c r="D759" i="3" l="1"/>
  <c r="G759" i="3" s="1"/>
  <c r="AG759" i="3"/>
  <c r="E759" i="3"/>
  <c r="H759" i="3" s="1"/>
  <c r="AH759" i="3"/>
  <c r="F759" i="3" l="1"/>
  <c r="I759" i="3"/>
  <c r="J759" i="3"/>
  <c r="AD759" i="3" s="1"/>
  <c r="M759" i="3"/>
  <c r="N759" i="3" s="1"/>
  <c r="K759" i="3"/>
  <c r="AE759" i="3" s="1"/>
  <c r="V759" i="3" l="1"/>
  <c r="W759" i="3" s="1"/>
  <c r="A760" i="3"/>
  <c r="B760" i="3" s="1"/>
  <c r="L759" i="3"/>
  <c r="U759" i="3" l="1"/>
  <c r="Y758" i="3"/>
  <c r="AA760" i="3"/>
  <c r="AC760" i="3"/>
  <c r="Z760" i="3"/>
  <c r="P760" i="3"/>
  <c r="Q760" i="3" s="1"/>
  <c r="R760" i="3" s="1"/>
  <c r="S760" i="3" s="1"/>
  <c r="T760" i="3" l="1"/>
  <c r="E760" i="3" s="1"/>
  <c r="H760" i="3" s="1"/>
  <c r="AH760" i="3" l="1"/>
  <c r="AG760" i="3"/>
  <c r="D760" i="3"/>
  <c r="G760" i="3" s="1"/>
  <c r="K760" i="3"/>
  <c r="AE760" i="3" s="1"/>
  <c r="F760" i="3" l="1"/>
  <c r="I760" i="3"/>
  <c r="J760" i="3"/>
  <c r="AD760" i="3" s="1"/>
  <c r="M760" i="3"/>
  <c r="N760" i="3" s="1"/>
  <c r="V760" i="3"/>
  <c r="A761" i="3"/>
  <c r="B761" i="3" s="1"/>
  <c r="W760" i="3" l="1"/>
  <c r="L760" i="3"/>
  <c r="P761" i="3"/>
  <c r="Q761" i="3" s="1"/>
  <c r="R761" i="3" s="1"/>
  <c r="S761" i="3" s="1"/>
  <c r="Z761" i="3"/>
  <c r="AA761" i="3"/>
  <c r="AC761" i="3"/>
  <c r="T761" i="3" l="1"/>
  <c r="U760" i="3"/>
  <c r="Y759" i="3"/>
  <c r="D761" i="3" l="1"/>
  <c r="G761" i="3" s="1"/>
  <c r="AG761" i="3"/>
  <c r="AH761" i="3"/>
  <c r="E761" i="3"/>
  <c r="H761" i="3" s="1"/>
  <c r="F761" i="3" l="1"/>
  <c r="I761" i="3"/>
  <c r="J761" i="3"/>
  <c r="AD761" i="3" s="1"/>
  <c r="M761" i="3"/>
  <c r="N761" i="3" s="1"/>
  <c r="K761" i="3"/>
  <c r="AE761" i="3" s="1"/>
  <c r="V761" i="3" l="1"/>
  <c r="W761" i="3" s="1"/>
  <c r="A762" i="3"/>
  <c r="B762" i="3" s="1"/>
  <c r="L761" i="3"/>
  <c r="U761" i="3" l="1"/>
  <c r="Y760" i="3"/>
  <c r="AA762" i="3"/>
  <c r="Z762" i="3"/>
  <c r="AC762" i="3"/>
  <c r="P762" i="3"/>
  <c r="Q762" i="3" s="1"/>
  <c r="R762" i="3" s="1"/>
  <c r="S762" i="3" s="1"/>
  <c r="T762" i="3" l="1"/>
  <c r="D762" i="3" s="1"/>
  <c r="E762" i="3" l="1"/>
  <c r="H762" i="3" s="1"/>
  <c r="K762" i="3" s="1"/>
  <c r="AE762" i="3" s="1"/>
  <c r="AH762" i="3"/>
  <c r="AG762" i="3"/>
  <c r="G762" i="3"/>
  <c r="F762" i="3" l="1"/>
  <c r="I762" i="3"/>
  <c r="J762" i="3"/>
  <c r="AD762" i="3" s="1"/>
  <c r="M762" i="3"/>
  <c r="N762" i="3" s="1"/>
  <c r="V762" i="3"/>
  <c r="A763" i="3"/>
  <c r="B763" i="3" s="1"/>
  <c r="W762" i="3" l="1"/>
  <c r="L762" i="3"/>
  <c r="AC763" i="3"/>
  <c r="Z763" i="3"/>
  <c r="AA763" i="3"/>
  <c r="P763" i="3"/>
  <c r="Q763" i="3" s="1"/>
  <c r="R763" i="3" s="1"/>
  <c r="S763" i="3" s="1"/>
  <c r="U762" i="3" l="1"/>
  <c r="Y761" i="3"/>
  <c r="T763" i="3"/>
  <c r="D763" i="3" l="1"/>
  <c r="G763" i="3" s="1"/>
  <c r="AG763" i="3"/>
  <c r="AH763" i="3"/>
  <c r="E763" i="3"/>
  <c r="H763" i="3" s="1"/>
  <c r="K763" i="3" s="1"/>
  <c r="AE763" i="3" s="1"/>
  <c r="F763" i="3" l="1"/>
  <c r="I763" i="3"/>
  <c r="J763" i="3"/>
  <c r="AD763" i="3" s="1"/>
  <c r="M763" i="3"/>
  <c r="N763" i="3" s="1"/>
  <c r="V763" i="3"/>
  <c r="A764" i="3"/>
  <c r="B764" i="3" s="1"/>
  <c r="W763" i="3" l="1"/>
  <c r="L763" i="3"/>
  <c r="Z764" i="3"/>
  <c r="P764" i="3"/>
  <c r="Q764" i="3" s="1"/>
  <c r="R764" i="3" s="1"/>
  <c r="S764" i="3" s="1"/>
  <c r="AC764" i="3"/>
  <c r="AA764" i="3"/>
  <c r="U763" i="3" l="1"/>
  <c r="Y762" i="3"/>
  <c r="T764" i="3"/>
  <c r="E764" i="3" l="1"/>
  <c r="H764" i="3" s="1"/>
  <c r="K764" i="3" s="1"/>
  <c r="AE764" i="3" s="1"/>
  <c r="AG764" i="3"/>
  <c r="D764" i="3"/>
  <c r="AH764" i="3"/>
  <c r="F764" i="3" l="1"/>
  <c r="G764" i="3"/>
  <c r="V764" i="3"/>
  <c r="A765" i="3"/>
  <c r="B765" i="3" s="1"/>
  <c r="P765" i="3" l="1"/>
  <c r="Q765" i="3" s="1"/>
  <c r="R765" i="3" s="1"/>
  <c r="S765" i="3" s="1"/>
  <c r="Z765" i="3"/>
  <c r="AA765" i="3"/>
  <c r="AC765" i="3"/>
  <c r="I764" i="3"/>
  <c r="W764" i="3" s="1"/>
  <c r="J764" i="3"/>
  <c r="AD764" i="3" s="1"/>
  <c r="M764" i="3"/>
  <c r="N764" i="3" s="1"/>
  <c r="T765" i="3" l="1"/>
  <c r="L764" i="3"/>
  <c r="AG765" i="3" l="1"/>
  <c r="AH765" i="3"/>
  <c r="U764" i="3"/>
  <c r="D765" i="3" s="1"/>
  <c r="Y763" i="3"/>
  <c r="E765" i="3" l="1"/>
  <c r="H765" i="3" s="1"/>
  <c r="K765" i="3" s="1"/>
  <c r="AE765" i="3" s="1"/>
  <c r="G765" i="3"/>
  <c r="F765" i="3" l="1"/>
  <c r="I765" i="3"/>
  <c r="J765" i="3"/>
  <c r="AD765" i="3" s="1"/>
  <c r="M765" i="3"/>
  <c r="N765" i="3" s="1"/>
  <c r="V765" i="3"/>
  <c r="A766" i="3"/>
  <c r="B766" i="3" s="1"/>
  <c r="W765" i="3" l="1"/>
  <c r="L765" i="3"/>
  <c r="P766" i="3"/>
  <c r="Q766" i="3" s="1"/>
  <c r="R766" i="3" s="1"/>
  <c r="S766" i="3" s="1"/>
  <c r="AA766" i="3"/>
  <c r="Z766" i="3"/>
  <c r="AC766" i="3"/>
  <c r="U765" i="3" l="1"/>
  <c r="Y764" i="3"/>
  <c r="T766" i="3"/>
  <c r="E766" i="3" l="1"/>
  <c r="H766" i="3" s="1"/>
  <c r="K766" i="3" s="1"/>
  <c r="AE766" i="3" s="1"/>
  <c r="D766" i="3"/>
  <c r="AG766" i="3"/>
  <c r="AH766" i="3"/>
  <c r="V766" i="3" l="1"/>
  <c r="A767" i="3"/>
  <c r="B767" i="3" s="1"/>
  <c r="F766" i="3"/>
  <c r="G766" i="3"/>
  <c r="I766" i="3" l="1"/>
  <c r="W766" i="3" s="1"/>
  <c r="J766" i="3"/>
  <c r="AD766" i="3" s="1"/>
  <c r="M766" i="3"/>
  <c r="N766" i="3" s="1"/>
  <c r="P767" i="3"/>
  <c r="Q767" i="3" s="1"/>
  <c r="R767" i="3" s="1"/>
  <c r="S767" i="3" s="1"/>
  <c r="AC767" i="3"/>
  <c r="AA767" i="3"/>
  <c r="Z767" i="3"/>
  <c r="T767" i="3" l="1"/>
  <c r="L766" i="3"/>
  <c r="AH767" i="3" l="1"/>
  <c r="AG767" i="3"/>
  <c r="U766" i="3"/>
  <c r="D767" i="3" s="1"/>
  <c r="Y765" i="3"/>
  <c r="E767" i="3" l="1"/>
  <c r="H767" i="3" s="1"/>
  <c r="K767" i="3" s="1"/>
  <c r="AE767" i="3" s="1"/>
  <c r="G767" i="3"/>
  <c r="F767" i="3" l="1"/>
  <c r="I767" i="3"/>
  <c r="J767" i="3"/>
  <c r="AD767" i="3" s="1"/>
  <c r="M767" i="3"/>
  <c r="N767" i="3" s="1"/>
  <c r="V767" i="3"/>
  <c r="A768" i="3"/>
  <c r="B768" i="3" s="1"/>
  <c r="W767" i="3" l="1"/>
  <c r="L767" i="3"/>
  <c r="AC768" i="3"/>
  <c r="AA768" i="3"/>
  <c r="P768" i="3"/>
  <c r="Q768" i="3" s="1"/>
  <c r="R768" i="3" s="1"/>
  <c r="S768" i="3" s="1"/>
  <c r="Z768" i="3"/>
  <c r="T768" i="3" l="1"/>
  <c r="AG768" i="3" s="1"/>
  <c r="U767" i="3"/>
  <c r="Y766" i="3"/>
  <c r="D768" i="3" l="1"/>
  <c r="G768" i="3" s="1"/>
  <c r="AH768" i="3"/>
  <c r="E768" i="3"/>
  <c r="H768" i="3" s="1"/>
  <c r="K768" i="3" l="1"/>
  <c r="AE768" i="3" s="1"/>
  <c r="I768" i="3"/>
  <c r="J768" i="3"/>
  <c r="AD768" i="3" s="1"/>
  <c r="M768" i="3"/>
  <c r="N768" i="3" s="1"/>
  <c r="F768" i="3"/>
  <c r="L768" i="3" l="1"/>
  <c r="V768" i="3"/>
  <c r="W768" i="3" s="1"/>
  <c r="A769" i="3"/>
  <c r="B769" i="3" s="1"/>
  <c r="AC769" i="3" l="1"/>
  <c r="Z769" i="3"/>
  <c r="P769" i="3"/>
  <c r="Q769" i="3" s="1"/>
  <c r="R769" i="3" s="1"/>
  <c r="S769" i="3" s="1"/>
  <c r="AA769" i="3"/>
  <c r="U768" i="3"/>
  <c r="Y767" i="3"/>
  <c r="T769" i="3" l="1"/>
  <c r="AG769" i="3" l="1"/>
  <c r="D769" i="3"/>
  <c r="AH769" i="3"/>
  <c r="E769" i="3"/>
  <c r="H769" i="3" s="1"/>
  <c r="F769" i="3" l="1"/>
  <c r="G769" i="3"/>
  <c r="K769" i="3"/>
  <c r="AE769" i="3" s="1"/>
  <c r="V769" i="3" l="1"/>
  <c r="A770" i="3"/>
  <c r="B770" i="3" s="1"/>
  <c r="I769" i="3"/>
  <c r="J769" i="3"/>
  <c r="AD769" i="3" s="1"/>
  <c r="M769" i="3"/>
  <c r="N769" i="3" s="1"/>
  <c r="W769" i="3" l="1"/>
  <c r="L769" i="3"/>
  <c r="AC770" i="3"/>
  <c r="P770" i="3"/>
  <c r="Q770" i="3" s="1"/>
  <c r="R770" i="3" s="1"/>
  <c r="S770" i="3" s="1"/>
  <c r="Z770" i="3"/>
  <c r="AA770" i="3"/>
  <c r="U769" i="3" l="1"/>
  <c r="Y768" i="3"/>
  <c r="T770" i="3"/>
  <c r="AG770" i="3" s="1"/>
  <c r="E770" i="3" l="1"/>
  <c r="H770" i="3" s="1"/>
  <c r="K770" i="3" s="1"/>
  <c r="AE770" i="3" s="1"/>
  <c r="D770" i="3"/>
  <c r="AH770" i="3"/>
  <c r="F770" i="3" l="1"/>
  <c r="G770" i="3"/>
  <c r="M770" i="3" s="1"/>
  <c r="N770" i="3" s="1"/>
  <c r="V770" i="3"/>
  <c r="A771" i="3"/>
  <c r="B771" i="3" s="1"/>
  <c r="I770" i="3" l="1"/>
  <c r="W770" i="3" s="1"/>
  <c r="J770" i="3"/>
  <c r="AA771" i="3"/>
  <c r="AC771" i="3"/>
  <c r="P771" i="3"/>
  <c r="Q771" i="3" s="1"/>
  <c r="R771" i="3" s="1"/>
  <c r="S771" i="3" s="1"/>
  <c r="Z771" i="3"/>
  <c r="L770" i="3" l="1"/>
  <c r="U770" i="3" s="1"/>
  <c r="AD770" i="3"/>
  <c r="T771" i="3"/>
  <c r="AH771" i="3" l="1"/>
  <c r="Y769" i="3"/>
  <c r="E771" i="3"/>
  <c r="H771" i="3" s="1"/>
  <c r="AG771" i="3"/>
  <c r="D771" i="3"/>
  <c r="K771" i="3" l="1"/>
  <c r="AE771" i="3" s="1"/>
  <c r="F771" i="3"/>
  <c r="G771" i="3"/>
  <c r="V771" i="3" l="1"/>
  <c r="A772" i="3"/>
  <c r="B772" i="3" s="1"/>
  <c r="I771" i="3"/>
  <c r="J771" i="3"/>
  <c r="AD771" i="3" s="1"/>
  <c r="M771" i="3"/>
  <c r="N771" i="3" s="1"/>
  <c r="L771" i="3" l="1"/>
  <c r="W771" i="3"/>
  <c r="AA772" i="3"/>
  <c r="Z772" i="3"/>
  <c r="AC772" i="3"/>
  <c r="P772" i="3"/>
  <c r="Q772" i="3" s="1"/>
  <c r="R772" i="3" s="1"/>
  <c r="S772" i="3" s="1"/>
  <c r="U771" i="3" l="1"/>
  <c r="Y770" i="3"/>
  <c r="T772" i="3"/>
  <c r="E772" i="3" l="1"/>
  <c r="H772" i="3" s="1"/>
  <c r="K772" i="3" s="1"/>
  <c r="AE772" i="3" s="1"/>
  <c r="D772" i="3"/>
  <c r="G772" i="3" s="1"/>
  <c r="AG772" i="3"/>
  <c r="AH772" i="3"/>
  <c r="F772" i="3" l="1"/>
  <c r="V772" i="3"/>
  <c r="A773" i="3"/>
  <c r="B773" i="3" s="1"/>
  <c r="I772" i="3"/>
  <c r="J772" i="3"/>
  <c r="AD772" i="3" s="1"/>
  <c r="M772" i="3"/>
  <c r="N772" i="3" s="1"/>
  <c r="W772" i="3" l="1"/>
  <c r="L772" i="3"/>
  <c r="AA773" i="3"/>
  <c r="P773" i="3"/>
  <c r="Q773" i="3" s="1"/>
  <c r="R773" i="3" s="1"/>
  <c r="S773" i="3" s="1"/>
  <c r="Z773" i="3"/>
  <c r="AC773" i="3"/>
  <c r="U772" i="3" l="1"/>
  <c r="Y771" i="3"/>
  <c r="T773" i="3"/>
  <c r="AG773" i="3" s="1"/>
  <c r="D773" i="3" l="1"/>
  <c r="E773" i="3"/>
  <c r="H773" i="3" s="1"/>
  <c r="K773" i="3" s="1"/>
  <c r="AE773" i="3" s="1"/>
  <c r="AH773" i="3"/>
  <c r="F773" i="3" l="1"/>
  <c r="G773" i="3"/>
  <c r="M773" i="3" s="1"/>
  <c r="N773" i="3" s="1"/>
  <c r="V773" i="3"/>
  <c r="A774" i="3"/>
  <c r="B774" i="3" s="1"/>
  <c r="I773" i="3" l="1"/>
  <c r="W773" i="3" s="1"/>
  <c r="J773" i="3"/>
  <c r="AC774" i="3"/>
  <c r="P774" i="3"/>
  <c r="Q774" i="3" s="1"/>
  <c r="R774" i="3" s="1"/>
  <c r="S774" i="3" s="1"/>
  <c r="AA774" i="3"/>
  <c r="Z774" i="3"/>
  <c r="L773" i="3" l="1"/>
  <c r="Y772" i="3" s="1"/>
  <c r="AD773" i="3"/>
  <c r="T774" i="3"/>
  <c r="AG774" i="3" l="1"/>
  <c r="U773" i="3"/>
  <c r="E774" i="3" s="1"/>
  <c r="H774" i="3" s="1"/>
  <c r="K774" i="3" s="1"/>
  <c r="AE774" i="3" s="1"/>
  <c r="AH774" i="3"/>
  <c r="D774" i="3" l="1"/>
  <c r="F774" i="3" s="1"/>
  <c r="V774" i="3"/>
  <c r="A775" i="3"/>
  <c r="B775" i="3" s="1"/>
  <c r="G774" i="3" l="1"/>
  <c r="M774" i="3" s="1"/>
  <c r="N774" i="3" s="1"/>
  <c r="P775" i="3"/>
  <c r="Q775" i="3" s="1"/>
  <c r="R775" i="3" s="1"/>
  <c r="S775" i="3" s="1"/>
  <c r="Z775" i="3"/>
  <c r="AD775" i="3"/>
  <c r="AA775" i="3"/>
  <c r="AC775" i="3"/>
  <c r="J774" i="3" l="1"/>
  <c r="L774" i="3" s="1"/>
  <c r="Y773" i="3" s="1"/>
  <c r="I774" i="3"/>
  <c r="W774" i="3" s="1"/>
  <c r="AD774" i="3"/>
  <c r="T775" i="3"/>
  <c r="U774" i="3" l="1"/>
  <c r="D775" i="3" s="1"/>
  <c r="AG775" i="3"/>
  <c r="AH775" i="3"/>
  <c r="E775" i="3" l="1"/>
  <c r="H775" i="3" s="1"/>
  <c r="K775" i="3" s="1"/>
  <c r="AE775" i="3" s="1"/>
  <c r="G775" i="3"/>
  <c r="M775" i="3" l="1"/>
  <c r="N775" i="3" s="1"/>
  <c r="A776" i="3"/>
  <c r="B776" i="3" s="1"/>
  <c r="AD776" i="3" s="1"/>
  <c r="V775" i="3"/>
  <c r="F775" i="3"/>
  <c r="I775" i="3"/>
  <c r="J775" i="3"/>
  <c r="L775" i="3" s="1"/>
  <c r="W775" i="3" l="1"/>
  <c r="P776" i="3"/>
  <c r="Q776" i="3" s="1"/>
  <c r="R776" i="3" s="1"/>
  <c r="S776" i="3" s="1"/>
  <c r="T776" i="3" s="1"/>
  <c r="AA776" i="3"/>
  <c r="AC776" i="3"/>
  <c r="Z776" i="3"/>
  <c r="U775" i="3"/>
  <c r="Y774" i="3"/>
  <c r="AG776" i="3" l="1"/>
  <c r="AH776" i="3"/>
  <c r="E776" i="3"/>
  <c r="H776" i="3" s="1"/>
  <c r="K776" i="3" s="1"/>
  <c r="AE776" i="3" s="1"/>
  <c r="D776" i="3"/>
  <c r="G776" i="3" s="1"/>
  <c r="F776" i="3" l="1"/>
  <c r="I776" i="3"/>
  <c r="J776" i="3"/>
  <c r="M776" i="3"/>
  <c r="N776" i="3" s="1"/>
  <c r="V776" i="3"/>
  <c r="A777" i="3"/>
  <c r="B777" i="3" s="1"/>
  <c r="W776" i="3" l="1"/>
  <c r="L776" i="3"/>
  <c r="Z777" i="3"/>
  <c r="AA777" i="3"/>
  <c r="P777" i="3"/>
  <c r="Q777" i="3" s="1"/>
  <c r="R777" i="3" s="1"/>
  <c r="S777" i="3" s="1"/>
  <c r="AD777" i="3"/>
  <c r="AC777" i="3"/>
  <c r="U776" i="3" l="1"/>
  <c r="Y775" i="3"/>
  <c r="T777" i="3"/>
  <c r="AH777" i="3" s="1"/>
  <c r="E777" i="3" l="1"/>
  <c r="H777" i="3" s="1"/>
  <c r="D777" i="3"/>
  <c r="AG777" i="3"/>
  <c r="K777" i="3" l="1"/>
  <c r="AE777" i="3" s="1"/>
  <c r="F777" i="3"/>
  <c r="G777" i="3"/>
  <c r="I777" i="3" l="1"/>
  <c r="J777" i="3"/>
  <c r="M777" i="3"/>
  <c r="N777" i="3" s="1"/>
  <c r="V777" i="3"/>
  <c r="A778" i="3"/>
  <c r="B778" i="3" s="1"/>
  <c r="L777" i="3" l="1"/>
  <c r="W777" i="3"/>
  <c r="P778" i="3"/>
  <c r="Q778" i="3" s="1"/>
  <c r="R778" i="3" s="1"/>
  <c r="S778" i="3" s="1"/>
  <c r="Z778" i="3"/>
  <c r="AA778" i="3"/>
  <c r="AC778" i="3"/>
  <c r="U777" i="3" l="1"/>
  <c r="Y776" i="3"/>
  <c r="T778" i="3"/>
  <c r="AH778" i="3" s="1"/>
  <c r="E778" i="3" l="1"/>
  <c r="H778" i="3" s="1"/>
  <c r="K778" i="3" s="1"/>
  <c r="AE778" i="3" s="1"/>
  <c r="AG778" i="3"/>
  <c r="D778" i="3"/>
  <c r="G778" i="3" s="1"/>
  <c r="F778" i="3" l="1"/>
  <c r="I778" i="3"/>
  <c r="J778" i="3"/>
  <c r="AD778" i="3" s="1"/>
  <c r="M778" i="3"/>
  <c r="N778" i="3" s="1"/>
  <c r="V778" i="3"/>
  <c r="A779" i="3"/>
  <c r="B779" i="3" s="1"/>
  <c r="W778" i="3" l="1"/>
  <c r="L778" i="3"/>
  <c r="P779" i="3"/>
  <c r="Q779" i="3" s="1"/>
  <c r="R779" i="3" s="1"/>
  <c r="S779" i="3" s="1"/>
  <c r="AA779" i="3"/>
  <c r="AC779" i="3"/>
  <c r="AD779" i="3"/>
  <c r="Z779" i="3"/>
  <c r="U778" i="3" l="1"/>
  <c r="Y777" i="3"/>
  <c r="T779" i="3"/>
  <c r="E779" i="3" l="1"/>
  <c r="H779" i="3" s="1"/>
  <c r="K779" i="3" s="1"/>
  <c r="AE779" i="3" s="1"/>
  <c r="AG779" i="3"/>
  <c r="AH779" i="3"/>
  <c r="D779" i="3"/>
  <c r="G779" i="3" s="1"/>
  <c r="F779" i="3" l="1"/>
  <c r="I779" i="3"/>
  <c r="J779" i="3"/>
  <c r="M779" i="3"/>
  <c r="N779" i="3" s="1"/>
  <c r="V779" i="3"/>
  <c r="A780" i="3"/>
  <c r="B780" i="3" s="1"/>
  <c r="W779" i="3" l="1"/>
  <c r="L779" i="3"/>
  <c r="P780" i="3"/>
  <c r="Q780" i="3" s="1"/>
  <c r="R780" i="3" s="1"/>
  <c r="S780" i="3" s="1"/>
  <c r="AD780" i="3"/>
  <c r="AA780" i="3"/>
  <c r="Z780" i="3"/>
  <c r="AC780" i="3"/>
  <c r="U779" i="3" l="1"/>
  <c r="Y778" i="3"/>
  <c r="T780" i="3"/>
  <c r="D780" i="3" l="1"/>
  <c r="G780" i="3" s="1"/>
  <c r="AH780" i="3"/>
  <c r="E780" i="3"/>
  <c r="H780" i="3" s="1"/>
  <c r="K780" i="3" s="1"/>
  <c r="AE780" i="3" s="1"/>
  <c r="AG780" i="3"/>
  <c r="F780" i="3" l="1"/>
  <c r="I780" i="3"/>
  <c r="J780" i="3"/>
  <c r="M780" i="3"/>
  <c r="N780" i="3" s="1"/>
  <c r="V780" i="3"/>
  <c r="A781" i="3"/>
  <c r="B781" i="3" s="1"/>
  <c r="W780" i="3" l="1"/>
  <c r="L780" i="3"/>
  <c r="P781" i="3"/>
  <c r="Q781" i="3" s="1"/>
  <c r="R781" i="3" s="1"/>
  <c r="S781" i="3" s="1"/>
  <c r="AD781" i="3"/>
  <c r="Z781" i="3"/>
  <c r="AA781" i="3"/>
  <c r="AC781" i="3"/>
  <c r="T781" i="3" l="1"/>
  <c r="U780" i="3"/>
  <c r="Y779" i="3"/>
  <c r="E781" i="3" l="1"/>
  <c r="H781" i="3" s="1"/>
  <c r="K781" i="3" s="1"/>
  <c r="AE781" i="3" s="1"/>
  <c r="AG781" i="3"/>
  <c r="AH781" i="3"/>
  <c r="D781" i="3"/>
  <c r="F781" i="3" l="1"/>
  <c r="G781" i="3"/>
  <c r="V781" i="3"/>
  <c r="A782" i="3"/>
  <c r="B782" i="3" s="1"/>
  <c r="P782" i="3" l="1"/>
  <c r="Q782" i="3" s="1"/>
  <c r="R782" i="3" s="1"/>
  <c r="S782" i="3" s="1"/>
  <c r="AC782" i="3"/>
  <c r="AD782" i="3"/>
  <c r="AA782" i="3"/>
  <c r="Z782" i="3"/>
  <c r="I781" i="3"/>
  <c r="W781" i="3" s="1"/>
  <c r="J781" i="3"/>
  <c r="M781" i="3"/>
  <c r="N781" i="3" s="1"/>
  <c r="T782" i="3" l="1"/>
  <c r="L781" i="3"/>
  <c r="U781" i="3" l="1"/>
  <c r="D782" i="3" s="1"/>
  <c r="AH782" i="3"/>
  <c r="AG782" i="3"/>
  <c r="Y780" i="3"/>
  <c r="E782" i="3" l="1"/>
  <c r="H782" i="3" s="1"/>
  <c r="K782" i="3" s="1"/>
  <c r="AE782" i="3" s="1"/>
  <c r="G782" i="3"/>
  <c r="F782" i="3" l="1"/>
  <c r="I782" i="3"/>
  <c r="J782" i="3"/>
  <c r="M782" i="3"/>
  <c r="N782" i="3" s="1"/>
  <c r="V782" i="3"/>
  <c r="A783" i="3"/>
  <c r="B783" i="3" s="1"/>
  <c r="W782" i="3" l="1"/>
  <c r="L782" i="3"/>
  <c r="AA783" i="3"/>
  <c r="Z783" i="3"/>
  <c r="P783" i="3"/>
  <c r="Q783" i="3" s="1"/>
  <c r="R783" i="3" s="1"/>
  <c r="S783" i="3" s="1"/>
  <c r="AD783" i="3"/>
  <c r="AC783" i="3"/>
  <c r="U782" i="3" l="1"/>
  <c r="Y781" i="3"/>
  <c r="T783" i="3"/>
  <c r="AH783" i="3" s="1"/>
  <c r="AG783" i="3" l="1"/>
  <c r="D783" i="3"/>
  <c r="G783" i="3" s="1"/>
  <c r="E783" i="3"/>
  <c r="H783" i="3" s="1"/>
  <c r="K783" i="3" s="1"/>
  <c r="AE783" i="3" s="1"/>
  <c r="F783" i="3" l="1"/>
  <c r="I783" i="3"/>
  <c r="J783" i="3"/>
  <c r="M783" i="3"/>
  <c r="N783" i="3" s="1"/>
  <c r="V783" i="3"/>
  <c r="A784" i="3"/>
  <c r="B784" i="3" s="1"/>
  <c r="W783" i="3" l="1"/>
  <c r="L783" i="3"/>
  <c r="AC784" i="3"/>
  <c r="Z784" i="3"/>
  <c r="P784" i="3"/>
  <c r="Q784" i="3" s="1"/>
  <c r="R784" i="3" s="1"/>
  <c r="S784" i="3" s="1"/>
  <c r="AA784" i="3"/>
  <c r="T784" i="3" l="1"/>
  <c r="AG784" i="3" s="1"/>
  <c r="U783" i="3"/>
  <c r="Y782" i="3"/>
  <c r="E784" i="3" l="1"/>
  <c r="H784" i="3" s="1"/>
  <c r="AH784" i="3"/>
  <c r="D784" i="3"/>
  <c r="K784" i="3" l="1"/>
  <c r="AE784" i="3" s="1"/>
  <c r="F784" i="3"/>
  <c r="G784" i="3"/>
  <c r="V784" i="3" l="1"/>
  <c r="A785" i="3"/>
  <c r="B785" i="3" s="1"/>
  <c r="I784" i="3"/>
  <c r="J784" i="3"/>
  <c r="AD784" i="3" s="1"/>
  <c r="M784" i="3"/>
  <c r="N784" i="3" s="1"/>
  <c r="W784" i="3" l="1"/>
  <c r="L784" i="3"/>
  <c r="AA785" i="3"/>
  <c r="P785" i="3"/>
  <c r="Q785" i="3" s="1"/>
  <c r="R785" i="3" s="1"/>
  <c r="S785" i="3" s="1"/>
  <c r="AC785" i="3"/>
  <c r="Z785" i="3"/>
  <c r="U784" i="3" l="1"/>
  <c r="Y783" i="3"/>
  <c r="T785" i="3"/>
  <c r="AH785" i="3" s="1"/>
  <c r="E785" i="3" l="1"/>
  <c r="H785" i="3" s="1"/>
  <c r="AG785" i="3"/>
  <c r="D785" i="3"/>
  <c r="K785" i="3" l="1"/>
  <c r="AE785" i="3" s="1"/>
  <c r="F785" i="3"/>
  <c r="G785" i="3"/>
  <c r="I785" i="3" l="1"/>
  <c r="J785" i="3"/>
  <c r="AD785" i="3" s="1"/>
  <c r="M785" i="3"/>
  <c r="N785" i="3" s="1"/>
  <c r="V785" i="3"/>
  <c r="A786" i="3"/>
  <c r="B786" i="3" s="1"/>
  <c r="W785" i="3" l="1"/>
  <c r="L785" i="3"/>
  <c r="Z786" i="3"/>
  <c r="AA786" i="3"/>
  <c r="P786" i="3"/>
  <c r="Q786" i="3" s="1"/>
  <c r="R786" i="3" s="1"/>
  <c r="S786" i="3" s="1"/>
  <c r="AC786" i="3"/>
  <c r="U785" i="3" l="1"/>
  <c r="Y784" i="3"/>
  <c r="T786" i="3"/>
  <c r="E786" i="3" l="1"/>
  <c r="H786" i="3" s="1"/>
  <c r="K786" i="3" s="1"/>
  <c r="AE786" i="3" s="1"/>
  <c r="AG786" i="3"/>
  <c r="D786" i="3"/>
  <c r="G786" i="3" s="1"/>
  <c r="AH786" i="3"/>
  <c r="F786" i="3" l="1"/>
  <c r="I786" i="3"/>
  <c r="J786" i="3"/>
  <c r="AD786" i="3" s="1"/>
  <c r="M786" i="3"/>
  <c r="N786" i="3" s="1"/>
  <c r="V786" i="3"/>
  <c r="A787" i="3"/>
  <c r="B787" i="3" s="1"/>
  <c r="L786" i="3" l="1"/>
  <c r="W786" i="3"/>
  <c r="AC787" i="3"/>
  <c r="P787" i="3"/>
  <c r="Q787" i="3" s="1"/>
  <c r="R787" i="3" s="1"/>
  <c r="S787" i="3" s="1"/>
  <c r="Z787" i="3"/>
  <c r="AA787" i="3"/>
  <c r="U786" i="3" l="1"/>
  <c r="Y785" i="3"/>
  <c r="T787" i="3"/>
  <c r="D787" i="3" l="1"/>
  <c r="G787" i="3" s="1"/>
  <c r="AH787" i="3"/>
  <c r="E787" i="3"/>
  <c r="H787" i="3" s="1"/>
  <c r="AG787" i="3"/>
  <c r="F787" i="3" l="1"/>
  <c r="I787" i="3"/>
  <c r="J787" i="3"/>
  <c r="AD787" i="3" s="1"/>
  <c r="M787" i="3"/>
  <c r="N787" i="3" s="1"/>
  <c r="K787" i="3"/>
  <c r="AE787" i="3" s="1"/>
  <c r="V787" i="3" l="1"/>
  <c r="W787" i="3" s="1"/>
  <c r="A788" i="3"/>
  <c r="B788" i="3" s="1"/>
  <c r="L787" i="3"/>
  <c r="U787" i="3" l="1"/>
  <c r="Y786" i="3"/>
  <c r="AC788" i="3"/>
  <c r="Z788" i="3"/>
  <c r="AA788" i="3"/>
  <c r="P788" i="3"/>
  <c r="Q788" i="3" s="1"/>
  <c r="R788" i="3" s="1"/>
  <c r="S788" i="3" s="1"/>
  <c r="T788" i="3" l="1"/>
  <c r="E788" i="3" s="1"/>
  <c r="H788" i="3" s="1"/>
  <c r="D788" i="3" l="1"/>
  <c r="F788" i="3" s="1"/>
  <c r="AG788" i="3"/>
  <c r="AH788" i="3"/>
  <c r="K788" i="3"/>
  <c r="AE788" i="3" s="1"/>
  <c r="G788" i="3" l="1"/>
  <c r="I788" i="3" s="1"/>
  <c r="V788" i="3"/>
  <c r="A789" i="3"/>
  <c r="B789" i="3" s="1"/>
  <c r="M788" i="3" l="1"/>
  <c r="N788" i="3" s="1"/>
  <c r="J788" i="3"/>
  <c r="W788" i="3"/>
  <c r="P789" i="3"/>
  <c r="Q789" i="3" s="1"/>
  <c r="R789" i="3" s="1"/>
  <c r="S789" i="3" s="1"/>
  <c r="AC789" i="3"/>
  <c r="AA789" i="3"/>
  <c r="Z789" i="3"/>
  <c r="L788" i="3" l="1"/>
  <c r="U788" i="3" s="1"/>
  <c r="AD788" i="3"/>
  <c r="T789" i="3"/>
  <c r="Y787" i="3" l="1"/>
  <c r="D789" i="3"/>
  <c r="G789" i="3" s="1"/>
  <c r="E789" i="3"/>
  <c r="H789" i="3" s="1"/>
  <c r="AH789" i="3"/>
  <c r="AG789" i="3"/>
  <c r="F789" i="3" l="1"/>
  <c r="I789" i="3"/>
  <c r="J789" i="3"/>
  <c r="AD789" i="3" s="1"/>
  <c r="M789" i="3"/>
  <c r="N789" i="3" s="1"/>
  <c r="K789" i="3"/>
  <c r="AE789" i="3" s="1"/>
  <c r="L789" i="3" l="1"/>
  <c r="V789" i="3"/>
  <c r="W789" i="3" s="1"/>
  <c r="A790" i="3"/>
  <c r="B790" i="3" s="1"/>
  <c r="AA790" i="3" l="1"/>
  <c r="AC790" i="3"/>
  <c r="Z790" i="3"/>
  <c r="P790" i="3"/>
  <c r="Q790" i="3" s="1"/>
  <c r="R790" i="3" s="1"/>
  <c r="S790" i="3" s="1"/>
  <c r="U789" i="3"/>
  <c r="Y788" i="3"/>
  <c r="T790" i="3" l="1"/>
  <c r="D790" i="3" s="1"/>
  <c r="AG790" i="3" l="1"/>
  <c r="G790" i="3"/>
  <c r="AH790" i="3"/>
  <c r="E790" i="3"/>
  <c r="H790" i="3" s="1"/>
  <c r="F790" i="3" l="1"/>
  <c r="I790" i="3"/>
  <c r="J790" i="3"/>
  <c r="AD790" i="3" s="1"/>
  <c r="M790" i="3"/>
  <c r="N790" i="3" s="1"/>
  <c r="K790" i="3"/>
  <c r="AE790" i="3" s="1"/>
  <c r="V790" i="3" l="1"/>
  <c r="W790" i="3" s="1"/>
  <c r="A791" i="3"/>
  <c r="B791" i="3" s="1"/>
  <c r="L790" i="3"/>
  <c r="U790" i="3" l="1"/>
  <c r="Y789" i="3"/>
  <c r="P791" i="3"/>
  <c r="Q791" i="3" s="1"/>
  <c r="R791" i="3" s="1"/>
  <c r="S791" i="3" s="1"/>
  <c r="AA791" i="3"/>
  <c r="AC791" i="3"/>
  <c r="Z791" i="3"/>
  <c r="T791" i="3" l="1"/>
  <c r="AG791" i="3" s="1"/>
  <c r="E791" i="3" l="1"/>
  <c r="H791" i="3" s="1"/>
  <c r="K791" i="3" s="1"/>
  <c r="AE791" i="3" s="1"/>
  <c r="D791" i="3"/>
  <c r="G791" i="3" s="1"/>
  <c r="AH791" i="3"/>
  <c r="F791" i="3" l="1"/>
  <c r="I791" i="3"/>
  <c r="J791" i="3"/>
  <c r="AD791" i="3" s="1"/>
  <c r="M791" i="3"/>
  <c r="N791" i="3" s="1"/>
  <c r="V791" i="3"/>
  <c r="A792" i="3"/>
  <c r="B792" i="3" s="1"/>
  <c r="W791" i="3" l="1"/>
  <c r="L791" i="3"/>
  <c r="P792" i="3"/>
  <c r="Q792" i="3" s="1"/>
  <c r="R792" i="3" s="1"/>
  <c r="S792" i="3" s="1"/>
  <c r="AC792" i="3"/>
  <c r="Z792" i="3"/>
  <c r="AA792" i="3"/>
  <c r="U791" i="3" l="1"/>
  <c r="Y790" i="3"/>
  <c r="T792" i="3"/>
  <c r="AG792" i="3" s="1"/>
  <c r="AH792" i="3" l="1"/>
  <c r="D792" i="3"/>
  <c r="E792" i="3"/>
  <c r="H792" i="3" s="1"/>
  <c r="F792" i="3" l="1"/>
  <c r="G792" i="3"/>
  <c r="K792" i="3"/>
  <c r="AE792" i="3" s="1"/>
  <c r="I792" i="3" l="1"/>
  <c r="J792" i="3"/>
  <c r="AD792" i="3" s="1"/>
  <c r="M792" i="3"/>
  <c r="N792" i="3" s="1"/>
  <c r="V792" i="3"/>
  <c r="A793" i="3"/>
  <c r="B793" i="3" s="1"/>
  <c r="L792" i="3" l="1"/>
  <c r="W792" i="3"/>
  <c r="AC793" i="3"/>
  <c r="Z793" i="3"/>
  <c r="P793" i="3"/>
  <c r="Q793" i="3" s="1"/>
  <c r="R793" i="3" s="1"/>
  <c r="S793" i="3" s="1"/>
  <c r="AA793" i="3"/>
  <c r="T793" i="3" l="1"/>
  <c r="U792" i="3"/>
  <c r="Y791" i="3"/>
  <c r="E793" i="3" l="1"/>
  <c r="H793" i="3" s="1"/>
  <c r="K793" i="3" s="1"/>
  <c r="AE793" i="3" s="1"/>
  <c r="D793" i="3"/>
  <c r="AG793" i="3"/>
  <c r="AH793" i="3"/>
  <c r="F793" i="3" l="1"/>
  <c r="G793" i="3"/>
  <c r="M793" i="3" s="1"/>
  <c r="N793" i="3" s="1"/>
  <c r="V793" i="3"/>
  <c r="A794" i="3"/>
  <c r="B794" i="3" s="1"/>
  <c r="I793" i="3" l="1"/>
  <c r="W793" i="3" s="1"/>
  <c r="J793" i="3"/>
  <c r="Z794" i="3"/>
  <c r="AC794" i="3"/>
  <c r="P794" i="3"/>
  <c r="Q794" i="3" s="1"/>
  <c r="R794" i="3" s="1"/>
  <c r="S794" i="3" s="1"/>
  <c r="AA794" i="3"/>
  <c r="L793" i="3" l="1"/>
  <c r="Y792" i="3" s="1"/>
  <c r="AD793" i="3"/>
  <c r="T794" i="3"/>
  <c r="U793" i="3" l="1"/>
  <c r="D794" i="3" s="1"/>
  <c r="AH794" i="3"/>
  <c r="AG794" i="3"/>
  <c r="E794" i="3" l="1"/>
  <c r="H794" i="3" s="1"/>
  <c r="K794" i="3" s="1"/>
  <c r="AE794" i="3" s="1"/>
  <c r="G794" i="3"/>
  <c r="F794" i="3" l="1"/>
  <c r="I794" i="3"/>
  <c r="J794" i="3"/>
  <c r="AD794" i="3" s="1"/>
  <c r="M794" i="3"/>
  <c r="N794" i="3" s="1"/>
  <c r="V794" i="3"/>
  <c r="A795" i="3"/>
  <c r="B795" i="3" s="1"/>
  <c r="L794" i="3" l="1"/>
  <c r="W794" i="3"/>
  <c r="P795" i="3"/>
  <c r="Q795" i="3" s="1"/>
  <c r="R795" i="3" s="1"/>
  <c r="S795" i="3" s="1"/>
  <c r="AD795" i="3"/>
  <c r="Z795" i="3"/>
  <c r="AA795" i="3"/>
  <c r="AC795" i="3"/>
  <c r="T795" i="3" l="1"/>
  <c r="U794" i="3"/>
  <c r="Y793" i="3"/>
  <c r="D795" i="3" l="1"/>
  <c r="G795" i="3" s="1"/>
  <c r="E795" i="3"/>
  <c r="H795" i="3" s="1"/>
  <c r="K795" i="3" s="1"/>
  <c r="AE795" i="3" s="1"/>
  <c r="AH795" i="3"/>
  <c r="AG795" i="3"/>
  <c r="F795" i="3" l="1"/>
  <c r="I795" i="3"/>
  <c r="J795" i="3"/>
  <c r="M795" i="3"/>
  <c r="N795" i="3" s="1"/>
  <c r="V795" i="3"/>
  <c r="A796" i="3"/>
  <c r="B796" i="3" s="1"/>
  <c r="W795" i="3" l="1"/>
  <c r="L795" i="3"/>
  <c r="Z796" i="3"/>
  <c r="AA796" i="3"/>
  <c r="AD796" i="3"/>
  <c r="AC796" i="3"/>
  <c r="P796" i="3"/>
  <c r="Q796" i="3" s="1"/>
  <c r="R796" i="3" s="1"/>
  <c r="S796" i="3" s="1"/>
  <c r="T796" i="3" l="1"/>
  <c r="U795" i="3"/>
  <c r="Y794" i="3"/>
  <c r="E796" i="3" l="1"/>
  <c r="H796" i="3" s="1"/>
  <c r="K796" i="3" s="1"/>
  <c r="AE796" i="3" s="1"/>
  <c r="AH796" i="3"/>
  <c r="AG796" i="3"/>
  <c r="D796" i="3"/>
  <c r="F796" i="3" l="1"/>
  <c r="G796" i="3"/>
  <c r="V796" i="3"/>
  <c r="A797" i="3"/>
  <c r="B797" i="3" s="1"/>
  <c r="I796" i="3" l="1"/>
  <c r="W796" i="3" s="1"/>
  <c r="J796" i="3"/>
  <c r="M796" i="3"/>
  <c r="N796" i="3" s="1"/>
  <c r="P797" i="3"/>
  <c r="Q797" i="3" s="1"/>
  <c r="R797" i="3" s="1"/>
  <c r="S797" i="3" s="1"/>
  <c r="AA797" i="3"/>
  <c r="AC797" i="3"/>
  <c r="Z797" i="3"/>
  <c r="AD797" i="3"/>
  <c r="T797" i="3" l="1"/>
  <c r="L796" i="3"/>
  <c r="AH797" i="3" l="1"/>
  <c r="AG797" i="3"/>
  <c r="U796" i="3"/>
  <c r="E797" i="3" s="1"/>
  <c r="H797" i="3" s="1"/>
  <c r="Y795" i="3"/>
  <c r="D797" i="3" l="1"/>
  <c r="G797" i="3" s="1"/>
  <c r="K797" i="3"/>
  <c r="AE797" i="3" s="1"/>
  <c r="F797" i="3" l="1"/>
  <c r="I797" i="3"/>
  <c r="J797" i="3"/>
  <c r="M797" i="3"/>
  <c r="N797" i="3" s="1"/>
  <c r="V797" i="3"/>
  <c r="A798" i="3"/>
  <c r="B798" i="3" s="1"/>
  <c r="W797" i="3" l="1"/>
  <c r="L797" i="3"/>
  <c r="Z798" i="3"/>
  <c r="AA798" i="3"/>
  <c r="P798" i="3"/>
  <c r="Q798" i="3" s="1"/>
  <c r="R798" i="3" s="1"/>
  <c r="S798" i="3" s="1"/>
  <c r="AC798" i="3"/>
  <c r="T798" i="3" l="1"/>
  <c r="U797" i="3"/>
  <c r="Y796" i="3"/>
  <c r="E798" i="3" l="1"/>
  <c r="H798" i="3" s="1"/>
  <c r="K798" i="3" s="1"/>
  <c r="AE798" i="3" s="1"/>
  <c r="D798" i="3"/>
  <c r="G798" i="3" s="1"/>
  <c r="AH798" i="3"/>
  <c r="AG798" i="3"/>
  <c r="F798" i="3" l="1"/>
  <c r="I798" i="3"/>
  <c r="J798" i="3"/>
  <c r="AD798" i="3" s="1"/>
  <c r="M798" i="3"/>
  <c r="N798" i="3" s="1"/>
  <c r="V798" i="3"/>
  <c r="A799" i="3"/>
  <c r="B799" i="3" s="1"/>
  <c r="W798" i="3" l="1"/>
  <c r="L798" i="3"/>
  <c r="Z799" i="3"/>
  <c r="P799" i="3"/>
  <c r="Q799" i="3" s="1"/>
  <c r="R799" i="3" s="1"/>
  <c r="S799" i="3" s="1"/>
  <c r="AD799" i="3"/>
  <c r="AC799" i="3"/>
  <c r="AA799" i="3"/>
  <c r="T799" i="3" l="1"/>
  <c r="AH799" i="3" s="1"/>
  <c r="U798" i="3"/>
  <c r="Y797" i="3"/>
  <c r="AG799" i="3" l="1"/>
  <c r="E799" i="3"/>
  <c r="H799" i="3" s="1"/>
  <c r="D799" i="3"/>
  <c r="K799" i="3" l="1"/>
  <c r="AE799" i="3" s="1"/>
  <c r="F799" i="3"/>
  <c r="G799" i="3"/>
  <c r="V799" i="3" l="1"/>
  <c r="A800" i="3"/>
  <c r="B800" i="3" s="1"/>
  <c r="I799" i="3"/>
  <c r="J799" i="3"/>
  <c r="M799" i="3"/>
  <c r="N799" i="3" s="1"/>
  <c r="W799" i="3" l="1"/>
  <c r="L799" i="3"/>
  <c r="AC800" i="3"/>
  <c r="AA800" i="3"/>
  <c r="P800" i="3"/>
  <c r="Q800" i="3" s="1"/>
  <c r="R800" i="3" s="1"/>
  <c r="S800" i="3" s="1"/>
  <c r="AD800" i="3"/>
  <c r="Z800" i="3"/>
  <c r="U799" i="3" l="1"/>
  <c r="Y798" i="3"/>
  <c r="T800" i="3"/>
  <c r="E800" i="3" l="1"/>
  <c r="H800" i="3" s="1"/>
  <c r="K800" i="3" s="1"/>
  <c r="AE800" i="3" s="1"/>
  <c r="D800" i="3"/>
  <c r="AG800" i="3"/>
  <c r="AH800" i="3"/>
  <c r="V800" i="3" l="1"/>
  <c r="A801" i="3"/>
  <c r="B801" i="3" s="1"/>
  <c r="F800" i="3"/>
  <c r="G800" i="3"/>
  <c r="I800" i="3" l="1"/>
  <c r="W800" i="3" s="1"/>
  <c r="J800" i="3"/>
  <c r="M800" i="3"/>
  <c r="N800" i="3" s="1"/>
  <c r="AA801" i="3"/>
  <c r="AD801" i="3"/>
  <c r="Z801" i="3"/>
  <c r="P801" i="3"/>
  <c r="Q801" i="3" s="1"/>
  <c r="R801" i="3" s="1"/>
  <c r="S801" i="3" s="1"/>
  <c r="AC801" i="3"/>
  <c r="L800" i="3" l="1"/>
  <c r="T801" i="3"/>
  <c r="AG801" i="3" l="1"/>
  <c r="AH801" i="3"/>
  <c r="U800" i="3"/>
  <c r="E801" i="3" s="1"/>
  <c r="H801" i="3" s="1"/>
  <c r="Y799" i="3"/>
  <c r="D801" i="3" l="1"/>
  <c r="G801" i="3" s="1"/>
  <c r="K801" i="3"/>
  <c r="AE801" i="3" s="1"/>
  <c r="F801" i="3" l="1"/>
  <c r="I801" i="3"/>
  <c r="J801" i="3"/>
  <c r="M801" i="3"/>
  <c r="N801" i="3" s="1"/>
  <c r="V801" i="3"/>
  <c r="A802" i="3"/>
  <c r="B802" i="3" s="1"/>
  <c r="W801" i="3" l="1"/>
  <c r="L801" i="3"/>
  <c r="Z802" i="3"/>
  <c r="P802" i="3"/>
  <c r="Q802" i="3" s="1"/>
  <c r="R802" i="3" s="1"/>
  <c r="S802" i="3" s="1"/>
  <c r="AA802" i="3"/>
  <c r="AD802" i="3"/>
  <c r="AC802" i="3"/>
  <c r="U801" i="3" l="1"/>
  <c r="Y800" i="3"/>
  <c r="T802" i="3"/>
  <c r="AG802" i="3" s="1"/>
  <c r="E802" i="3" l="1"/>
  <c r="H802" i="3" s="1"/>
  <c r="D802" i="3"/>
  <c r="AH802" i="3"/>
  <c r="K802" i="3" l="1"/>
  <c r="AE802" i="3" s="1"/>
  <c r="F802" i="3"/>
  <c r="G802" i="3"/>
  <c r="I802" i="3" l="1"/>
  <c r="J802" i="3"/>
  <c r="M802" i="3"/>
  <c r="N802" i="3" s="1"/>
  <c r="V802" i="3"/>
  <c r="A803" i="3"/>
  <c r="B803" i="3" s="1"/>
  <c r="L802" i="3" l="1"/>
  <c r="W802" i="3"/>
  <c r="Z803" i="3"/>
  <c r="AD803" i="3"/>
  <c r="AA803" i="3"/>
  <c r="AC803" i="3"/>
  <c r="P803" i="3"/>
  <c r="Q803" i="3" s="1"/>
  <c r="R803" i="3" s="1"/>
  <c r="S803" i="3" s="1"/>
  <c r="U802" i="3" l="1"/>
  <c r="Y801" i="3"/>
  <c r="T803" i="3"/>
  <c r="AG803" i="3" s="1"/>
  <c r="AH803" i="3" l="1"/>
  <c r="D803" i="3"/>
  <c r="E803" i="3"/>
  <c r="H803" i="3" s="1"/>
  <c r="F803" i="3" l="1"/>
  <c r="G803" i="3"/>
  <c r="K803" i="3"/>
  <c r="AE803" i="3" s="1"/>
  <c r="V803" i="3" l="1"/>
  <c r="A804" i="3"/>
  <c r="B804" i="3" s="1"/>
  <c r="I803" i="3"/>
  <c r="J803" i="3"/>
  <c r="M803" i="3"/>
  <c r="N803" i="3" s="1"/>
  <c r="L803" i="3" l="1"/>
  <c r="W803" i="3"/>
  <c r="AC804" i="3"/>
  <c r="P804" i="3"/>
  <c r="Q804" i="3" s="1"/>
  <c r="R804" i="3" s="1"/>
  <c r="S804" i="3" s="1"/>
  <c r="AA804" i="3"/>
  <c r="Z804" i="3"/>
  <c r="U803" i="3" l="1"/>
  <c r="Y802" i="3"/>
  <c r="T804" i="3"/>
  <c r="AH804" i="3" s="1"/>
  <c r="D804" i="3" l="1"/>
  <c r="G804" i="3" s="1"/>
  <c r="AG804" i="3"/>
  <c r="E804" i="3"/>
  <c r="H804" i="3" s="1"/>
  <c r="K804" i="3" s="1"/>
  <c r="AE804" i="3" s="1"/>
  <c r="F804" i="3" l="1"/>
  <c r="I804" i="3"/>
  <c r="J804" i="3"/>
  <c r="AD804" i="3" s="1"/>
  <c r="M804" i="3"/>
  <c r="N804" i="3" s="1"/>
  <c r="V804" i="3"/>
  <c r="A805" i="3"/>
  <c r="B805" i="3" s="1"/>
  <c r="W804" i="3" l="1"/>
  <c r="L804" i="3"/>
  <c r="Z805" i="3"/>
  <c r="P805" i="3"/>
  <c r="Q805" i="3" s="1"/>
  <c r="R805" i="3" s="1"/>
  <c r="S805" i="3" s="1"/>
  <c r="AD805" i="3"/>
  <c r="AC805" i="3"/>
  <c r="AA805" i="3"/>
  <c r="T805" i="3" l="1"/>
  <c r="AH805" i="3" s="1"/>
  <c r="U804" i="3"/>
  <c r="Y803" i="3"/>
  <c r="E805" i="3" l="1"/>
  <c r="H805" i="3" s="1"/>
  <c r="AG805" i="3"/>
  <c r="D805" i="3"/>
  <c r="K805" i="3" l="1"/>
  <c r="AE805" i="3" s="1"/>
  <c r="F805" i="3"/>
  <c r="G805" i="3"/>
  <c r="I805" i="3" l="1"/>
  <c r="J805" i="3"/>
  <c r="M805" i="3"/>
  <c r="N805" i="3" s="1"/>
  <c r="V805" i="3"/>
  <c r="A806" i="3"/>
  <c r="B806" i="3" s="1"/>
  <c r="W805" i="3" l="1"/>
  <c r="L805" i="3"/>
  <c r="Z806" i="3"/>
  <c r="AA806" i="3"/>
  <c r="P806" i="3"/>
  <c r="Q806" i="3" s="1"/>
  <c r="R806" i="3" s="1"/>
  <c r="S806" i="3" s="1"/>
  <c r="AC806" i="3"/>
  <c r="AD806" i="3"/>
  <c r="T806" i="3" l="1"/>
  <c r="U805" i="3"/>
  <c r="Y804" i="3"/>
  <c r="D806" i="3" l="1"/>
  <c r="G806" i="3" s="1"/>
  <c r="AH806" i="3"/>
  <c r="AG806" i="3"/>
  <c r="E806" i="3"/>
  <c r="H806" i="3" s="1"/>
  <c r="K806" i="3" l="1"/>
  <c r="AE806" i="3" s="1"/>
  <c r="I806" i="3"/>
  <c r="J806" i="3"/>
  <c r="M806" i="3"/>
  <c r="N806" i="3" s="1"/>
  <c r="F806" i="3"/>
  <c r="L806" i="3" l="1"/>
  <c r="V806" i="3"/>
  <c r="W806" i="3" s="1"/>
  <c r="A807" i="3"/>
  <c r="B807" i="3" s="1"/>
  <c r="AC807" i="3" l="1"/>
  <c r="P807" i="3"/>
  <c r="Q807" i="3" s="1"/>
  <c r="R807" i="3" s="1"/>
  <c r="S807" i="3" s="1"/>
  <c r="AA807" i="3"/>
  <c r="AD807" i="3"/>
  <c r="Z807" i="3"/>
  <c r="U806" i="3"/>
  <c r="Y805" i="3"/>
  <c r="T807" i="3" l="1"/>
  <c r="AH807" i="3" l="1"/>
  <c r="AG807" i="3"/>
  <c r="E807" i="3"/>
  <c r="H807" i="3" s="1"/>
  <c r="D807" i="3"/>
  <c r="K807" i="3" l="1"/>
  <c r="AE807" i="3" s="1"/>
  <c r="F807" i="3"/>
  <c r="G807" i="3"/>
  <c r="I807" i="3" l="1"/>
  <c r="J807" i="3"/>
  <c r="M807" i="3"/>
  <c r="N807" i="3" s="1"/>
  <c r="V807" i="3"/>
  <c r="A808" i="3"/>
  <c r="B808" i="3" s="1"/>
  <c r="W807" i="3" l="1"/>
  <c r="L807" i="3"/>
  <c r="P808" i="3"/>
  <c r="Q808" i="3" s="1"/>
  <c r="R808" i="3" s="1"/>
  <c r="S808" i="3" s="1"/>
  <c r="AA808" i="3"/>
  <c r="Z808" i="3"/>
  <c r="AC808" i="3"/>
  <c r="U807" i="3" l="1"/>
  <c r="Y806" i="3"/>
  <c r="T808" i="3"/>
  <c r="AH808" i="3" s="1"/>
  <c r="D808" i="3" l="1"/>
  <c r="G808" i="3" s="1"/>
  <c r="E808" i="3"/>
  <c r="H808" i="3" s="1"/>
  <c r="K808" i="3" s="1"/>
  <c r="AE808" i="3" s="1"/>
  <c r="AG808" i="3"/>
  <c r="F808" i="3" l="1"/>
  <c r="I808" i="3"/>
  <c r="J808" i="3"/>
  <c r="AD808" i="3" s="1"/>
  <c r="M808" i="3"/>
  <c r="N808" i="3" s="1"/>
  <c r="V808" i="3"/>
  <c r="A809" i="3"/>
  <c r="B809" i="3" s="1"/>
  <c r="W808" i="3" l="1"/>
  <c r="AC809" i="3"/>
  <c r="Z809" i="3"/>
  <c r="AA809" i="3"/>
  <c r="P809" i="3"/>
  <c r="Q809" i="3" s="1"/>
  <c r="R809" i="3" s="1"/>
  <c r="S809" i="3" s="1"/>
  <c r="AD809" i="3"/>
  <c r="L808" i="3"/>
  <c r="T809" i="3" l="1"/>
  <c r="U808" i="3"/>
  <c r="Y807" i="3"/>
  <c r="E809" i="3" l="1"/>
  <c r="H809" i="3" s="1"/>
  <c r="K809" i="3" s="1"/>
  <c r="AE809" i="3" s="1"/>
  <c r="AG809" i="3"/>
  <c r="D809" i="3"/>
  <c r="AH809" i="3"/>
  <c r="V809" i="3" l="1"/>
  <c r="A810" i="3"/>
  <c r="B810" i="3" s="1"/>
  <c r="F809" i="3"/>
  <c r="G809" i="3"/>
  <c r="I809" i="3" l="1"/>
  <c r="W809" i="3" s="1"/>
  <c r="J809" i="3"/>
  <c r="M809" i="3"/>
  <c r="N809" i="3" s="1"/>
  <c r="AD810" i="3"/>
  <c r="P810" i="3"/>
  <c r="Q810" i="3" s="1"/>
  <c r="R810" i="3" s="1"/>
  <c r="S810" i="3" s="1"/>
  <c r="AA810" i="3"/>
  <c r="AC810" i="3"/>
  <c r="Z810" i="3"/>
  <c r="T810" i="3" l="1"/>
  <c r="L809" i="3"/>
  <c r="AH810" i="3" l="1"/>
  <c r="AG810" i="3"/>
  <c r="U809" i="3"/>
  <c r="E810" i="3" s="1"/>
  <c r="H810" i="3" s="1"/>
  <c r="Y808" i="3"/>
  <c r="D810" i="3" l="1"/>
  <c r="G810" i="3" s="1"/>
  <c r="K810" i="3"/>
  <c r="AE810" i="3" s="1"/>
  <c r="F810" i="3" l="1"/>
  <c r="I810" i="3"/>
  <c r="J810" i="3"/>
  <c r="M810" i="3"/>
  <c r="N810" i="3" s="1"/>
  <c r="V810" i="3"/>
  <c r="A811" i="3"/>
  <c r="B811" i="3" s="1"/>
  <c r="L810" i="3" l="1"/>
  <c r="W810" i="3"/>
  <c r="AA811" i="3"/>
  <c r="P811" i="3"/>
  <c r="Q811" i="3" s="1"/>
  <c r="R811" i="3" s="1"/>
  <c r="S811" i="3" s="1"/>
  <c r="Z811" i="3"/>
  <c r="AD811" i="3"/>
  <c r="AC811" i="3"/>
  <c r="U810" i="3" l="1"/>
  <c r="Y809" i="3"/>
  <c r="T811" i="3"/>
  <c r="E811" i="3" l="1"/>
  <c r="H811" i="3" s="1"/>
  <c r="K811" i="3" s="1"/>
  <c r="AE811" i="3" s="1"/>
  <c r="AH811" i="3"/>
  <c r="AG811" i="3"/>
  <c r="D811" i="3"/>
  <c r="V811" i="3" l="1"/>
  <c r="A812" i="3"/>
  <c r="B812" i="3" s="1"/>
  <c r="F811" i="3"/>
  <c r="G811" i="3"/>
  <c r="I811" i="3" l="1"/>
  <c r="W811" i="3" s="1"/>
  <c r="J811" i="3"/>
  <c r="M811" i="3"/>
  <c r="N811" i="3" s="1"/>
  <c r="Z812" i="3"/>
  <c r="AA812" i="3"/>
  <c r="AD812" i="3"/>
  <c r="P812" i="3"/>
  <c r="Q812" i="3" s="1"/>
  <c r="R812" i="3" s="1"/>
  <c r="S812" i="3" s="1"/>
  <c r="AC812" i="3"/>
  <c r="T812" i="3" l="1"/>
  <c r="L811" i="3"/>
  <c r="AG812" i="3" l="1"/>
  <c r="U811" i="3"/>
  <c r="D812" i="3" s="1"/>
  <c r="AH812" i="3"/>
  <c r="Y810" i="3"/>
  <c r="G812" i="3" l="1"/>
  <c r="E812" i="3"/>
  <c r="H812" i="3" s="1"/>
  <c r="I812" i="3" l="1"/>
  <c r="J812" i="3"/>
  <c r="M812" i="3"/>
  <c r="N812" i="3" s="1"/>
  <c r="F812" i="3"/>
  <c r="K812" i="3"/>
  <c r="AE812" i="3" s="1"/>
  <c r="L812" i="3" l="1"/>
  <c r="V812" i="3"/>
  <c r="W812" i="3" s="1"/>
  <c r="A813" i="3"/>
  <c r="B813" i="3" s="1"/>
  <c r="U812" i="3" l="1"/>
  <c r="Y811" i="3"/>
  <c r="AA813" i="3"/>
  <c r="P813" i="3"/>
  <c r="Q813" i="3" s="1"/>
  <c r="R813" i="3" s="1"/>
  <c r="S813" i="3" s="1"/>
  <c r="Z813" i="3"/>
  <c r="AC813" i="3"/>
  <c r="AD813" i="3"/>
  <c r="T813" i="3" l="1"/>
  <c r="AG813" i="3" s="1"/>
  <c r="AH813" i="3" l="1"/>
  <c r="D813" i="3"/>
  <c r="E813" i="3"/>
  <c r="H813" i="3" s="1"/>
  <c r="F813" i="3" l="1"/>
  <c r="G813" i="3"/>
  <c r="K813" i="3"/>
  <c r="AE813" i="3" s="1"/>
  <c r="I813" i="3" l="1"/>
  <c r="J813" i="3"/>
  <c r="M813" i="3"/>
  <c r="N813" i="3" s="1"/>
  <c r="V813" i="3"/>
  <c r="A814" i="3"/>
  <c r="B814" i="3" s="1"/>
  <c r="W813" i="3" l="1"/>
  <c r="L813" i="3"/>
  <c r="P814" i="3"/>
  <c r="Q814" i="3" s="1"/>
  <c r="R814" i="3" s="1"/>
  <c r="S814" i="3" s="1"/>
  <c r="AA814" i="3"/>
  <c r="Z814" i="3"/>
  <c r="AC814" i="3"/>
  <c r="U813" i="3" l="1"/>
  <c r="Y812" i="3"/>
  <c r="T814" i="3"/>
  <c r="D814" i="3" l="1"/>
  <c r="G814" i="3" s="1"/>
  <c r="E814" i="3"/>
  <c r="H814" i="3" s="1"/>
  <c r="K814" i="3" s="1"/>
  <c r="AE814" i="3" s="1"/>
  <c r="AH814" i="3"/>
  <c r="AG814" i="3"/>
  <c r="F814" i="3" l="1"/>
  <c r="I814" i="3"/>
  <c r="J814" i="3"/>
  <c r="AD814" i="3" s="1"/>
  <c r="M814" i="3"/>
  <c r="N814" i="3" s="1"/>
  <c r="V814" i="3"/>
  <c r="A815" i="3"/>
  <c r="B815" i="3" s="1"/>
  <c r="W814" i="3" l="1"/>
  <c r="L814" i="3"/>
  <c r="AA815" i="3"/>
  <c r="AD815" i="3"/>
  <c r="AC815" i="3"/>
  <c r="Z815" i="3"/>
  <c r="P815" i="3"/>
  <c r="Q815" i="3" s="1"/>
  <c r="R815" i="3" s="1"/>
  <c r="S815" i="3" s="1"/>
  <c r="T815" i="3" l="1"/>
  <c r="AH815" i="3" s="1"/>
  <c r="U814" i="3"/>
  <c r="Y813" i="3"/>
  <c r="AG815" i="3" l="1"/>
  <c r="E815" i="3"/>
  <c r="H815" i="3" s="1"/>
  <c r="D815" i="3"/>
  <c r="K815" i="3" l="1"/>
  <c r="AE815" i="3" s="1"/>
  <c r="F815" i="3"/>
  <c r="G815" i="3"/>
  <c r="V815" i="3" l="1"/>
  <c r="A816" i="3"/>
  <c r="B816" i="3" s="1"/>
  <c r="I815" i="3"/>
  <c r="J815" i="3"/>
  <c r="M815" i="3"/>
  <c r="N815" i="3" s="1"/>
  <c r="W815" i="3" l="1"/>
  <c r="L815" i="3"/>
  <c r="P816" i="3"/>
  <c r="Q816" i="3" s="1"/>
  <c r="R816" i="3" s="1"/>
  <c r="S816" i="3" s="1"/>
  <c r="AC816" i="3"/>
  <c r="AD816" i="3"/>
  <c r="AA816" i="3"/>
  <c r="Z816" i="3"/>
  <c r="T816" i="3" l="1"/>
  <c r="U815" i="3"/>
  <c r="Y814" i="3"/>
  <c r="E816" i="3" l="1"/>
  <c r="H816" i="3" s="1"/>
  <c r="K816" i="3" s="1"/>
  <c r="AE816" i="3" s="1"/>
  <c r="D816" i="3"/>
  <c r="G816" i="3" s="1"/>
  <c r="AG816" i="3"/>
  <c r="AH816" i="3"/>
  <c r="F816" i="3" l="1"/>
  <c r="I816" i="3"/>
  <c r="J816" i="3"/>
  <c r="M816" i="3"/>
  <c r="N816" i="3" s="1"/>
  <c r="V816" i="3"/>
  <c r="A817" i="3"/>
  <c r="B817" i="3" s="1"/>
  <c r="W816" i="3" l="1"/>
  <c r="L816" i="3"/>
  <c r="P817" i="3"/>
  <c r="Q817" i="3" s="1"/>
  <c r="R817" i="3" s="1"/>
  <c r="S817" i="3" s="1"/>
  <c r="AD817" i="3"/>
  <c r="Z817" i="3"/>
  <c r="AA817" i="3"/>
  <c r="AC817" i="3"/>
  <c r="U816" i="3" l="1"/>
  <c r="Y815" i="3"/>
  <c r="T817" i="3"/>
  <c r="AG817" i="3" s="1"/>
  <c r="E817" i="3" l="1"/>
  <c r="H817" i="3" s="1"/>
  <c r="AH817" i="3"/>
  <c r="D817" i="3"/>
  <c r="F817" i="3" l="1"/>
  <c r="G817" i="3"/>
  <c r="K817" i="3"/>
  <c r="AE817" i="3" s="1"/>
  <c r="V817" i="3" l="1"/>
  <c r="A818" i="3"/>
  <c r="B818" i="3" s="1"/>
  <c r="I817" i="3"/>
  <c r="J817" i="3"/>
  <c r="M817" i="3"/>
  <c r="N817" i="3" s="1"/>
  <c r="W817" i="3" l="1"/>
  <c r="L817" i="3"/>
  <c r="Z818" i="3"/>
  <c r="AA818" i="3"/>
  <c r="P818" i="3"/>
  <c r="Q818" i="3" s="1"/>
  <c r="R818" i="3" s="1"/>
  <c r="S818" i="3" s="1"/>
  <c r="AC818" i="3"/>
  <c r="T818" i="3" l="1"/>
  <c r="U817" i="3"/>
  <c r="Y816" i="3"/>
  <c r="E818" i="3" l="1"/>
  <c r="H818" i="3" s="1"/>
  <c r="K818" i="3" s="1"/>
  <c r="AE818" i="3" s="1"/>
  <c r="D818" i="3"/>
  <c r="G818" i="3" s="1"/>
  <c r="AH818" i="3"/>
  <c r="AG818" i="3"/>
  <c r="F818" i="3" l="1"/>
  <c r="V818" i="3"/>
  <c r="A819" i="3"/>
  <c r="B819" i="3" s="1"/>
  <c r="I818" i="3"/>
  <c r="J818" i="3"/>
  <c r="AD818" i="3" s="1"/>
  <c r="M818" i="3"/>
  <c r="N818" i="3" s="1"/>
  <c r="W818" i="3" l="1"/>
  <c r="L818" i="3"/>
  <c r="AD819" i="3"/>
  <c r="AC819" i="3"/>
  <c r="AA819" i="3"/>
  <c r="Z819" i="3"/>
  <c r="P819" i="3"/>
  <c r="Q819" i="3" s="1"/>
  <c r="R819" i="3" s="1"/>
  <c r="S819" i="3" s="1"/>
  <c r="T819" i="3" l="1"/>
  <c r="AG819" i="3" s="1"/>
  <c r="U818" i="3"/>
  <c r="Y817" i="3"/>
  <c r="AH819" i="3" l="1"/>
  <c r="E819" i="3"/>
  <c r="H819" i="3" s="1"/>
  <c r="K819" i="3" s="1"/>
  <c r="AE819" i="3" s="1"/>
  <c r="D819" i="3"/>
  <c r="V819" i="3" l="1"/>
  <c r="A820" i="3"/>
  <c r="B820" i="3" s="1"/>
  <c r="F819" i="3"/>
  <c r="G819" i="3"/>
  <c r="I819" i="3" l="1"/>
  <c r="W819" i="3" s="1"/>
  <c r="J819" i="3"/>
  <c r="M819" i="3"/>
  <c r="N819" i="3" s="1"/>
  <c r="Z820" i="3"/>
  <c r="AD820" i="3"/>
  <c r="AA820" i="3"/>
  <c r="P820" i="3"/>
  <c r="Q820" i="3" s="1"/>
  <c r="R820" i="3" s="1"/>
  <c r="S820" i="3" s="1"/>
  <c r="AC820" i="3"/>
  <c r="T820" i="3" l="1"/>
  <c r="L819" i="3"/>
  <c r="U819" i="3" l="1"/>
  <c r="E820" i="3" s="1"/>
  <c r="H820" i="3" s="1"/>
  <c r="AG820" i="3"/>
  <c r="AH820" i="3"/>
  <c r="Y818" i="3"/>
  <c r="D820" i="3" l="1"/>
  <c r="G820" i="3" s="1"/>
  <c r="K820" i="3"/>
  <c r="AE820" i="3" s="1"/>
  <c r="F820" i="3" l="1"/>
  <c r="I820" i="3"/>
  <c r="J820" i="3"/>
  <c r="M820" i="3"/>
  <c r="N820" i="3" s="1"/>
  <c r="V820" i="3"/>
  <c r="A821" i="3"/>
  <c r="B821" i="3" s="1"/>
  <c r="W820" i="3" l="1"/>
  <c r="L820" i="3"/>
  <c r="P821" i="3"/>
  <c r="Q821" i="3" s="1"/>
  <c r="R821" i="3" s="1"/>
  <c r="S821" i="3" s="1"/>
  <c r="AA821" i="3"/>
  <c r="Z821" i="3"/>
  <c r="AD821" i="3"/>
  <c r="AC821" i="3"/>
  <c r="U820" i="3" l="1"/>
  <c r="Y819" i="3"/>
  <c r="T821" i="3"/>
  <c r="AH821" i="3" s="1"/>
  <c r="AG821" i="3" l="1"/>
  <c r="D821" i="3"/>
  <c r="G821" i="3" s="1"/>
  <c r="E821" i="3"/>
  <c r="H821" i="3" s="1"/>
  <c r="F821" i="3" l="1"/>
  <c r="K821" i="3"/>
  <c r="AE821" i="3" s="1"/>
  <c r="I821" i="3"/>
  <c r="J821" i="3"/>
  <c r="M821" i="3"/>
  <c r="N821" i="3" s="1"/>
  <c r="L821" i="3" l="1"/>
  <c r="V821" i="3"/>
  <c r="W821" i="3" s="1"/>
  <c r="A822" i="3"/>
  <c r="B822" i="3" s="1"/>
  <c r="P822" i="3" l="1"/>
  <c r="Q822" i="3" s="1"/>
  <c r="R822" i="3" s="1"/>
  <c r="S822" i="3" s="1"/>
  <c r="AA822" i="3"/>
  <c r="Z822" i="3"/>
  <c r="AC822" i="3"/>
  <c r="AD822" i="3"/>
  <c r="U821" i="3"/>
  <c r="Y820" i="3"/>
  <c r="T822" i="3" l="1"/>
  <c r="AH822" i="3" s="1"/>
  <c r="D822" i="3" l="1"/>
  <c r="E822" i="3"/>
  <c r="H822" i="3" s="1"/>
  <c r="AG822" i="3"/>
  <c r="K822" i="3" l="1"/>
  <c r="AE822" i="3" s="1"/>
  <c r="F822" i="3"/>
  <c r="G822" i="3"/>
  <c r="I822" i="3" l="1"/>
  <c r="J822" i="3"/>
  <c r="M822" i="3"/>
  <c r="N822" i="3" s="1"/>
  <c r="V822" i="3"/>
  <c r="A823" i="3"/>
  <c r="B823" i="3" s="1"/>
  <c r="W822" i="3" l="1"/>
  <c r="L822" i="3"/>
  <c r="AC823" i="3"/>
  <c r="Z823" i="3"/>
  <c r="P823" i="3"/>
  <c r="Q823" i="3" s="1"/>
  <c r="R823" i="3" s="1"/>
  <c r="S823" i="3" s="1"/>
  <c r="AD823" i="3"/>
  <c r="AA823" i="3"/>
  <c r="U822" i="3" l="1"/>
  <c r="Y821" i="3"/>
  <c r="T823" i="3"/>
  <c r="D823" i="3" l="1"/>
  <c r="G823" i="3" s="1"/>
  <c r="E823" i="3"/>
  <c r="H823" i="3" s="1"/>
  <c r="AG823" i="3"/>
  <c r="AH823" i="3"/>
  <c r="F823" i="3" l="1"/>
  <c r="I823" i="3"/>
  <c r="J823" i="3"/>
  <c r="M823" i="3"/>
  <c r="N823" i="3" s="1"/>
  <c r="K823" i="3"/>
  <c r="AE823" i="3" s="1"/>
  <c r="V823" i="3" l="1"/>
  <c r="W823" i="3" s="1"/>
  <c r="A824" i="3"/>
  <c r="B824" i="3" s="1"/>
  <c r="L823" i="3"/>
  <c r="U823" i="3" l="1"/>
  <c r="Y822" i="3"/>
  <c r="Z824" i="3"/>
  <c r="P824" i="3"/>
  <c r="Q824" i="3" s="1"/>
  <c r="R824" i="3" s="1"/>
  <c r="S824" i="3" s="1"/>
  <c r="AC824" i="3"/>
  <c r="AA824" i="3"/>
  <c r="T824" i="3" l="1"/>
  <c r="D824" i="3" s="1"/>
  <c r="AH824" i="3" l="1"/>
  <c r="E824" i="3"/>
  <c r="H824" i="3" s="1"/>
  <c r="K824" i="3" s="1"/>
  <c r="AE824" i="3" s="1"/>
  <c r="AG824" i="3"/>
  <c r="G824" i="3"/>
  <c r="F824" i="3" l="1"/>
  <c r="V824" i="3"/>
  <c r="A825" i="3"/>
  <c r="B825" i="3" s="1"/>
  <c r="I824" i="3"/>
  <c r="J824" i="3"/>
  <c r="AD824" i="3" s="1"/>
  <c r="M824" i="3"/>
  <c r="N824" i="3" s="1"/>
  <c r="L824" i="3" l="1"/>
  <c r="W824" i="3"/>
  <c r="Z825" i="3"/>
  <c r="AC825" i="3"/>
  <c r="P825" i="3"/>
  <c r="Q825" i="3" s="1"/>
  <c r="R825" i="3" s="1"/>
  <c r="S825" i="3" s="1"/>
  <c r="AA825" i="3"/>
  <c r="AD825" i="3"/>
  <c r="T825" i="3" l="1"/>
  <c r="AG825" i="3" s="1"/>
  <c r="U824" i="3"/>
  <c r="Y823" i="3"/>
  <c r="D825" i="3" l="1"/>
  <c r="E825" i="3"/>
  <c r="H825" i="3" s="1"/>
  <c r="AH825" i="3"/>
  <c r="F825" i="3" l="1"/>
  <c r="G825" i="3"/>
  <c r="K825" i="3"/>
  <c r="AE825" i="3" s="1"/>
  <c r="I825" i="3" l="1"/>
  <c r="J825" i="3"/>
  <c r="M825" i="3"/>
  <c r="N825" i="3" s="1"/>
  <c r="V825" i="3"/>
  <c r="A826" i="3"/>
  <c r="B826" i="3" s="1"/>
  <c r="W825" i="3" l="1"/>
  <c r="L825" i="3"/>
  <c r="P826" i="3"/>
  <c r="Q826" i="3" s="1"/>
  <c r="R826" i="3" s="1"/>
  <c r="S826" i="3" s="1"/>
  <c r="Z826" i="3"/>
  <c r="AA826" i="3"/>
  <c r="AD826" i="3"/>
  <c r="AC826" i="3"/>
  <c r="U825" i="3" l="1"/>
  <c r="Y824" i="3"/>
  <c r="T826" i="3"/>
  <c r="AG826" i="3" s="1"/>
  <c r="E826" i="3" l="1"/>
  <c r="H826" i="3" s="1"/>
  <c r="K826" i="3" s="1"/>
  <c r="AE826" i="3" s="1"/>
  <c r="AH826" i="3"/>
  <c r="D826" i="3"/>
  <c r="G826" i="3" s="1"/>
  <c r="F826" i="3" l="1"/>
  <c r="I826" i="3"/>
  <c r="J826" i="3"/>
  <c r="M826" i="3"/>
  <c r="N826" i="3" s="1"/>
  <c r="V826" i="3"/>
  <c r="A827" i="3"/>
  <c r="B827" i="3" s="1"/>
  <c r="W826" i="3" l="1"/>
  <c r="L826" i="3"/>
  <c r="Z827" i="3"/>
  <c r="AA827" i="3"/>
  <c r="AD827" i="3"/>
  <c r="P827" i="3"/>
  <c r="Q827" i="3" s="1"/>
  <c r="R827" i="3" s="1"/>
  <c r="S827" i="3" s="1"/>
  <c r="AC827" i="3"/>
  <c r="U826" i="3" l="1"/>
  <c r="Y825" i="3"/>
  <c r="T827" i="3"/>
  <c r="AH827" i="3" s="1"/>
  <c r="D827" i="3" l="1"/>
  <c r="G827" i="3" s="1"/>
  <c r="E827" i="3"/>
  <c r="H827" i="3" s="1"/>
  <c r="K827" i="3" s="1"/>
  <c r="AE827" i="3" s="1"/>
  <c r="AG827" i="3"/>
  <c r="F827" i="3" l="1"/>
  <c r="V827" i="3"/>
  <c r="A828" i="3"/>
  <c r="B828" i="3" s="1"/>
  <c r="I827" i="3"/>
  <c r="J827" i="3"/>
  <c r="M827" i="3"/>
  <c r="N827" i="3" s="1"/>
  <c r="W827" i="3" l="1"/>
  <c r="L827" i="3"/>
  <c r="P828" i="3"/>
  <c r="Q828" i="3" s="1"/>
  <c r="R828" i="3" s="1"/>
  <c r="S828" i="3" s="1"/>
  <c r="AC828" i="3"/>
  <c r="AA828" i="3"/>
  <c r="Z828" i="3"/>
  <c r="U827" i="3" l="1"/>
  <c r="Y826" i="3"/>
  <c r="T828" i="3"/>
  <c r="D828" i="3" l="1"/>
  <c r="G828" i="3" s="1"/>
  <c r="AG828" i="3"/>
  <c r="AH828" i="3"/>
  <c r="E828" i="3"/>
  <c r="H828" i="3" s="1"/>
  <c r="F828" i="3" l="1"/>
  <c r="I828" i="3"/>
  <c r="J828" i="3"/>
  <c r="AD828" i="3" s="1"/>
  <c r="M828" i="3"/>
  <c r="N828" i="3" s="1"/>
  <c r="K828" i="3"/>
  <c r="AE828" i="3" s="1"/>
  <c r="V828" i="3" l="1"/>
  <c r="W828" i="3" s="1"/>
  <c r="A829" i="3"/>
  <c r="B829" i="3" s="1"/>
  <c r="L828" i="3"/>
  <c r="U828" i="3" l="1"/>
  <c r="Y827" i="3"/>
  <c r="AC829" i="3"/>
  <c r="Z829" i="3"/>
  <c r="AA829" i="3"/>
  <c r="P829" i="3"/>
  <c r="Q829" i="3" s="1"/>
  <c r="R829" i="3" s="1"/>
  <c r="S829" i="3" s="1"/>
  <c r="AD829" i="3"/>
  <c r="T829" i="3" l="1"/>
  <c r="E829" i="3" s="1"/>
  <c r="H829" i="3" s="1"/>
  <c r="AH829" i="3" l="1"/>
  <c r="D829" i="3"/>
  <c r="G829" i="3" s="1"/>
  <c r="AG829" i="3"/>
  <c r="K829" i="3"/>
  <c r="AE829" i="3" s="1"/>
  <c r="F829" i="3" l="1"/>
  <c r="I829" i="3"/>
  <c r="J829" i="3"/>
  <c r="M829" i="3"/>
  <c r="N829" i="3" s="1"/>
  <c r="V829" i="3"/>
  <c r="A830" i="3"/>
  <c r="B830" i="3" s="1"/>
  <c r="W829" i="3" l="1"/>
  <c r="L829" i="3"/>
  <c r="AA830" i="3"/>
  <c r="Z830" i="3"/>
  <c r="AC830" i="3"/>
  <c r="AD830" i="3"/>
  <c r="P830" i="3"/>
  <c r="Q830" i="3" s="1"/>
  <c r="R830" i="3" s="1"/>
  <c r="S830" i="3" s="1"/>
  <c r="U829" i="3" l="1"/>
  <c r="Y828" i="3"/>
  <c r="T830" i="3"/>
  <c r="D830" i="3" l="1"/>
  <c r="G830" i="3" s="1"/>
  <c r="E830" i="3"/>
  <c r="H830" i="3" s="1"/>
  <c r="AG830" i="3"/>
  <c r="AH830" i="3"/>
  <c r="F830" i="3" l="1"/>
  <c r="I830" i="3"/>
  <c r="J830" i="3"/>
  <c r="M830" i="3"/>
  <c r="N830" i="3" s="1"/>
  <c r="K830" i="3"/>
  <c r="AE830" i="3" s="1"/>
  <c r="V830" i="3" l="1"/>
  <c r="W830" i="3" s="1"/>
  <c r="A831" i="3"/>
  <c r="B831" i="3" s="1"/>
  <c r="L830" i="3"/>
  <c r="U830" i="3" l="1"/>
  <c r="Y829" i="3"/>
  <c r="Z831" i="3"/>
  <c r="P831" i="3"/>
  <c r="Q831" i="3" s="1"/>
  <c r="R831" i="3" s="1"/>
  <c r="S831" i="3" s="1"/>
  <c r="AA831" i="3"/>
  <c r="AD831" i="3"/>
  <c r="AC831" i="3"/>
  <c r="T831" i="3" l="1"/>
  <c r="AH831" i="3" s="1"/>
  <c r="E831" i="3" l="1"/>
  <c r="H831" i="3" s="1"/>
  <c r="K831" i="3" s="1"/>
  <c r="AE831" i="3" s="1"/>
  <c r="D831" i="3"/>
  <c r="G831" i="3" s="1"/>
  <c r="AG831" i="3"/>
  <c r="F831" i="3" l="1"/>
  <c r="I831" i="3"/>
  <c r="J831" i="3"/>
  <c r="M831" i="3"/>
  <c r="N831" i="3" s="1"/>
  <c r="V831" i="3"/>
  <c r="A832" i="3"/>
  <c r="B832" i="3" s="1"/>
  <c r="W831" i="3" l="1"/>
  <c r="L831" i="3"/>
  <c r="P832" i="3"/>
  <c r="Q832" i="3" s="1"/>
  <c r="R832" i="3" s="1"/>
  <c r="S832" i="3" s="1"/>
  <c r="AC832" i="3"/>
  <c r="AD832" i="3"/>
  <c r="Z832" i="3"/>
  <c r="AA832" i="3"/>
  <c r="U831" i="3" l="1"/>
  <c r="Y830" i="3"/>
  <c r="T832" i="3"/>
  <c r="AH832" i="3" s="1"/>
  <c r="D832" i="3" l="1"/>
  <c r="G832" i="3" s="1"/>
  <c r="AG832" i="3"/>
  <c r="E832" i="3"/>
  <c r="H832" i="3" s="1"/>
  <c r="K832" i="3" l="1"/>
  <c r="AE832" i="3" s="1"/>
  <c r="I832" i="3"/>
  <c r="J832" i="3"/>
  <c r="M832" i="3"/>
  <c r="N832" i="3" s="1"/>
  <c r="F832" i="3"/>
  <c r="L832" i="3" l="1"/>
  <c r="V832" i="3"/>
  <c r="W832" i="3" s="1"/>
  <c r="A833" i="3"/>
  <c r="B833" i="3" s="1"/>
  <c r="U832" i="3" l="1"/>
  <c r="Y831" i="3"/>
  <c r="Z833" i="3"/>
  <c r="AC833" i="3"/>
  <c r="P833" i="3"/>
  <c r="Q833" i="3" s="1"/>
  <c r="R833" i="3" s="1"/>
  <c r="S833" i="3" s="1"/>
  <c r="AD833" i="3"/>
  <c r="AA833" i="3"/>
  <c r="T833" i="3" l="1"/>
  <c r="AH833" i="3" s="1"/>
  <c r="E833" i="3" l="1"/>
  <c r="H833" i="3" s="1"/>
  <c r="K833" i="3" s="1"/>
  <c r="AE833" i="3" s="1"/>
  <c r="AG833" i="3"/>
  <c r="D833" i="3"/>
  <c r="G833" i="3" s="1"/>
  <c r="F833" i="3" l="1"/>
  <c r="I833" i="3"/>
  <c r="J833" i="3"/>
  <c r="M833" i="3"/>
  <c r="N833" i="3" s="1"/>
  <c r="V833" i="3"/>
  <c r="A834" i="3"/>
  <c r="B834" i="3" s="1"/>
  <c r="L833" i="3" l="1"/>
  <c r="W833" i="3"/>
  <c r="AC834" i="3"/>
  <c r="P834" i="3"/>
  <c r="Q834" i="3" s="1"/>
  <c r="R834" i="3" s="1"/>
  <c r="S834" i="3" s="1"/>
  <c r="AA834" i="3"/>
  <c r="Z834" i="3"/>
  <c r="U833" i="3" l="1"/>
  <c r="Y832" i="3"/>
  <c r="T834" i="3"/>
  <c r="D834" i="3" l="1"/>
  <c r="G834" i="3" s="1"/>
  <c r="E834" i="3"/>
  <c r="H834" i="3" s="1"/>
  <c r="K834" i="3" s="1"/>
  <c r="AE834" i="3" s="1"/>
  <c r="AH834" i="3"/>
  <c r="AG834" i="3"/>
  <c r="F834" i="3" l="1"/>
  <c r="V834" i="3"/>
  <c r="A835" i="3"/>
  <c r="B835" i="3" s="1"/>
  <c r="I834" i="3"/>
  <c r="J834" i="3"/>
  <c r="AD834" i="3" s="1"/>
  <c r="M834" i="3"/>
  <c r="N834" i="3" s="1"/>
  <c r="W834" i="3" l="1"/>
  <c r="L834" i="3"/>
  <c r="Z835" i="3"/>
  <c r="P835" i="3"/>
  <c r="Q835" i="3" s="1"/>
  <c r="R835" i="3" s="1"/>
  <c r="S835" i="3" s="1"/>
  <c r="AD835" i="3"/>
  <c r="AC835" i="3"/>
  <c r="AA835" i="3"/>
  <c r="T835" i="3" l="1"/>
  <c r="U834" i="3"/>
  <c r="Y833" i="3"/>
  <c r="E835" i="3" l="1"/>
  <c r="H835" i="3" s="1"/>
  <c r="K835" i="3" s="1"/>
  <c r="AE835" i="3" s="1"/>
  <c r="AH835" i="3"/>
  <c r="AG835" i="3"/>
  <c r="D835" i="3"/>
  <c r="F835" i="3" l="1"/>
  <c r="G835" i="3"/>
  <c r="V835" i="3"/>
  <c r="A836" i="3"/>
  <c r="B836" i="3" s="1"/>
  <c r="I835" i="3" l="1"/>
  <c r="W835" i="3" s="1"/>
  <c r="J835" i="3"/>
  <c r="M835" i="3"/>
  <c r="N835" i="3" s="1"/>
  <c r="Z836" i="3"/>
  <c r="AA836" i="3"/>
  <c r="AC836" i="3"/>
  <c r="P836" i="3"/>
  <c r="Q836" i="3" s="1"/>
  <c r="R836" i="3" s="1"/>
  <c r="S836" i="3" s="1"/>
  <c r="AD836" i="3"/>
  <c r="T836" i="3" l="1"/>
  <c r="L835" i="3"/>
  <c r="AG836" i="3" l="1"/>
  <c r="U835" i="3"/>
  <c r="D836" i="3" s="1"/>
  <c r="AH836" i="3"/>
  <c r="Y834" i="3"/>
  <c r="E836" i="3" l="1"/>
  <c r="H836" i="3" s="1"/>
  <c r="K836" i="3" s="1"/>
  <c r="AE836" i="3" s="1"/>
  <c r="G836" i="3"/>
  <c r="F836" i="3" l="1"/>
  <c r="V836" i="3"/>
  <c r="A837" i="3"/>
  <c r="B837" i="3" s="1"/>
  <c r="I836" i="3"/>
  <c r="J836" i="3"/>
  <c r="M836" i="3"/>
  <c r="N836" i="3" s="1"/>
  <c r="L836" i="3" l="1"/>
  <c r="W836" i="3"/>
  <c r="P837" i="3"/>
  <c r="Q837" i="3" s="1"/>
  <c r="R837" i="3" s="1"/>
  <c r="S837" i="3" s="1"/>
  <c r="AD837" i="3"/>
  <c r="AA837" i="3"/>
  <c r="AC837" i="3"/>
  <c r="Z837" i="3"/>
  <c r="U836" i="3" l="1"/>
  <c r="Y835" i="3"/>
  <c r="T837" i="3"/>
  <c r="AH837" i="3" s="1"/>
  <c r="E837" i="3" l="1"/>
  <c r="H837" i="3" s="1"/>
  <c r="K837" i="3" s="1"/>
  <c r="AE837" i="3" s="1"/>
  <c r="D837" i="3"/>
  <c r="G837" i="3" s="1"/>
  <c r="AG837" i="3"/>
  <c r="F837" i="3" l="1"/>
  <c r="I837" i="3"/>
  <c r="J837" i="3"/>
  <c r="M837" i="3"/>
  <c r="N837" i="3" s="1"/>
  <c r="V837" i="3"/>
  <c r="A838" i="3"/>
  <c r="B838" i="3" s="1"/>
  <c r="W837" i="3" l="1"/>
  <c r="L837" i="3"/>
  <c r="P838" i="3"/>
  <c r="Q838" i="3" s="1"/>
  <c r="R838" i="3" s="1"/>
  <c r="S838" i="3" s="1"/>
  <c r="AA838" i="3"/>
  <c r="AC838" i="3"/>
  <c r="Z838" i="3"/>
  <c r="U837" i="3" l="1"/>
  <c r="Y836" i="3"/>
  <c r="T838" i="3"/>
  <c r="AH838" i="3" s="1"/>
  <c r="E838" i="3" l="1"/>
  <c r="H838" i="3" s="1"/>
  <c r="D838" i="3"/>
  <c r="AG838" i="3"/>
  <c r="K838" i="3" l="1"/>
  <c r="AE838" i="3" s="1"/>
  <c r="F838" i="3"/>
  <c r="G838" i="3"/>
  <c r="V838" i="3" l="1"/>
  <c r="A839" i="3"/>
  <c r="B839" i="3" s="1"/>
  <c r="I838" i="3"/>
  <c r="J838" i="3"/>
  <c r="AD838" i="3" s="1"/>
  <c r="M838" i="3"/>
  <c r="N838" i="3" s="1"/>
  <c r="W838" i="3" l="1"/>
  <c r="L838" i="3"/>
  <c r="AC839" i="3"/>
  <c r="Z839" i="3"/>
  <c r="AA839" i="3"/>
  <c r="P839" i="3"/>
  <c r="Q839" i="3" s="1"/>
  <c r="R839" i="3" s="1"/>
  <c r="S839" i="3" s="1"/>
  <c r="AD839" i="3"/>
  <c r="U838" i="3" l="1"/>
  <c r="Y837" i="3"/>
  <c r="T839" i="3"/>
  <c r="AG839" i="3" s="1"/>
  <c r="D839" i="3" l="1"/>
  <c r="E839" i="3"/>
  <c r="H839" i="3" s="1"/>
  <c r="AH839" i="3"/>
  <c r="F839" i="3" l="1"/>
  <c r="G839" i="3"/>
  <c r="K839" i="3"/>
  <c r="AE839" i="3" s="1"/>
  <c r="V839" i="3" l="1"/>
  <c r="A840" i="3"/>
  <c r="B840" i="3" s="1"/>
  <c r="I839" i="3"/>
  <c r="J839" i="3"/>
  <c r="M839" i="3"/>
  <c r="N839" i="3" s="1"/>
  <c r="W839" i="3" l="1"/>
  <c r="L839" i="3"/>
  <c r="AC840" i="3"/>
  <c r="P840" i="3"/>
  <c r="Q840" i="3" s="1"/>
  <c r="R840" i="3" s="1"/>
  <c r="S840" i="3" s="1"/>
  <c r="AA840" i="3"/>
  <c r="Z840" i="3"/>
  <c r="AD840" i="3"/>
  <c r="T840" i="3" l="1"/>
  <c r="U839" i="3"/>
  <c r="Y838" i="3"/>
  <c r="D840" i="3" l="1"/>
  <c r="G840" i="3" s="1"/>
  <c r="AG840" i="3"/>
  <c r="E840" i="3"/>
  <c r="H840" i="3" s="1"/>
  <c r="AH840" i="3"/>
  <c r="K840" i="3" l="1"/>
  <c r="AE840" i="3" s="1"/>
  <c r="I840" i="3"/>
  <c r="J840" i="3"/>
  <c r="M840" i="3"/>
  <c r="N840" i="3" s="1"/>
  <c r="F840" i="3"/>
  <c r="L840" i="3" l="1"/>
  <c r="V840" i="3"/>
  <c r="W840" i="3" s="1"/>
  <c r="A841" i="3"/>
  <c r="B841" i="3" s="1"/>
  <c r="U840" i="3" l="1"/>
  <c r="Y839" i="3"/>
  <c r="AA841" i="3"/>
  <c r="Z841" i="3"/>
  <c r="AD841" i="3"/>
  <c r="AC841" i="3"/>
  <c r="P841" i="3"/>
  <c r="Q841" i="3" s="1"/>
  <c r="R841" i="3" s="1"/>
  <c r="S841" i="3" s="1"/>
  <c r="T841" i="3" l="1"/>
  <c r="AH841" i="3" s="1"/>
  <c r="E841" i="3" l="1"/>
  <c r="H841" i="3" s="1"/>
  <c r="K841" i="3" s="1"/>
  <c r="AE841" i="3" s="1"/>
  <c r="AG841" i="3"/>
  <c r="D841" i="3"/>
  <c r="G841" i="3" s="1"/>
  <c r="F841" i="3" l="1"/>
  <c r="I841" i="3"/>
  <c r="J841" i="3"/>
  <c r="M841" i="3"/>
  <c r="N841" i="3" s="1"/>
  <c r="V841" i="3"/>
  <c r="A842" i="3"/>
  <c r="B842" i="3" s="1"/>
  <c r="W841" i="3" l="1"/>
  <c r="L841" i="3"/>
  <c r="P842" i="3"/>
  <c r="Q842" i="3" s="1"/>
  <c r="R842" i="3" s="1"/>
  <c r="S842" i="3" s="1"/>
  <c r="AD842" i="3"/>
  <c r="Z842" i="3"/>
  <c r="AC842" i="3"/>
  <c r="AA842" i="3"/>
  <c r="U841" i="3" l="1"/>
  <c r="Y840" i="3"/>
  <c r="T842" i="3"/>
  <c r="AG842" i="3" s="1"/>
  <c r="D842" i="3" l="1"/>
  <c r="G842" i="3" s="1"/>
  <c r="E842" i="3"/>
  <c r="H842" i="3" s="1"/>
  <c r="K842" i="3" s="1"/>
  <c r="AE842" i="3" s="1"/>
  <c r="AH842" i="3"/>
  <c r="F842" i="3" l="1"/>
  <c r="V842" i="3"/>
  <c r="A843" i="3"/>
  <c r="B843" i="3" s="1"/>
  <c r="I842" i="3"/>
  <c r="J842" i="3"/>
  <c r="M842" i="3"/>
  <c r="N842" i="3" s="1"/>
  <c r="W842" i="3" l="1"/>
  <c r="L842" i="3"/>
  <c r="AC843" i="3"/>
  <c r="AD843" i="3"/>
  <c r="AA843" i="3"/>
  <c r="Z843" i="3"/>
  <c r="P843" i="3"/>
  <c r="Q843" i="3" s="1"/>
  <c r="R843" i="3" s="1"/>
  <c r="S843" i="3" s="1"/>
  <c r="U842" i="3" l="1"/>
  <c r="Y841" i="3"/>
  <c r="T843" i="3"/>
  <c r="AG843" i="3" s="1"/>
  <c r="D843" i="3" l="1"/>
  <c r="E843" i="3"/>
  <c r="H843" i="3" s="1"/>
  <c r="AH843" i="3"/>
  <c r="F843" i="3" l="1"/>
  <c r="G843" i="3"/>
  <c r="K843" i="3"/>
  <c r="AE843" i="3" s="1"/>
  <c r="V843" i="3" l="1"/>
  <c r="A844" i="3"/>
  <c r="B844" i="3" s="1"/>
  <c r="I843" i="3"/>
  <c r="J843" i="3"/>
  <c r="M843" i="3"/>
  <c r="N843" i="3" s="1"/>
  <c r="W843" i="3" l="1"/>
  <c r="L843" i="3"/>
  <c r="AC844" i="3"/>
  <c r="P844" i="3"/>
  <c r="Q844" i="3" s="1"/>
  <c r="R844" i="3" s="1"/>
  <c r="S844" i="3" s="1"/>
  <c r="Z844" i="3"/>
  <c r="AA844" i="3"/>
  <c r="U843" i="3" l="1"/>
  <c r="Y842" i="3"/>
  <c r="T844" i="3"/>
  <c r="AH844" i="3" s="1"/>
  <c r="AG844" i="3" l="1"/>
  <c r="E844" i="3"/>
  <c r="H844" i="3" s="1"/>
  <c r="K844" i="3" s="1"/>
  <c r="AE844" i="3" s="1"/>
  <c r="D844" i="3"/>
  <c r="V844" i="3" l="1"/>
  <c r="A845" i="3"/>
  <c r="B845" i="3" s="1"/>
  <c r="F844" i="3"/>
  <c r="G844" i="3"/>
  <c r="I844" i="3" l="1"/>
  <c r="W844" i="3" s="1"/>
  <c r="J844" i="3"/>
  <c r="AD844" i="3" s="1"/>
  <c r="M844" i="3"/>
  <c r="N844" i="3" s="1"/>
  <c r="AD845" i="3"/>
  <c r="AC845" i="3"/>
  <c r="P845" i="3"/>
  <c r="Q845" i="3" s="1"/>
  <c r="R845" i="3" s="1"/>
  <c r="S845" i="3" s="1"/>
  <c r="Z845" i="3"/>
  <c r="AA845" i="3"/>
  <c r="T845" i="3" l="1"/>
  <c r="L844" i="3"/>
  <c r="AH845" i="3" l="1"/>
  <c r="U844" i="3"/>
  <c r="D845" i="3" s="1"/>
  <c r="AG845" i="3"/>
  <c r="Y843" i="3"/>
  <c r="E845" i="3" l="1"/>
  <c r="H845" i="3" s="1"/>
  <c r="K845" i="3" s="1"/>
  <c r="AE845" i="3" s="1"/>
  <c r="G845" i="3"/>
  <c r="F845" i="3" l="1"/>
  <c r="I845" i="3"/>
  <c r="J845" i="3"/>
  <c r="M845" i="3"/>
  <c r="N845" i="3" s="1"/>
  <c r="V845" i="3"/>
  <c r="A846" i="3"/>
  <c r="B846" i="3" s="1"/>
  <c r="W845" i="3" l="1"/>
  <c r="L845" i="3"/>
  <c r="P846" i="3"/>
  <c r="Q846" i="3" s="1"/>
  <c r="R846" i="3" s="1"/>
  <c r="S846" i="3" s="1"/>
  <c r="AD846" i="3"/>
  <c r="AC846" i="3"/>
  <c r="Z846" i="3"/>
  <c r="AA846" i="3"/>
  <c r="U845" i="3" l="1"/>
  <c r="Y844" i="3"/>
  <c r="T846" i="3"/>
  <c r="AH846" i="3" s="1"/>
  <c r="D846" i="3" l="1"/>
  <c r="G846" i="3" s="1"/>
  <c r="E846" i="3"/>
  <c r="H846" i="3" s="1"/>
  <c r="K846" i="3" s="1"/>
  <c r="AE846" i="3" s="1"/>
  <c r="AG846" i="3"/>
  <c r="F846" i="3" l="1"/>
  <c r="I846" i="3"/>
  <c r="J846" i="3"/>
  <c r="M846" i="3"/>
  <c r="N846" i="3" s="1"/>
  <c r="V846" i="3"/>
  <c r="A847" i="3"/>
  <c r="B847" i="3" s="1"/>
  <c r="W846" i="3" l="1"/>
  <c r="L846" i="3"/>
  <c r="AC847" i="3"/>
  <c r="P847" i="3"/>
  <c r="Q847" i="3" s="1"/>
  <c r="R847" i="3" s="1"/>
  <c r="S847" i="3" s="1"/>
  <c r="AD847" i="3"/>
  <c r="AA847" i="3"/>
  <c r="Z847" i="3"/>
  <c r="U846" i="3" l="1"/>
  <c r="Y845" i="3"/>
  <c r="T847" i="3"/>
  <c r="D847" i="3" l="1"/>
  <c r="G847" i="3" s="1"/>
  <c r="E847" i="3"/>
  <c r="H847" i="3" s="1"/>
  <c r="K847" i="3" s="1"/>
  <c r="AE847" i="3" s="1"/>
  <c r="AH847" i="3"/>
  <c r="AG847" i="3"/>
  <c r="F847" i="3" l="1"/>
  <c r="I847" i="3"/>
  <c r="J847" i="3"/>
  <c r="M847" i="3"/>
  <c r="N847" i="3" s="1"/>
  <c r="V847" i="3"/>
  <c r="A848" i="3"/>
  <c r="B848" i="3" s="1"/>
  <c r="W847" i="3" l="1"/>
  <c r="L847" i="3"/>
  <c r="AA848" i="3"/>
  <c r="P848" i="3"/>
  <c r="Q848" i="3" s="1"/>
  <c r="R848" i="3" s="1"/>
  <c r="S848" i="3" s="1"/>
  <c r="Z848" i="3"/>
  <c r="AC848" i="3"/>
  <c r="U847" i="3" l="1"/>
  <c r="Y846" i="3"/>
  <c r="T848" i="3"/>
  <c r="AG848" i="3" s="1"/>
  <c r="D848" i="3" l="1"/>
  <c r="AH848" i="3"/>
  <c r="E848" i="3"/>
  <c r="H848" i="3" s="1"/>
  <c r="F848" i="3" l="1"/>
  <c r="G848" i="3"/>
  <c r="K848" i="3"/>
  <c r="AE848" i="3" s="1"/>
  <c r="V848" i="3" l="1"/>
  <c r="A849" i="3"/>
  <c r="B849" i="3" s="1"/>
  <c r="I848" i="3"/>
  <c r="J848" i="3"/>
  <c r="AD848" i="3" s="1"/>
  <c r="M848" i="3"/>
  <c r="N848" i="3" s="1"/>
  <c r="W848" i="3" l="1"/>
  <c r="L848" i="3"/>
  <c r="P849" i="3"/>
  <c r="Q849" i="3" s="1"/>
  <c r="R849" i="3" s="1"/>
  <c r="S849" i="3" s="1"/>
  <c r="AC849" i="3"/>
  <c r="Z849" i="3"/>
  <c r="AD849" i="3"/>
  <c r="AA849" i="3"/>
  <c r="U848" i="3" l="1"/>
  <c r="Y847" i="3"/>
  <c r="T849" i="3"/>
  <c r="AG849" i="3" s="1"/>
  <c r="E849" i="3" l="1"/>
  <c r="H849" i="3" s="1"/>
  <c r="K849" i="3" s="1"/>
  <c r="AE849" i="3" s="1"/>
  <c r="D849" i="3"/>
  <c r="G849" i="3" s="1"/>
  <c r="AH849" i="3"/>
  <c r="F849" i="3" l="1"/>
  <c r="V849" i="3"/>
  <c r="A850" i="3"/>
  <c r="B850" i="3" s="1"/>
  <c r="I849" i="3"/>
  <c r="J849" i="3"/>
  <c r="M849" i="3"/>
  <c r="N849" i="3" s="1"/>
  <c r="W849" i="3" l="1"/>
  <c r="L849" i="3"/>
  <c r="AA850" i="3"/>
  <c r="AC850" i="3"/>
  <c r="P850" i="3"/>
  <c r="Q850" i="3" s="1"/>
  <c r="R850" i="3" s="1"/>
  <c r="S850" i="3" s="1"/>
  <c r="AD850" i="3"/>
  <c r="Z850" i="3"/>
  <c r="T850" i="3" l="1"/>
  <c r="AG850" i="3" s="1"/>
  <c r="U849" i="3"/>
  <c r="Y848" i="3"/>
  <c r="E850" i="3" l="1"/>
  <c r="H850" i="3" s="1"/>
  <c r="D850" i="3"/>
  <c r="AH850" i="3"/>
  <c r="K850" i="3" l="1"/>
  <c r="AE850" i="3" s="1"/>
  <c r="F850" i="3"/>
  <c r="G850" i="3"/>
  <c r="I850" i="3" l="1"/>
  <c r="J850" i="3"/>
  <c r="M850" i="3"/>
  <c r="N850" i="3" s="1"/>
  <c r="V850" i="3"/>
  <c r="A851" i="3"/>
  <c r="B851" i="3" s="1"/>
  <c r="W850" i="3" l="1"/>
  <c r="L850" i="3"/>
  <c r="P851" i="3"/>
  <c r="Q851" i="3" s="1"/>
  <c r="R851" i="3" s="1"/>
  <c r="S851" i="3" s="1"/>
  <c r="AA851" i="3"/>
  <c r="AC851" i="3"/>
  <c r="AD851" i="3"/>
  <c r="Z851" i="3"/>
  <c r="U850" i="3" l="1"/>
  <c r="Y849" i="3"/>
  <c r="T851" i="3"/>
  <c r="AH851" i="3" s="1"/>
  <c r="E851" i="3" l="1"/>
  <c r="H851" i="3" s="1"/>
  <c r="K851" i="3" s="1"/>
  <c r="AE851" i="3" s="1"/>
  <c r="AG851" i="3"/>
  <c r="D851" i="3"/>
  <c r="F851" i="3" l="1"/>
  <c r="G851" i="3"/>
  <c r="M851" i="3" s="1"/>
  <c r="N851" i="3" s="1"/>
  <c r="V851" i="3"/>
  <c r="A852" i="3"/>
  <c r="B852" i="3" s="1"/>
  <c r="I851" i="3" l="1"/>
  <c r="W851" i="3" s="1"/>
  <c r="J851" i="3"/>
  <c r="L851" i="3" s="1"/>
  <c r="AC852" i="3"/>
  <c r="AA852" i="3"/>
  <c r="AD852" i="3"/>
  <c r="P852" i="3"/>
  <c r="Q852" i="3" s="1"/>
  <c r="R852" i="3" s="1"/>
  <c r="S852" i="3" s="1"/>
  <c r="Z852" i="3"/>
  <c r="T852" i="3" l="1"/>
  <c r="U851" i="3"/>
  <c r="Y850" i="3"/>
  <c r="D852" i="3" l="1"/>
  <c r="G852" i="3" s="1"/>
  <c r="AH852" i="3"/>
  <c r="E852" i="3"/>
  <c r="H852" i="3" s="1"/>
  <c r="AG852" i="3"/>
  <c r="F852" i="3" l="1"/>
  <c r="I852" i="3"/>
  <c r="J852" i="3"/>
  <c r="M852" i="3"/>
  <c r="N852" i="3" s="1"/>
  <c r="K852" i="3"/>
  <c r="AE852" i="3" s="1"/>
  <c r="L852" i="3" l="1"/>
  <c r="V852" i="3"/>
  <c r="W852" i="3" s="1"/>
  <c r="A853" i="3"/>
  <c r="B853" i="3" s="1"/>
  <c r="U852" i="3" l="1"/>
  <c r="Y851" i="3"/>
  <c r="AD853" i="3"/>
  <c r="AC853" i="3"/>
  <c r="P853" i="3"/>
  <c r="Q853" i="3" s="1"/>
  <c r="R853" i="3" s="1"/>
  <c r="S853" i="3" s="1"/>
  <c r="Z853" i="3"/>
  <c r="AA853" i="3"/>
  <c r="T853" i="3" l="1"/>
  <c r="AG853" i="3" s="1"/>
  <c r="E853" i="3" l="1"/>
  <c r="H853" i="3" s="1"/>
  <c r="AH853" i="3"/>
  <c r="D853" i="3"/>
  <c r="K853" i="3" l="1"/>
  <c r="AE853" i="3" s="1"/>
  <c r="F853" i="3"/>
  <c r="G853" i="3"/>
  <c r="I853" i="3" l="1"/>
  <c r="J853" i="3"/>
  <c r="M853" i="3"/>
  <c r="N853" i="3" s="1"/>
  <c r="V853" i="3"/>
  <c r="A854" i="3"/>
  <c r="B854" i="3" s="1"/>
  <c r="W853" i="3" l="1"/>
  <c r="L853" i="3"/>
  <c r="Z854" i="3"/>
  <c r="P854" i="3"/>
  <c r="Q854" i="3" s="1"/>
  <c r="R854" i="3" s="1"/>
  <c r="S854" i="3" s="1"/>
  <c r="AC854" i="3"/>
  <c r="AA854" i="3"/>
  <c r="U853" i="3" l="1"/>
  <c r="Y852" i="3"/>
  <c r="T854" i="3"/>
  <c r="AG854" i="3" s="1"/>
  <c r="E854" i="3" l="1"/>
  <c r="H854" i="3" s="1"/>
  <c r="K854" i="3" s="1"/>
  <c r="AE854" i="3" s="1"/>
  <c r="AH854" i="3"/>
  <c r="D854" i="3"/>
  <c r="G854" i="3" s="1"/>
  <c r="F854" i="3" l="1"/>
  <c r="I854" i="3"/>
  <c r="J854" i="3"/>
  <c r="AD854" i="3" s="1"/>
  <c r="M854" i="3"/>
  <c r="N854" i="3" s="1"/>
  <c r="V854" i="3"/>
  <c r="A855" i="3"/>
  <c r="B855" i="3" s="1"/>
  <c r="W854" i="3" l="1"/>
  <c r="L854" i="3"/>
  <c r="Z855" i="3"/>
  <c r="P855" i="3"/>
  <c r="Q855" i="3" s="1"/>
  <c r="R855" i="3" s="1"/>
  <c r="S855" i="3" s="1"/>
  <c r="AA855" i="3"/>
  <c r="AC855" i="3"/>
  <c r="AD855" i="3"/>
  <c r="T855" i="3" l="1"/>
  <c r="AG855" i="3" s="1"/>
  <c r="U854" i="3"/>
  <c r="Y853" i="3"/>
  <c r="E855" i="3" l="1"/>
  <c r="H855" i="3" s="1"/>
  <c r="K855" i="3" s="1"/>
  <c r="AE855" i="3" s="1"/>
  <c r="D855" i="3"/>
  <c r="AH855" i="3"/>
  <c r="F855" i="3" l="1"/>
  <c r="G855" i="3"/>
  <c r="V855" i="3"/>
  <c r="A856" i="3"/>
  <c r="B856" i="3" s="1"/>
  <c r="AA856" i="3" l="1"/>
  <c r="P856" i="3"/>
  <c r="Q856" i="3" s="1"/>
  <c r="R856" i="3" s="1"/>
  <c r="S856" i="3" s="1"/>
  <c r="Z856" i="3"/>
  <c r="AD856" i="3"/>
  <c r="AC856" i="3"/>
  <c r="I855" i="3"/>
  <c r="W855" i="3" s="1"/>
  <c r="J855" i="3"/>
  <c r="M855" i="3"/>
  <c r="N855" i="3" s="1"/>
  <c r="L855" i="3" l="1"/>
  <c r="T856" i="3"/>
  <c r="U855" i="3" l="1"/>
  <c r="D856" i="3" s="1"/>
  <c r="AH856" i="3"/>
  <c r="AG856" i="3"/>
  <c r="Y854" i="3"/>
  <c r="G856" i="3" l="1"/>
  <c r="E856" i="3"/>
  <c r="H856" i="3" s="1"/>
  <c r="F856" i="3" l="1"/>
  <c r="K856" i="3"/>
  <c r="AE856" i="3" s="1"/>
  <c r="I856" i="3"/>
  <c r="J856" i="3"/>
  <c r="M856" i="3"/>
  <c r="N856" i="3" s="1"/>
  <c r="L856" i="3" l="1"/>
  <c r="V856" i="3"/>
  <c r="W856" i="3" s="1"/>
  <c r="A857" i="3"/>
  <c r="B857" i="3" s="1"/>
  <c r="Z857" i="3" l="1"/>
  <c r="AC857" i="3"/>
  <c r="AD857" i="3"/>
  <c r="AA857" i="3"/>
  <c r="P857" i="3"/>
  <c r="Q857" i="3" s="1"/>
  <c r="R857" i="3" s="1"/>
  <c r="S857" i="3" s="1"/>
  <c r="U856" i="3"/>
  <c r="Y855" i="3"/>
  <c r="T857" i="3" l="1"/>
  <c r="E857" i="3" l="1"/>
  <c r="H857" i="3" s="1"/>
  <c r="AG857" i="3"/>
  <c r="D857" i="3"/>
  <c r="AH857" i="3"/>
  <c r="K857" i="3" l="1"/>
  <c r="AE857" i="3" s="1"/>
  <c r="F857" i="3"/>
  <c r="G857" i="3"/>
  <c r="I857" i="3" l="1"/>
  <c r="J857" i="3"/>
  <c r="M857" i="3"/>
  <c r="N857" i="3" s="1"/>
  <c r="V857" i="3"/>
  <c r="A858" i="3"/>
  <c r="B858" i="3" s="1"/>
  <c r="W857" i="3" l="1"/>
  <c r="L857" i="3"/>
  <c r="AA858" i="3"/>
  <c r="Z858" i="3"/>
  <c r="P858" i="3"/>
  <c r="Q858" i="3" s="1"/>
  <c r="R858" i="3" s="1"/>
  <c r="S858" i="3" s="1"/>
  <c r="AC858" i="3"/>
  <c r="U857" i="3" l="1"/>
  <c r="Y856" i="3"/>
  <c r="T858" i="3"/>
  <c r="D858" i="3" l="1"/>
  <c r="G858" i="3" s="1"/>
  <c r="E858" i="3"/>
  <c r="H858" i="3" s="1"/>
  <c r="K858" i="3" s="1"/>
  <c r="AE858" i="3" s="1"/>
  <c r="AG858" i="3"/>
  <c r="AH858" i="3"/>
  <c r="F858" i="3" l="1"/>
  <c r="V858" i="3"/>
  <c r="A859" i="3"/>
  <c r="B859" i="3" s="1"/>
  <c r="I858" i="3"/>
  <c r="J858" i="3"/>
  <c r="AD858" i="3" s="1"/>
  <c r="M858" i="3"/>
  <c r="N858" i="3" s="1"/>
  <c r="W858" i="3" l="1"/>
  <c r="L858" i="3"/>
  <c r="AC859" i="3"/>
  <c r="P859" i="3"/>
  <c r="Q859" i="3" s="1"/>
  <c r="R859" i="3" s="1"/>
  <c r="S859" i="3" s="1"/>
  <c r="AA859" i="3"/>
  <c r="Z859" i="3"/>
  <c r="AD859" i="3"/>
  <c r="U858" i="3" l="1"/>
  <c r="Y857" i="3"/>
  <c r="T859" i="3"/>
  <c r="D859" i="3" l="1"/>
  <c r="G859" i="3" s="1"/>
  <c r="AH859" i="3"/>
  <c r="AG859" i="3"/>
  <c r="E859" i="3"/>
  <c r="H859" i="3" s="1"/>
  <c r="K859" i="3" s="1"/>
  <c r="AE859" i="3" s="1"/>
  <c r="F859" i="3" l="1"/>
  <c r="I859" i="3"/>
  <c r="J859" i="3"/>
  <c r="M859" i="3"/>
  <c r="N859" i="3" s="1"/>
  <c r="V859" i="3"/>
  <c r="A860" i="3"/>
  <c r="B860" i="3" s="1"/>
  <c r="W859" i="3" l="1"/>
  <c r="AC860" i="3"/>
  <c r="AD860" i="3"/>
  <c r="Z860" i="3"/>
  <c r="AA860" i="3"/>
  <c r="P860" i="3"/>
  <c r="Q860" i="3" s="1"/>
  <c r="R860" i="3" s="1"/>
  <c r="S860" i="3" s="1"/>
  <c r="L859" i="3"/>
  <c r="T860" i="3" l="1"/>
  <c r="U859" i="3"/>
  <c r="Y858" i="3"/>
  <c r="D860" i="3" l="1"/>
  <c r="G860" i="3" s="1"/>
  <c r="AG860" i="3"/>
  <c r="AH860" i="3"/>
  <c r="E860" i="3"/>
  <c r="H860" i="3" s="1"/>
  <c r="I860" i="3" l="1"/>
  <c r="J860" i="3"/>
  <c r="M860" i="3"/>
  <c r="N860" i="3" s="1"/>
  <c r="K860" i="3"/>
  <c r="AE860" i="3" s="1"/>
  <c r="F860" i="3"/>
  <c r="L860" i="3" l="1"/>
  <c r="V860" i="3"/>
  <c r="W860" i="3" s="1"/>
  <c r="A861" i="3"/>
  <c r="B861" i="3" s="1"/>
  <c r="U860" i="3" l="1"/>
  <c r="Y859" i="3"/>
  <c r="Z861" i="3"/>
  <c r="AD861" i="3"/>
  <c r="P861" i="3"/>
  <c r="Q861" i="3" s="1"/>
  <c r="R861" i="3" s="1"/>
  <c r="S861" i="3" s="1"/>
  <c r="AC861" i="3"/>
  <c r="AA861" i="3"/>
  <c r="T861" i="3" l="1"/>
  <c r="E861" i="3" s="1"/>
  <c r="H861" i="3" s="1"/>
  <c r="K861" i="3" l="1"/>
  <c r="AE861" i="3" s="1"/>
  <c r="D861" i="3"/>
  <c r="AH861" i="3"/>
  <c r="AG861" i="3"/>
  <c r="F861" i="3" l="1"/>
  <c r="G861" i="3"/>
  <c r="V861" i="3"/>
  <c r="A862" i="3"/>
  <c r="B862" i="3" s="1"/>
  <c r="AD862" i="3" l="1"/>
  <c r="Z862" i="3"/>
  <c r="P862" i="3"/>
  <c r="Q862" i="3" s="1"/>
  <c r="R862" i="3" s="1"/>
  <c r="S862" i="3" s="1"/>
  <c r="AC862" i="3"/>
  <c r="AA862" i="3"/>
  <c r="I861" i="3"/>
  <c r="W861" i="3" s="1"/>
  <c r="J861" i="3"/>
  <c r="M861" i="3"/>
  <c r="N861" i="3" s="1"/>
  <c r="T862" i="3" l="1"/>
  <c r="L861" i="3"/>
  <c r="AH862" i="3" l="1"/>
  <c r="U861" i="3"/>
  <c r="D862" i="3" s="1"/>
  <c r="AG862" i="3"/>
  <c r="Y860" i="3"/>
  <c r="E862" i="3" l="1"/>
  <c r="H862" i="3" s="1"/>
  <c r="K862" i="3" s="1"/>
  <c r="AE862" i="3" s="1"/>
  <c r="G862" i="3"/>
  <c r="F862" i="3" l="1"/>
  <c r="I862" i="3"/>
  <c r="J862" i="3"/>
  <c r="M862" i="3"/>
  <c r="N862" i="3" s="1"/>
  <c r="V862" i="3"/>
  <c r="A863" i="3"/>
  <c r="B863" i="3" s="1"/>
  <c r="W862" i="3" l="1"/>
  <c r="L862" i="3"/>
  <c r="AA863" i="3"/>
  <c r="Z863" i="3"/>
  <c r="P863" i="3"/>
  <c r="Q863" i="3" s="1"/>
  <c r="R863" i="3" s="1"/>
  <c r="S863" i="3" s="1"/>
  <c r="AD863" i="3"/>
  <c r="AC863" i="3"/>
  <c r="T863" i="3" l="1"/>
  <c r="U862" i="3"/>
  <c r="Y861" i="3"/>
  <c r="E863" i="3" l="1"/>
  <c r="H863" i="3" s="1"/>
  <c r="K863" i="3" s="1"/>
  <c r="AE863" i="3" s="1"/>
  <c r="D863" i="3"/>
  <c r="G863" i="3" s="1"/>
  <c r="AH863" i="3"/>
  <c r="AG863" i="3"/>
  <c r="F863" i="3" l="1"/>
  <c r="I863" i="3"/>
  <c r="J863" i="3"/>
  <c r="M863" i="3"/>
  <c r="N863" i="3" s="1"/>
  <c r="V863" i="3"/>
  <c r="A864" i="3"/>
  <c r="B864" i="3" s="1"/>
  <c r="W863" i="3" l="1"/>
  <c r="L863" i="3"/>
  <c r="AC864" i="3"/>
  <c r="Z864" i="3"/>
  <c r="AA864" i="3"/>
  <c r="P864" i="3"/>
  <c r="Q864" i="3" s="1"/>
  <c r="R864" i="3" s="1"/>
  <c r="S864" i="3" s="1"/>
  <c r="U863" i="3" l="1"/>
  <c r="Y862" i="3"/>
  <c r="T864" i="3"/>
  <c r="AH864" i="3" s="1"/>
  <c r="E864" i="3" l="1"/>
  <c r="H864" i="3" s="1"/>
  <c r="D864" i="3"/>
  <c r="AG864" i="3"/>
  <c r="K864" i="3" l="1"/>
  <c r="AE864" i="3" s="1"/>
  <c r="F864" i="3"/>
  <c r="G864" i="3"/>
  <c r="I864" i="3" l="1"/>
  <c r="J864" i="3"/>
  <c r="AD864" i="3" s="1"/>
  <c r="M864" i="3"/>
  <c r="N864" i="3" s="1"/>
  <c r="V864" i="3"/>
  <c r="A865" i="3"/>
  <c r="B865" i="3" s="1"/>
  <c r="W864" i="3" l="1"/>
  <c r="L864" i="3"/>
  <c r="AD865" i="3"/>
  <c r="P865" i="3"/>
  <c r="Q865" i="3" s="1"/>
  <c r="R865" i="3" s="1"/>
  <c r="S865" i="3" s="1"/>
  <c r="AC865" i="3"/>
  <c r="Z865" i="3"/>
  <c r="AA865" i="3"/>
  <c r="U864" i="3" l="1"/>
  <c r="Y863" i="3"/>
  <c r="T865" i="3"/>
  <c r="AG865" i="3" s="1"/>
  <c r="E865" i="3" l="1"/>
  <c r="H865" i="3" s="1"/>
  <c r="K865" i="3" s="1"/>
  <c r="AE865" i="3" s="1"/>
  <c r="D865" i="3"/>
  <c r="G865" i="3" s="1"/>
  <c r="AH865" i="3"/>
  <c r="F865" i="3" l="1"/>
  <c r="V865" i="3"/>
  <c r="A866" i="3"/>
  <c r="B866" i="3" s="1"/>
  <c r="I865" i="3"/>
  <c r="J865" i="3"/>
  <c r="M865" i="3"/>
  <c r="N865" i="3" s="1"/>
  <c r="W865" i="3" l="1"/>
  <c r="L865" i="3"/>
  <c r="P866" i="3"/>
  <c r="Q866" i="3" s="1"/>
  <c r="R866" i="3" s="1"/>
  <c r="S866" i="3" s="1"/>
  <c r="AA866" i="3"/>
  <c r="Z866" i="3"/>
  <c r="AC866" i="3"/>
  <c r="AD866" i="3"/>
  <c r="T866" i="3" l="1"/>
  <c r="U865" i="3"/>
  <c r="Y864" i="3"/>
  <c r="D866" i="3" l="1"/>
  <c r="G866" i="3" s="1"/>
  <c r="AG866" i="3"/>
  <c r="AH866" i="3"/>
  <c r="E866" i="3"/>
  <c r="H866" i="3" s="1"/>
  <c r="F866" i="3" l="1"/>
  <c r="K866" i="3"/>
  <c r="AE866" i="3" s="1"/>
  <c r="I866" i="3"/>
  <c r="J866" i="3"/>
  <c r="M866" i="3"/>
  <c r="N866" i="3" s="1"/>
  <c r="L866" i="3" l="1"/>
  <c r="V866" i="3"/>
  <c r="W866" i="3" s="1"/>
  <c r="A867" i="3"/>
  <c r="B867" i="3" s="1"/>
  <c r="Z867" i="3" l="1"/>
  <c r="AA867" i="3"/>
  <c r="P867" i="3"/>
  <c r="Q867" i="3" s="1"/>
  <c r="R867" i="3" s="1"/>
  <c r="S867" i="3" s="1"/>
  <c r="AC867" i="3"/>
  <c r="AD867" i="3"/>
  <c r="U866" i="3"/>
  <c r="Y865" i="3"/>
  <c r="T867" i="3" l="1"/>
  <c r="D867" i="3" s="1"/>
  <c r="AG867" i="3" l="1"/>
  <c r="E867" i="3"/>
  <c r="H867" i="3" s="1"/>
  <c r="K867" i="3" s="1"/>
  <c r="AE867" i="3" s="1"/>
  <c r="AH867" i="3"/>
  <c r="G867" i="3"/>
  <c r="F867" i="3" l="1"/>
  <c r="I867" i="3"/>
  <c r="J867" i="3"/>
  <c r="M867" i="3"/>
  <c r="N867" i="3" s="1"/>
  <c r="V867" i="3"/>
  <c r="A868" i="3"/>
  <c r="B868" i="3" s="1"/>
  <c r="W867" i="3" l="1"/>
  <c r="L867" i="3"/>
  <c r="Z868" i="3"/>
  <c r="AA868" i="3"/>
  <c r="AC868" i="3"/>
  <c r="P868" i="3"/>
  <c r="Q868" i="3" s="1"/>
  <c r="R868" i="3" s="1"/>
  <c r="S868" i="3" s="1"/>
  <c r="T868" i="3" l="1"/>
  <c r="U867" i="3"/>
  <c r="Y866" i="3"/>
  <c r="E868" i="3" l="1"/>
  <c r="H868" i="3" s="1"/>
  <c r="K868" i="3" s="1"/>
  <c r="AE868" i="3" s="1"/>
  <c r="AH868" i="3"/>
  <c r="D868" i="3"/>
  <c r="G868" i="3" s="1"/>
  <c r="AG868" i="3"/>
  <c r="F868" i="3" l="1"/>
  <c r="I868" i="3"/>
  <c r="J868" i="3"/>
  <c r="AD868" i="3" s="1"/>
  <c r="M868" i="3"/>
  <c r="N868" i="3" s="1"/>
  <c r="V868" i="3"/>
  <c r="A869" i="3"/>
  <c r="B869" i="3" s="1"/>
  <c r="W868" i="3" l="1"/>
  <c r="L868" i="3"/>
  <c r="P869" i="3"/>
  <c r="Q869" i="3" s="1"/>
  <c r="R869" i="3" s="1"/>
  <c r="S869" i="3" s="1"/>
  <c r="Z869" i="3"/>
  <c r="AC869" i="3"/>
  <c r="AA869" i="3"/>
  <c r="AD869" i="3"/>
  <c r="T869" i="3" l="1"/>
  <c r="U868" i="3"/>
  <c r="Y867" i="3"/>
  <c r="E869" i="3" l="1"/>
  <c r="H869" i="3" s="1"/>
  <c r="K869" i="3" s="1"/>
  <c r="AE869" i="3" s="1"/>
  <c r="AG869" i="3"/>
  <c r="D869" i="3"/>
  <c r="AH869" i="3"/>
  <c r="V869" i="3" l="1"/>
  <c r="A870" i="3"/>
  <c r="B870" i="3" s="1"/>
  <c r="F869" i="3"/>
  <c r="G869" i="3"/>
  <c r="I869" i="3" l="1"/>
  <c r="W869" i="3" s="1"/>
  <c r="J869" i="3"/>
  <c r="M869" i="3"/>
  <c r="N869" i="3" s="1"/>
  <c r="AD870" i="3"/>
  <c r="Z870" i="3"/>
  <c r="AA870" i="3"/>
  <c r="P870" i="3"/>
  <c r="Q870" i="3" s="1"/>
  <c r="R870" i="3" s="1"/>
  <c r="S870" i="3" s="1"/>
  <c r="AC870" i="3"/>
  <c r="L869" i="3" l="1"/>
  <c r="T870" i="3"/>
  <c r="U869" i="3" l="1"/>
  <c r="E870" i="3" s="1"/>
  <c r="H870" i="3" s="1"/>
  <c r="AH870" i="3"/>
  <c r="AG870" i="3"/>
  <c r="Y868" i="3"/>
  <c r="D870" i="3" l="1"/>
  <c r="G870" i="3" s="1"/>
  <c r="K870" i="3"/>
  <c r="AE870" i="3" s="1"/>
  <c r="F870" i="3" l="1"/>
  <c r="V870" i="3"/>
  <c r="A871" i="3"/>
  <c r="B871" i="3" s="1"/>
  <c r="I870" i="3"/>
  <c r="J870" i="3"/>
  <c r="M870" i="3"/>
  <c r="N870" i="3" s="1"/>
  <c r="W870" i="3" l="1"/>
  <c r="L870" i="3"/>
  <c r="Z871" i="3"/>
  <c r="P871" i="3"/>
  <c r="Q871" i="3" s="1"/>
  <c r="R871" i="3" s="1"/>
  <c r="S871" i="3" s="1"/>
  <c r="AD871" i="3"/>
  <c r="AA871" i="3"/>
  <c r="AC871" i="3"/>
  <c r="T871" i="3" l="1"/>
  <c r="AH871" i="3" s="1"/>
  <c r="U870" i="3"/>
  <c r="Y869" i="3"/>
  <c r="E871" i="3" l="1"/>
  <c r="H871" i="3" s="1"/>
  <c r="K871" i="3" s="1"/>
  <c r="AE871" i="3" s="1"/>
  <c r="AG871" i="3"/>
  <c r="D871" i="3"/>
  <c r="F871" i="3" l="1"/>
  <c r="G871" i="3"/>
  <c r="V871" i="3"/>
  <c r="A872" i="3"/>
  <c r="B872" i="3" s="1"/>
  <c r="AC872" i="3" l="1"/>
  <c r="AA872" i="3"/>
  <c r="P872" i="3"/>
  <c r="Q872" i="3" s="1"/>
  <c r="R872" i="3" s="1"/>
  <c r="S872" i="3" s="1"/>
  <c r="Z872" i="3"/>
  <c r="AD872" i="3"/>
  <c r="I871" i="3"/>
  <c r="W871" i="3" s="1"/>
  <c r="J871" i="3"/>
  <c r="M871" i="3"/>
  <c r="N871" i="3" s="1"/>
  <c r="L871" i="3" l="1"/>
  <c r="T872" i="3"/>
  <c r="AG872" i="3" l="1"/>
  <c r="AH872" i="3"/>
  <c r="U871" i="3"/>
  <c r="E872" i="3" s="1"/>
  <c r="H872" i="3" s="1"/>
  <c r="Y870" i="3"/>
  <c r="D872" i="3" l="1"/>
  <c r="G872" i="3" s="1"/>
  <c r="K872" i="3"/>
  <c r="AE872" i="3" s="1"/>
  <c r="F872" i="3" l="1"/>
  <c r="I872" i="3"/>
  <c r="J872" i="3"/>
  <c r="M872" i="3"/>
  <c r="N872" i="3" s="1"/>
  <c r="V872" i="3"/>
  <c r="A873" i="3"/>
  <c r="B873" i="3" s="1"/>
  <c r="W872" i="3" l="1"/>
  <c r="L872" i="3"/>
  <c r="AA873" i="3"/>
  <c r="AC873" i="3"/>
  <c r="AD873" i="3"/>
  <c r="P873" i="3"/>
  <c r="Q873" i="3" s="1"/>
  <c r="R873" i="3" s="1"/>
  <c r="S873" i="3" s="1"/>
  <c r="Z873" i="3"/>
  <c r="T873" i="3" l="1"/>
  <c r="AH873" i="3" s="1"/>
  <c r="U872" i="3"/>
  <c r="Y871" i="3"/>
  <c r="AG873" i="3" l="1"/>
  <c r="E873" i="3"/>
  <c r="H873" i="3" s="1"/>
  <c r="D873" i="3"/>
  <c r="K873" i="3" l="1"/>
  <c r="AE873" i="3" s="1"/>
  <c r="F873" i="3"/>
  <c r="G873" i="3"/>
  <c r="I873" i="3" l="1"/>
  <c r="J873" i="3"/>
  <c r="M873" i="3"/>
  <c r="N873" i="3" s="1"/>
  <c r="V873" i="3"/>
  <c r="A874" i="3"/>
  <c r="B874" i="3" s="1"/>
  <c r="W873" i="3" l="1"/>
  <c r="L873" i="3"/>
  <c r="AA874" i="3"/>
  <c r="P874" i="3"/>
  <c r="Q874" i="3" s="1"/>
  <c r="R874" i="3" s="1"/>
  <c r="S874" i="3" s="1"/>
  <c r="Z874" i="3"/>
  <c r="AC874" i="3"/>
  <c r="T874" i="3" l="1"/>
  <c r="AH874" i="3" s="1"/>
  <c r="U873" i="3"/>
  <c r="Y872" i="3"/>
  <c r="E874" i="3" l="1"/>
  <c r="H874" i="3" s="1"/>
  <c r="D874" i="3"/>
  <c r="AG874" i="3"/>
  <c r="K874" i="3" l="1"/>
  <c r="AE874" i="3" s="1"/>
  <c r="F874" i="3"/>
  <c r="G874" i="3"/>
  <c r="I874" i="3" l="1"/>
  <c r="J874" i="3"/>
  <c r="AD874" i="3" s="1"/>
  <c r="M874" i="3"/>
  <c r="N874" i="3" s="1"/>
  <c r="V874" i="3"/>
  <c r="A875" i="3"/>
  <c r="B875" i="3" s="1"/>
  <c r="W874" i="3" l="1"/>
  <c r="L874" i="3"/>
  <c r="AA875" i="3"/>
  <c r="Z875" i="3"/>
  <c r="P875" i="3"/>
  <c r="Q875" i="3" s="1"/>
  <c r="R875" i="3" s="1"/>
  <c r="S875" i="3" s="1"/>
  <c r="AD875" i="3"/>
  <c r="AC875" i="3"/>
  <c r="T875" i="3" l="1"/>
  <c r="U874" i="3"/>
  <c r="Y873" i="3"/>
  <c r="D875" i="3" l="1"/>
  <c r="G875" i="3" s="1"/>
  <c r="E875" i="3"/>
  <c r="H875" i="3" s="1"/>
  <c r="K875" i="3" s="1"/>
  <c r="AE875" i="3" s="1"/>
  <c r="AH875" i="3"/>
  <c r="AG875" i="3"/>
  <c r="F875" i="3" l="1"/>
  <c r="V875" i="3"/>
  <c r="A876" i="3"/>
  <c r="B876" i="3" s="1"/>
  <c r="I875" i="3"/>
  <c r="J875" i="3"/>
  <c r="M875" i="3"/>
  <c r="N875" i="3" s="1"/>
  <c r="W875" i="3" l="1"/>
  <c r="L875" i="3"/>
  <c r="AC876" i="3"/>
  <c r="P876" i="3"/>
  <c r="Q876" i="3" s="1"/>
  <c r="R876" i="3" s="1"/>
  <c r="S876" i="3" s="1"/>
  <c r="Z876" i="3"/>
  <c r="AA876" i="3"/>
  <c r="AD876" i="3"/>
  <c r="U875" i="3" l="1"/>
  <c r="Y874" i="3"/>
  <c r="T876" i="3"/>
  <c r="AG876" i="3" s="1"/>
  <c r="D876" i="3" l="1"/>
  <c r="E876" i="3"/>
  <c r="H876" i="3" s="1"/>
  <c r="AH876" i="3"/>
  <c r="K876" i="3" l="1"/>
  <c r="AE876" i="3" s="1"/>
  <c r="F876" i="3"/>
  <c r="G876" i="3"/>
  <c r="I876" i="3" l="1"/>
  <c r="J876" i="3"/>
  <c r="M876" i="3"/>
  <c r="N876" i="3" s="1"/>
  <c r="V876" i="3"/>
  <c r="A877" i="3"/>
  <c r="B877" i="3" s="1"/>
  <c r="W876" i="3" l="1"/>
  <c r="L876" i="3"/>
  <c r="P877" i="3"/>
  <c r="Q877" i="3" s="1"/>
  <c r="R877" i="3" s="1"/>
  <c r="S877" i="3" s="1"/>
  <c r="AA877" i="3"/>
  <c r="Z877" i="3"/>
  <c r="AD877" i="3"/>
  <c r="AC877" i="3"/>
  <c r="U876" i="3" l="1"/>
  <c r="Y875" i="3"/>
  <c r="T877" i="3"/>
  <c r="D877" i="3" l="1"/>
  <c r="G877" i="3" s="1"/>
  <c r="AH877" i="3"/>
  <c r="AG877" i="3"/>
  <c r="E877" i="3"/>
  <c r="H877" i="3" s="1"/>
  <c r="I877" i="3" l="1"/>
  <c r="J877" i="3"/>
  <c r="M877" i="3"/>
  <c r="N877" i="3" s="1"/>
  <c r="K877" i="3"/>
  <c r="AE877" i="3" s="1"/>
  <c r="F877" i="3"/>
  <c r="V877" i="3" l="1"/>
  <c r="W877" i="3" s="1"/>
  <c r="A878" i="3"/>
  <c r="B878" i="3" s="1"/>
  <c r="L877" i="3"/>
  <c r="U877" i="3" l="1"/>
  <c r="Y876" i="3"/>
  <c r="Z878" i="3"/>
  <c r="AC878" i="3"/>
  <c r="AA878" i="3"/>
  <c r="P878" i="3"/>
  <c r="Q878" i="3" s="1"/>
  <c r="R878" i="3" s="1"/>
  <c r="S878" i="3" s="1"/>
  <c r="T878" i="3" l="1"/>
  <c r="E878" i="3" s="1"/>
  <c r="H878" i="3" s="1"/>
  <c r="D878" i="3" l="1"/>
  <c r="G878" i="3" s="1"/>
  <c r="AG878" i="3"/>
  <c r="AH878" i="3"/>
  <c r="K878" i="3"/>
  <c r="AE878" i="3" s="1"/>
  <c r="F878" i="3" l="1"/>
  <c r="I878" i="3"/>
  <c r="J878" i="3"/>
  <c r="AD878" i="3" s="1"/>
  <c r="M878" i="3"/>
  <c r="N878" i="3" s="1"/>
  <c r="V878" i="3"/>
  <c r="A879" i="3"/>
  <c r="B879" i="3" s="1"/>
  <c r="W878" i="3" l="1"/>
  <c r="L878" i="3"/>
  <c r="AC879" i="3"/>
  <c r="AD879" i="3"/>
  <c r="P879" i="3"/>
  <c r="Q879" i="3" s="1"/>
  <c r="R879" i="3" s="1"/>
  <c r="S879" i="3" s="1"/>
  <c r="AA879" i="3"/>
  <c r="Z879" i="3"/>
  <c r="T879" i="3" l="1"/>
  <c r="AG879" i="3" s="1"/>
  <c r="U878" i="3"/>
  <c r="Y877" i="3"/>
  <c r="E879" i="3" l="1"/>
  <c r="H879" i="3" s="1"/>
  <c r="D879" i="3"/>
  <c r="AH879" i="3"/>
  <c r="F879" i="3" l="1"/>
  <c r="G879" i="3"/>
  <c r="K879" i="3"/>
  <c r="AE879" i="3" s="1"/>
  <c r="I879" i="3" l="1"/>
  <c r="J879" i="3"/>
  <c r="M879" i="3"/>
  <c r="N879" i="3" s="1"/>
  <c r="V879" i="3"/>
  <c r="A880" i="3"/>
  <c r="B880" i="3" s="1"/>
  <c r="W879" i="3" l="1"/>
  <c r="L879" i="3"/>
  <c r="AD880" i="3"/>
  <c r="AA880" i="3"/>
  <c r="AC880" i="3"/>
  <c r="Z880" i="3"/>
  <c r="P880" i="3"/>
  <c r="Q880" i="3" s="1"/>
  <c r="R880" i="3" s="1"/>
  <c r="S880" i="3" s="1"/>
  <c r="T880" i="3" l="1"/>
  <c r="AG880" i="3" s="1"/>
  <c r="U879" i="3"/>
  <c r="Y878" i="3"/>
  <c r="D880" i="3" l="1"/>
  <c r="AH880" i="3"/>
  <c r="E880" i="3"/>
  <c r="H880" i="3" s="1"/>
  <c r="F880" i="3" l="1"/>
  <c r="G880" i="3"/>
  <c r="K880" i="3"/>
  <c r="AE880" i="3" s="1"/>
  <c r="V880" i="3" l="1"/>
  <c r="A881" i="3"/>
  <c r="B881" i="3" s="1"/>
  <c r="I880" i="3"/>
  <c r="J880" i="3"/>
  <c r="M880" i="3"/>
  <c r="N880" i="3" s="1"/>
  <c r="W880" i="3" l="1"/>
  <c r="L880" i="3"/>
  <c r="AA881" i="3"/>
  <c r="AD881" i="3"/>
  <c r="P881" i="3"/>
  <c r="Q881" i="3" s="1"/>
  <c r="R881" i="3" s="1"/>
  <c r="S881" i="3" s="1"/>
  <c r="Z881" i="3"/>
  <c r="AC881" i="3"/>
  <c r="U880" i="3" l="1"/>
  <c r="Y879" i="3"/>
  <c r="T881" i="3"/>
  <c r="E881" i="3" l="1"/>
  <c r="H881" i="3" s="1"/>
  <c r="K881" i="3" s="1"/>
  <c r="AE881" i="3" s="1"/>
  <c r="D881" i="3"/>
  <c r="AG881" i="3"/>
  <c r="AH881" i="3"/>
  <c r="F881" i="3" l="1"/>
  <c r="G881" i="3"/>
  <c r="I881" i="3" s="1"/>
  <c r="V881" i="3"/>
  <c r="A882" i="3"/>
  <c r="B882" i="3" s="1"/>
  <c r="W881" i="3" l="1"/>
  <c r="M881" i="3"/>
  <c r="N881" i="3" s="1"/>
  <c r="J881" i="3"/>
  <c r="L881" i="3" s="1"/>
  <c r="Z882" i="3"/>
  <c r="P882" i="3"/>
  <c r="Q882" i="3" s="1"/>
  <c r="R882" i="3" s="1"/>
  <c r="S882" i="3" s="1"/>
  <c r="AD882" i="3"/>
  <c r="AC882" i="3"/>
  <c r="AA882" i="3"/>
  <c r="T882" i="3" l="1"/>
  <c r="AG882" i="3" s="1"/>
  <c r="U881" i="3"/>
  <c r="Y880" i="3"/>
  <c r="AH882" i="3" l="1"/>
  <c r="D882" i="3"/>
  <c r="E882" i="3"/>
  <c r="H882" i="3" s="1"/>
  <c r="F882" i="3" l="1"/>
  <c r="G882" i="3"/>
  <c r="K882" i="3"/>
  <c r="AE882" i="3" s="1"/>
  <c r="I882" i="3" l="1"/>
  <c r="J882" i="3"/>
  <c r="M882" i="3"/>
  <c r="N882" i="3" s="1"/>
  <c r="V882" i="3"/>
  <c r="A883" i="3"/>
  <c r="B883" i="3" s="1"/>
  <c r="W882" i="3" l="1"/>
  <c r="L882" i="3"/>
  <c r="AC883" i="3"/>
  <c r="AA883" i="3"/>
  <c r="Z883" i="3"/>
  <c r="AD883" i="3"/>
  <c r="P883" i="3"/>
  <c r="Q883" i="3" s="1"/>
  <c r="R883" i="3" s="1"/>
  <c r="S883" i="3" s="1"/>
  <c r="T883" i="3" l="1"/>
  <c r="AG883" i="3" s="1"/>
  <c r="U882" i="3"/>
  <c r="Y881" i="3"/>
  <c r="E883" i="3" l="1"/>
  <c r="H883" i="3" s="1"/>
  <c r="K883" i="3" s="1"/>
  <c r="AE883" i="3" s="1"/>
  <c r="D883" i="3"/>
  <c r="AH883" i="3"/>
  <c r="V883" i="3" l="1"/>
  <c r="A884" i="3"/>
  <c r="B884" i="3" s="1"/>
  <c r="F883" i="3"/>
  <c r="G883" i="3"/>
  <c r="I883" i="3" l="1"/>
  <c r="W883" i="3" s="1"/>
  <c r="J883" i="3"/>
  <c r="M883" i="3"/>
  <c r="N883" i="3" s="1"/>
  <c r="AA884" i="3"/>
  <c r="Z884" i="3"/>
  <c r="P884" i="3"/>
  <c r="Q884" i="3" s="1"/>
  <c r="R884" i="3" s="1"/>
  <c r="S884" i="3" s="1"/>
  <c r="AC884" i="3"/>
  <c r="T884" i="3" l="1"/>
  <c r="L883" i="3"/>
  <c r="AG884" i="3" l="1"/>
  <c r="U883" i="3"/>
  <c r="D884" i="3" s="1"/>
  <c r="AH884" i="3"/>
  <c r="Y882" i="3"/>
  <c r="E884" i="3" l="1"/>
  <c r="H884" i="3" s="1"/>
  <c r="K884" i="3" s="1"/>
  <c r="AE884" i="3" s="1"/>
  <c r="G884" i="3"/>
  <c r="F884" i="3" l="1"/>
  <c r="V884" i="3"/>
  <c r="A885" i="3"/>
  <c r="B885" i="3" s="1"/>
  <c r="I884" i="3"/>
  <c r="J884" i="3"/>
  <c r="AD884" i="3" s="1"/>
  <c r="M884" i="3"/>
  <c r="N884" i="3" s="1"/>
  <c r="W884" i="3" l="1"/>
  <c r="L884" i="3"/>
  <c r="P885" i="3"/>
  <c r="Q885" i="3" s="1"/>
  <c r="R885" i="3" s="1"/>
  <c r="S885" i="3" s="1"/>
  <c r="AD885" i="3"/>
  <c r="Z885" i="3"/>
  <c r="AC885" i="3"/>
  <c r="AA885" i="3"/>
  <c r="U884" i="3" l="1"/>
  <c r="Y883" i="3"/>
  <c r="T885" i="3"/>
  <c r="AH885" i="3" s="1"/>
  <c r="D885" i="3" l="1"/>
  <c r="G885" i="3" s="1"/>
  <c r="E885" i="3"/>
  <c r="H885" i="3" s="1"/>
  <c r="K885" i="3" s="1"/>
  <c r="AE885" i="3" s="1"/>
  <c r="AG885" i="3"/>
  <c r="F885" i="3" l="1"/>
  <c r="V885" i="3"/>
  <c r="A886" i="3"/>
  <c r="B886" i="3" s="1"/>
  <c r="I885" i="3"/>
  <c r="J885" i="3"/>
  <c r="M885" i="3"/>
  <c r="N885" i="3" s="1"/>
  <c r="W885" i="3" l="1"/>
  <c r="L885" i="3"/>
  <c r="P886" i="3"/>
  <c r="Q886" i="3" s="1"/>
  <c r="R886" i="3" s="1"/>
  <c r="S886" i="3" s="1"/>
  <c r="AA886" i="3"/>
  <c r="AC886" i="3"/>
  <c r="AD886" i="3"/>
  <c r="Z886" i="3"/>
  <c r="U885" i="3" l="1"/>
  <c r="Y884" i="3"/>
  <c r="T886" i="3"/>
  <c r="E886" i="3" l="1"/>
  <c r="H886" i="3" s="1"/>
  <c r="K886" i="3" s="1"/>
  <c r="AE886" i="3" s="1"/>
  <c r="AH886" i="3"/>
  <c r="AG886" i="3"/>
  <c r="D886" i="3"/>
  <c r="F886" i="3" l="1"/>
  <c r="G886" i="3"/>
  <c r="V886" i="3"/>
  <c r="A887" i="3"/>
  <c r="B887" i="3" s="1"/>
  <c r="I886" i="3" l="1"/>
  <c r="W886" i="3" s="1"/>
  <c r="J886" i="3"/>
  <c r="M886" i="3"/>
  <c r="N886" i="3" s="1"/>
  <c r="P887" i="3"/>
  <c r="Q887" i="3" s="1"/>
  <c r="R887" i="3" s="1"/>
  <c r="S887" i="3" s="1"/>
  <c r="Z887" i="3"/>
  <c r="AD887" i="3"/>
  <c r="AA887" i="3"/>
  <c r="AC887" i="3"/>
  <c r="T887" i="3" l="1"/>
  <c r="L886" i="3"/>
  <c r="AG887" i="3" l="1"/>
  <c r="AH887" i="3"/>
  <c r="U886" i="3"/>
  <c r="D887" i="3" s="1"/>
  <c r="Y885" i="3"/>
  <c r="E887" i="3" l="1"/>
  <c r="H887" i="3" s="1"/>
  <c r="K887" i="3" s="1"/>
  <c r="AE887" i="3" s="1"/>
  <c r="G887" i="3"/>
  <c r="F887" i="3" l="1"/>
  <c r="I887" i="3"/>
  <c r="J887" i="3"/>
  <c r="M887" i="3"/>
  <c r="N887" i="3" s="1"/>
  <c r="V887" i="3"/>
  <c r="A888" i="3"/>
  <c r="B888" i="3" s="1"/>
  <c r="W887" i="3" l="1"/>
  <c r="L887" i="3"/>
  <c r="AC888" i="3"/>
  <c r="AA888" i="3"/>
  <c r="Z888" i="3"/>
  <c r="P888" i="3"/>
  <c r="Q888" i="3" s="1"/>
  <c r="R888" i="3" s="1"/>
  <c r="S888" i="3" s="1"/>
  <c r="T888" i="3" l="1"/>
  <c r="U887" i="3"/>
  <c r="Y886" i="3"/>
  <c r="E888" i="3" l="1"/>
  <c r="H888" i="3" s="1"/>
  <c r="K888" i="3" s="1"/>
  <c r="AE888" i="3" s="1"/>
  <c r="D888" i="3"/>
  <c r="G888" i="3" s="1"/>
  <c r="AG888" i="3"/>
  <c r="AH888" i="3"/>
  <c r="F888" i="3" l="1"/>
  <c r="I888" i="3"/>
  <c r="J888" i="3"/>
  <c r="AD888" i="3" s="1"/>
  <c r="M888" i="3"/>
  <c r="N888" i="3" s="1"/>
  <c r="V888" i="3"/>
  <c r="A889" i="3"/>
  <c r="B889" i="3" s="1"/>
  <c r="W888" i="3" l="1"/>
  <c r="L888" i="3"/>
  <c r="AA889" i="3"/>
  <c r="Z889" i="3"/>
  <c r="AD889" i="3"/>
  <c r="P889" i="3"/>
  <c r="Q889" i="3" s="1"/>
  <c r="R889" i="3" s="1"/>
  <c r="S889" i="3" s="1"/>
  <c r="AC889" i="3"/>
  <c r="T889" i="3" l="1"/>
  <c r="AG889" i="3" s="1"/>
  <c r="U888" i="3"/>
  <c r="Y887" i="3"/>
  <c r="AH889" i="3" l="1"/>
  <c r="D889" i="3"/>
  <c r="G889" i="3" s="1"/>
  <c r="E889" i="3"/>
  <c r="H889" i="3" s="1"/>
  <c r="I889" i="3" l="1"/>
  <c r="J889" i="3"/>
  <c r="M889" i="3"/>
  <c r="N889" i="3" s="1"/>
  <c r="K889" i="3"/>
  <c r="AE889" i="3" s="1"/>
  <c r="F889" i="3"/>
  <c r="L889" i="3" l="1"/>
  <c r="V889" i="3"/>
  <c r="W889" i="3" s="1"/>
  <c r="A890" i="3"/>
  <c r="B890" i="3" s="1"/>
  <c r="AA890" i="3" l="1"/>
  <c r="P890" i="3"/>
  <c r="Q890" i="3" s="1"/>
  <c r="R890" i="3" s="1"/>
  <c r="S890" i="3" s="1"/>
  <c r="Z890" i="3"/>
  <c r="AC890" i="3"/>
  <c r="AD890" i="3"/>
  <c r="U889" i="3"/>
  <c r="Y888" i="3"/>
  <c r="T890" i="3" l="1"/>
  <c r="AG890" i="3" s="1"/>
  <c r="E890" i="3" l="1"/>
  <c r="H890" i="3" s="1"/>
  <c r="K890" i="3" s="1"/>
  <c r="AE890" i="3" s="1"/>
  <c r="AH890" i="3"/>
  <c r="D890" i="3"/>
  <c r="F890" i="3" l="1"/>
  <c r="G890" i="3"/>
  <c r="V890" i="3"/>
  <c r="A891" i="3"/>
  <c r="B891" i="3" s="1"/>
  <c r="AD891" i="3" l="1"/>
  <c r="P891" i="3"/>
  <c r="Q891" i="3" s="1"/>
  <c r="R891" i="3" s="1"/>
  <c r="S891" i="3" s="1"/>
  <c r="AC891" i="3"/>
  <c r="Z891" i="3"/>
  <c r="AA891" i="3"/>
  <c r="I890" i="3"/>
  <c r="W890" i="3" s="1"/>
  <c r="J890" i="3"/>
  <c r="M890" i="3"/>
  <c r="N890" i="3" s="1"/>
  <c r="L890" i="3" l="1"/>
  <c r="T891" i="3"/>
  <c r="U890" i="3" l="1"/>
  <c r="D891" i="3" s="1"/>
  <c r="AH891" i="3"/>
  <c r="AG891" i="3"/>
  <c r="Y889" i="3"/>
  <c r="E891" i="3" l="1"/>
  <c r="H891" i="3" s="1"/>
  <c r="K891" i="3" s="1"/>
  <c r="AE891" i="3" s="1"/>
  <c r="G891" i="3"/>
  <c r="F891" i="3" l="1"/>
  <c r="I891" i="3"/>
  <c r="J891" i="3"/>
  <c r="M891" i="3"/>
  <c r="N891" i="3" s="1"/>
  <c r="V891" i="3"/>
  <c r="A892" i="3"/>
  <c r="B892" i="3" s="1"/>
  <c r="W891" i="3" l="1"/>
  <c r="L891" i="3"/>
  <c r="P892" i="3"/>
  <c r="Q892" i="3" s="1"/>
  <c r="R892" i="3" s="1"/>
  <c r="S892" i="3" s="1"/>
  <c r="AC892" i="3"/>
  <c r="AD892" i="3"/>
  <c r="Z892" i="3"/>
  <c r="AA892" i="3"/>
  <c r="U891" i="3" l="1"/>
  <c r="Y890" i="3"/>
  <c r="T892" i="3"/>
  <c r="AG892" i="3" s="1"/>
  <c r="AH892" i="3" l="1"/>
  <c r="D892" i="3"/>
  <c r="G892" i="3" s="1"/>
  <c r="E892" i="3"/>
  <c r="H892" i="3" s="1"/>
  <c r="F892" i="3" l="1"/>
  <c r="I892" i="3"/>
  <c r="J892" i="3"/>
  <c r="M892" i="3"/>
  <c r="N892" i="3" s="1"/>
  <c r="K892" i="3"/>
  <c r="AE892" i="3" s="1"/>
  <c r="V892" i="3" l="1"/>
  <c r="W892" i="3" s="1"/>
  <c r="A893" i="3"/>
  <c r="B893" i="3" s="1"/>
  <c r="L892" i="3"/>
  <c r="U892" i="3" l="1"/>
  <c r="Y891" i="3"/>
  <c r="AC893" i="3"/>
  <c r="P893" i="3"/>
  <c r="Q893" i="3" s="1"/>
  <c r="R893" i="3" s="1"/>
  <c r="S893" i="3" s="1"/>
  <c r="AD893" i="3"/>
  <c r="AA893" i="3"/>
  <c r="Z893" i="3"/>
  <c r="T893" i="3" l="1"/>
  <c r="E893" i="3" s="1"/>
  <c r="H893" i="3" s="1"/>
  <c r="AH893" i="3" l="1"/>
  <c r="D893" i="3"/>
  <c r="F893" i="3" s="1"/>
  <c r="AG893" i="3"/>
  <c r="K893" i="3"/>
  <c r="AE893" i="3" s="1"/>
  <c r="G893" i="3" l="1"/>
  <c r="M893" i="3" s="1"/>
  <c r="N893" i="3" s="1"/>
  <c r="V893" i="3"/>
  <c r="A894" i="3"/>
  <c r="B894" i="3" s="1"/>
  <c r="I893" i="3" l="1"/>
  <c r="W893" i="3" s="1"/>
  <c r="J893" i="3"/>
  <c r="L893" i="3" s="1"/>
  <c r="Z894" i="3"/>
  <c r="P894" i="3"/>
  <c r="Q894" i="3" s="1"/>
  <c r="R894" i="3" s="1"/>
  <c r="S894" i="3" s="1"/>
  <c r="AC894" i="3"/>
  <c r="AA894" i="3"/>
  <c r="U893" i="3" l="1"/>
  <c r="Y892" i="3"/>
  <c r="T894" i="3"/>
  <c r="AH894" i="3" s="1"/>
  <c r="D894" i="3" l="1"/>
  <c r="G894" i="3" s="1"/>
  <c r="AG894" i="3"/>
  <c r="E894" i="3"/>
  <c r="H894" i="3" s="1"/>
  <c r="F894" i="3" l="1"/>
  <c r="I894" i="3"/>
  <c r="J894" i="3"/>
  <c r="AD894" i="3" s="1"/>
  <c r="M894" i="3"/>
  <c r="N894" i="3" s="1"/>
  <c r="K894" i="3"/>
  <c r="AE894" i="3" s="1"/>
  <c r="V894" i="3" l="1"/>
  <c r="W894" i="3" s="1"/>
  <c r="A895" i="3"/>
  <c r="B895" i="3" s="1"/>
  <c r="L894" i="3"/>
  <c r="U894" i="3" l="1"/>
  <c r="Y893" i="3"/>
  <c r="AD895" i="3"/>
  <c r="P895" i="3"/>
  <c r="Q895" i="3" s="1"/>
  <c r="R895" i="3" s="1"/>
  <c r="S895" i="3" s="1"/>
  <c r="AA895" i="3"/>
  <c r="AC895" i="3"/>
  <c r="Z895" i="3"/>
  <c r="T895" i="3" l="1"/>
  <c r="AH895" i="3" s="1"/>
  <c r="E895" i="3" l="1"/>
  <c r="H895" i="3" s="1"/>
  <c r="K895" i="3" s="1"/>
  <c r="AE895" i="3" s="1"/>
  <c r="D895" i="3"/>
  <c r="AG895" i="3"/>
  <c r="F895" i="3" l="1"/>
  <c r="G895" i="3"/>
  <c r="V895" i="3"/>
  <c r="A896" i="3"/>
  <c r="B896" i="3" s="1"/>
  <c r="I895" i="3" l="1"/>
  <c r="W895" i="3" s="1"/>
  <c r="J895" i="3"/>
  <c r="M895" i="3"/>
  <c r="N895" i="3" s="1"/>
  <c r="Z896" i="3"/>
  <c r="P896" i="3"/>
  <c r="Q896" i="3" s="1"/>
  <c r="R896" i="3" s="1"/>
  <c r="S896" i="3" s="1"/>
  <c r="AC896" i="3"/>
  <c r="AD896" i="3"/>
  <c r="AA896" i="3"/>
  <c r="T896" i="3" l="1"/>
  <c r="L895" i="3"/>
  <c r="AG896" i="3" l="1"/>
  <c r="AH896" i="3"/>
  <c r="U895" i="3"/>
  <c r="E896" i="3" s="1"/>
  <c r="H896" i="3" s="1"/>
  <c r="Y894" i="3"/>
  <c r="D896" i="3" l="1"/>
  <c r="G896" i="3" s="1"/>
  <c r="K896" i="3"/>
  <c r="AE896" i="3" s="1"/>
  <c r="F896" i="3" l="1"/>
  <c r="V896" i="3"/>
  <c r="A897" i="3"/>
  <c r="B897" i="3" s="1"/>
  <c r="I896" i="3"/>
  <c r="J896" i="3"/>
  <c r="M896" i="3"/>
  <c r="N896" i="3" s="1"/>
  <c r="W896" i="3" l="1"/>
  <c r="L896" i="3"/>
  <c r="Z897" i="3"/>
  <c r="AC897" i="3"/>
  <c r="AA897" i="3"/>
  <c r="P897" i="3"/>
  <c r="Q897" i="3" s="1"/>
  <c r="R897" i="3" s="1"/>
  <c r="S897" i="3" s="1"/>
  <c r="AD897" i="3"/>
  <c r="U896" i="3" l="1"/>
  <c r="Y895" i="3"/>
  <c r="T897" i="3"/>
  <c r="D897" i="3" l="1"/>
  <c r="E897" i="3"/>
  <c r="H897" i="3" s="1"/>
  <c r="AH897" i="3"/>
  <c r="AG897" i="3"/>
  <c r="F897" i="3" l="1"/>
  <c r="G897" i="3"/>
  <c r="M897" i="3" s="1"/>
  <c r="N897" i="3" s="1"/>
  <c r="K897" i="3"/>
  <c r="AE897" i="3" s="1"/>
  <c r="I897" i="3" l="1"/>
  <c r="J897" i="3"/>
  <c r="L897" i="3" s="1"/>
  <c r="V897" i="3"/>
  <c r="A898" i="3"/>
  <c r="B898" i="3" s="1"/>
  <c r="W897" i="3" l="1"/>
  <c r="AA898" i="3"/>
  <c r="P898" i="3"/>
  <c r="Q898" i="3" s="1"/>
  <c r="R898" i="3" s="1"/>
  <c r="S898" i="3" s="1"/>
  <c r="Z898" i="3"/>
  <c r="AC898" i="3"/>
  <c r="U897" i="3"/>
  <c r="Y896" i="3"/>
  <c r="T898" i="3" l="1"/>
  <c r="D898" i="3" s="1"/>
  <c r="G898" i="3" l="1"/>
  <c r="AG898" i="3"/>
  <c r="E898" i="3"/>
  <c r="H898" i="3" s="1"/>
  <c r="AH898" i="3"/>
  <c r="F898" i="3" l="1"/>
  <c r="I898" i="3"/>
  <c r="J898" i="3"/>
  <c r="AD898" i="3" s="1"/>
  <c r="M898" i="3"/>
  <c r="N898" i="3" s="1"/>
  <c r="K898" i="3"/>
  <c r="AE898" i="3" s="1"/>
  <c r="V898" i="3" l="1"/>
  <c r="W898" i="3" s="1"/>
  <c r="A899" i="3"/>
  <c r="B899" i="3" s="1"/>
  <c r="L898" i="3"/>
  <c r="U898" i="3" l="1"/>
  <c r="Y897" i="3"/>
  <c r="AC899" i="3"/>
  <c r="Z899" i="3"/>
  <c r="P899" i="3"/>
  <c r="Q899" i="3" s="1"/>
  <c r="R899" i="3" s="1"/>
  <c r="S899" i="3" s="1"/>
  <c r="AD899" i="3"/>
  <c r="AA899" i="3"/>
  <c r="T899" i="3" l="1"/>
  <c r="E899" i="3" s="1"/>
  <c r="H899" i="3" s="1"/>
  <c r="D899" i="3" l="1"/>
  <c r="G899" i="3" s="1"/>
  <c r="AG899" i="3"/>
  <c r="AH899" i="3"/>
  <c r="K899" i="3"/>
  <c r="AE899" i="3" s="1"/>
  <c r="F899" i="3" l="1"/>
  <c r="I899" i="3"/>
  <c r="J899" i="3"/>
  <c r="M899" i="3"/>
  <c r="N899" i="3" s="1"/>
  <c r="V899" i="3"/>
  <c r="A900" i="3"/>
  <c r="B900" i="3" s="1"/>
  <c r="W899" i="3" l="1"/>
  <c r="L899" i="3"/>
  <c r="P900" i="3"/>
  <c r="Q900" i="3" s="1"/>
  <c r="R900" i="3" s="1"/>
  <c r="S900" i="3" s="1"/>
  <c r="AC900" i="3"/>
  <c r="Z900" i="3"/>
  <c r="AD900" i="3"/>
  <c r="AA900" i="3"/>
  <c r="U899" i="3" l="1"/>
  <c r="Y898" i="3"/>
  <c r="T900" i="3"/>
  <c r="D900" i="3" l="1"/>
  <c r="G900" i="3" s="1"/>
  <c r="AH900" i="3"/>
  <c r="AG900" i="3"/>
  <c r="E900" i="3"/>
  <c r="H900" i="3" s="1"/>
  <c r="K900" i="3" s="1"/>
  <c r="AE900" i="3" s="1"/>
  <c r="F900" i="3" l="1"/>
  <c r="V900" i="3"/>
  <c r="A901" i="3"/>
  <c r="B901" i="3" s="1"/>
  <c r="I900" i="3"/>
  <c r="J900" i="3"/>
  <c r="M900" i="3"/>
  <c r="N900" i="3" s="1"/>
  <c r="L900" i="3" l="1"/>
  <c r="W900" i="3"/>
  <c r="AD901" i="3"/>
  <c r="P901" i="3"/>
  <c r="Q901" i="3" s="1"/>
  <c r="R901" i="3" s="1"/>
  <c r="S901" i="3" s="1"/>
  <c r="AA901" i="3"/>
  <c r="AC901" i="3"/>
  <c r="Z901" i="3"/>
  <c r="U900" i="3" l="1"/>
  <c r="Y899" i="3"/>
  <c r="T901" i="3"/>
  <c r="E901" i="3" l="1"/>
  <c r="H901" i="3" s="1"/>
  <c r="K901" i="3" s="1"/>
  <c r="AE901" i="3" s="1"/>
  <c r="AG901" i="3"/>
  <c r="D901" i="3"/>
  <c r="AH901" i="3"/>
  <c r="F901" i="3" l="1"/>
  <c r="G901" i="3"/>
  <c r="V901" i="3"/>
  <c r="A902" i="3"/>
  <c r="B902" i="3" s="1"/>
  <c r="AD902" i="3" l="1"/>
  <c r="AC902" i="3"/>
  <c r="P902" i="3"/>
  <c r="Q902" i="3" s="1"/>
  <c r="R902" i="3" s="1"/>
  <c r="S902" i="3" s="1"/>
  <c r="Z902" i="3"/>
  <c r="AA902" i="3"/>
  <c r="I901" i="3"/>
  <c r="W901" i="3" s="1"/>
  <c r="J901" i="3"/>
  <c r="M901" i="3"/>
  <c r="N901" i="3" s="1"/>
  <c r="T902" i="3" l="1"/>
  <c r="L901" i="3"/>
  <c r="U901" i="3" l="1"/>
  <c r="E902" i="3" s="1"/>
  <c r="H902" i="3" s="1"/>
  <c r="AH902" i="3"/>
  <c r="AG902" i="3"/>
  <c r="Y900" i="3"/>
  <c r="D902" i="3" l="1"/>
  <c r="F902" i="3" s="1"/>
  <c r="K902" i="3"/>
  <c r="AE902" i="3" s="1"/>
  <c r="G902" i="3" l="1"/>
  <c r="J902" i="3" s="1"/>
  <c r="V902" i="3"/>
  <c r="A903" i="3"/>
  <c r="B903" i="3" s="1"/>
  <c r="M902" i="3" l="1"/>
  <c r="N902" i="3" s="1"/>
  <c r="I902" i="3"/>
  <c r="W902" i="3" s="1"/>
  <c r="L902" i="3"/>
  <c r="Z903" i="3"/>
  <c r="AC903" i="3"/>
  <c r="P903" i="3"/>
  <c r="Q903" i="3" s="1"/>
  <c r="R903" i="3" s="1"/>
  <c r="S903" i="3" s="1"/>
  <c r="AD903" i="3"/>
  <c r="AA903" i="3"/>
  <c r="T903" i="3" l="1"/>
  <c r="AH903" i="3" s="1"/>
  <c r="U902" i="3"/>
  <c r="Y901" i="3"/>
  <c r="D903" i="3" l="1"/>
  <c r="E903" i="3"/>
  <c r="H903" i="3" s="1"/>
  <c r="AG903" i="3"/>
  <c r="K903" i="3" l="1"/>
  <c r="AE903" i="3" s="1"/>
  <c r="F903" i="3"/>
  <c r="G903" i="3"/>
  <c r="I903" i="3" l="1"/>
  <c r="J903" i="3"/>
  <c r="M903" i="3"/>
  <c r="N903" i="3" s="1"/>
  <c r="V903" i="3"/>
  <c r="A904" i="3"/>
  <c r="B904" i="3" s="1"/>
  <c r="W903" i="3" l="1"/>
  <c r="L903" i="3"/>
  <c r="AC904" i="3"/>
  <c r="Z904" i="3"/>
  <c r="P904" i="3"/>
  <c r="Q904" i="3" s="1"/>
  <c r="R904" i="3" s="1"/>
  <c r="S904" i="3" s="1"/>
  <c r="AA904" i="3"/>
  <c r="U903" i="3" l="1"/>
  <c r="Y902" i="3"/>
  <c r="T904" i="3"/>
  <c r="AH904" i="3" s="1"/>
  <c r="E904" i="3" l="1"/>
  <c r="H904" i="3" s="1"/>
  <c r="AG904" i="3"/>
  <c r="D904" i="3"/>
  <c r="K904" i="3" l="1"/>
  <c r="AE904" i="3" s="1"/>
  <c r="F904" i="3"/>
  <c r="G904" i="3"/>
  <c r="V904" i="3" l="1"/>
  <c r="A905" i="3"/>
  <c r="B905" i="3" s="1"/>
  <c r="I904" i="3"/>
  <c r="J904" i="3"/>
  <c r="AD904" i="3" s="1"/>
  <c r="M904" i="3"/>
  <c r="N904" i="3" s="1"/>
  <c r="L904" i="3" l="1"/>
  <c r="W904" i="3"/>
  <c r="AA905" i="3"/>
  <c r="Z905" i="3"/>
  <c r="AD905" i="3"/>
  <c r="AC905" i="3"/>
  <c r="P905" i="3"/>
  <c r="Q905" i="3" s="1"/>
  <c r="R905" i="3" s="1"/>
  <c r="S905" i="3" s="1"/>
  <c r="U904" i="3" l="1"/>
  <c r="Y903" i="3"/>
  <c r="T905" i="3"/>
  <c r="D905" i="3" l="1"/>
  <c r="G905" i="3" s="1"/>
  <c r="E905" i="3"/>
  <c r="H905" i="3" s="1"/>
  <c r="K905" i="3" s="1"/>
  <c r="AE905" i="3" s="1"/>
  <c r="AG905" i="3"/>
  <c r="AH905" i="3"/>
  <c r="F905" i="3" l="1"/>
  <c r="I905" i="3"/>
  <c r="J905" i="3"/>
  <c r="M905" i="3"/>
  <c r="N905" i="3" s="1"/>
  <c r="V905" i="3"/>
  <c r="A906" i="3"/>
  <c r="B906" i="3" s="1"/>
  <c r="L905" i="3" l="1"/>
  <c r="W905" i="3"/>
  <c r="AC906" i="3"/>
  <c r="P906" i="3"/>
  <c r="Q906" i="3" s="1"/>
  <c r="R906" i="3" s="1"/>
  <c r="S906" i="3" s="1"/>
  <c r="Z906" i="3"/>
  <c r="AD906" i="3"/>
  <c r="AA906" i="3"/>
  <c r="T906" i="3" l="1"/>
  <c r="U905" i="3"/>
  <c r="Y904" i="3"/>
  <c r="D906" i="3" l="1"/>
  <c r="G906" i="3" s="1"/>
  <c r="AG906" i="3"/>
  <c r="E906" i="3"/>
  <c r="H906" i="3" s="1"/>
  <c r="AH906" i="3"/>
  <c r="F906" i="3" l="1"/>
  <c r="I906" i="3"/>
  <c r="J906" i="3"/>
  <c r="M906" i="3"/>
  <c r="N906" i="3" s="1"/>
  <c r="K906" i="3"/>
  <c r="AE906" i="3" s="1"/>
  <c r="V906" i="3" l="1"/>
  <c r="W906" i="3" s="1"/>
  <c r="A907" i="3"/>
  <c r="B907" i="3" s="1"/>
  <c r="L906" i="3"/>
  <c r="U906" i="3" l="1"/>
  <c r="Y905" i="3"/>
  <c r="Z907" i="3"/>
  <c r="AC907" i="3"/>
  <c r="AA907" i="3"/>
  <c r="P907" i="3"/>
  <c r="Q907" i="3" s="1"/>
  <c r="R907" i="3" s="1"/>
  <c r="S907" i="3" s="1"/>
  <c r="AD907" i="3"/>
  <c r="T907" i="3" l="1"/>
  <c r="AG907" i="3" s="1"/>
  <c r="E907" i="3" l="1"/>
  <c r="H907" i="3" s="1"/>
  <c r="K907" i="3" s="1"/>
  <c r="AE907" i="3" s="1"/>
  <c r="D907" i="3"/>
  <c r="AH907" i="3"/>
  <c r="V907" i="3" l="1"/>
  <c r="A908" i="3"/>
  <c r="B908" i="3" s="1"/>
  <c r="F907" i="3"/>
  <c r="G907" i="3"/>
  <c r="I907" i="3" l="1"/>
  <c r="W907" i="3" s="1"/>
  <c r="J907" i="3"/>
  <c r="M907" i="3"/>
  <c r="N907" i="3" s="1"/>
  <c r="P908" i="3"/>
  <c r="Q908" i="3" s="1"/>
  <c r="R908" i="3" s="1"/>
  <c r="S908" i="3" s="1"/>
  <c r="AA908" i="3"/>
  <c r="Z908" i="3"/>
  <c r="AC908" i="3"/>
  <c r="T908" i="3" l="1"/>
  <c r="L907" i="3"/>
  <c r="AG908" i="3" l="1"/>
  <c r="AH908" i="3"/>
  <c r="U907" i="3"/>
  <c r="E908" i="3" s="1"/>
  <c r="H908" i="3" s="1"/>
  <c r="Y906" i="3"/>
  <c r="D908" i="3" l="1"/>
  <c r="G908" i="3" s="1"/>
  <c r="K908" i="3"/>
  <c r="AE908" i="3" s="1"/>
  <c r="F908" i="3" l="1"/>
  <c r="I908" i="3"/>
  <c r="J908" i="3"/>
  <c r="AD908" i="3" s="1"/>
  <c r="M908" i="3"/>
  <c r="N908" i="3" s="1"/>
  <c r="V908" i="3"/>
  <c r="A909" i="3"/>
  <c r="B909" i="3" s="1"/>
  <c r="W908" i="3" l="1"/>
  <c r="L908" i="3"/>
  <c r="AA909" i="3"/>
  <c r="Z909" i="3"/>
  <c r="P909" i="3"/>
  <c r="Q909" i="3" s="1"/>
  <c r="R909" i="3" s="1"/>
  <c r="S909" i="3" s="1"/>
  <c r="AD909" i="3"/>
  <c r="AC909" i="3"/>
  <c r="U908" i="3" l="1"/>
  <c r="Y907" i="3"/>
  <c r="T909" i="3"/>
  <c r="AH909" i="3" s="1"/>
  <c r="AG909" i="3" l="1"/>
  <c r="D909" i="3"/>
  <c r="G909" i="3" s="1"/>
  <c r="E909" i="3"/>
  <c r="H909" i="3" s="1"/>
  <c r="K909" i="3" s="1"/>
  <c r="AE909" i="3" s="1"/>
  <c r="F909" i="3" l="1"/>
  <c r="V909" i="3"/>
  <c r="A910" i="3"/>
  <c r="B910" i="3" s="1"/>
  <c r="I909" i="3"/>
  <c r="J909" i="3"/>
  <c r="M909" i="3"/>
  <c r="N909" i="3" s="1"/>
  <c r="W909" i="3" l="1"/>
  <c r="L909" i="3"/>
  <c r="AA910" i="3"/>
  <c r="AC910" i="3"/>
  <c r="P910" i="3"/>
  <c r="Q910" i="3" s="1"/>
  <c r="R910" i="3" s="1"/>
  <c r="S910" i="3" s="1"/>
  <c r="AD910" i="3"/>
  <c r="Z910" i="3"/>
  <c r="U909" i="3" l="1"/>
  <c r="Y908" i="3"/>
  <c r="T910" i="3"/>
  <c r="AH910" i="3" s="1"/>
  <c r="D910" i="3" l="1"/>
  <c r="G910" i="3" s="1"/>
  <c r="AG910" i="3"/>
  <c r="E910" i="3"/>
  <c r="H910" i="3" s="1"/>
  <c r="F910" i="3" l="1"/>
  <c r="I910" i="3"/>
  <c r="J910" i="3"/>
  <c r="M910" i="3"/>
  <c r="N910" i="3" s="1"/>
  <c r="K910" i="3"/>
  <c r="AE910" i="3" s="1"/>
  <c r="V910" i="3" l="1"/>
  <c r="W910" i="3" s="1"/>
  <c r="A911" i="3"/>
  <c r="B911" i="3" s="1"/>
  <c r="L910" i="3"/>
  <c r="U910" i="3" l="1"/>
  <c r="Y909" i="3"/>
  <c r="AD911" i="3"/>
  <c r="AA911" i="3"/>
  <c r="P911" i="3"/>
  <c r="Q911" i="3" s="1"/>
  <c r="R911" i="3" s="1"/>
  <c r="S911" i="3" s="1"/>
  <c r="Z911" i="3"/>
  <c r="AC911" i="3"/>
  <c r="T911" i="3" l="1"/>
  <c r="E911" i="3" s="1"/>
  <c r="H911" i="3" s="1"/>
  <c r="AH911" i="3" l="1"/>
  <c r="D911" i="3"/>
  <c r="G911" i="3" s="1"/>
  <c r="AG911" i="3"/>
  <c r="K911" i="3"/>
  <c r="AE911" i="3" s="1"/>
  <c r="F911" i="3" l="1"/>
  <c r="I911" i="3"/>
  <c r="J911" i="3"/>
  <c r="M911" i="3"/>
  <c r="N911" i="3" s="1"/>
  <c r="V911" i="3"/>
  <c r="A912" i="3"/>
  <c r="B912" i="3" s="1"/>
  <c r="W911" i="3" l="1"/>
  <c r="L911" i="3"/>
  <c r="AA912" i="3"/>
  <c r="AD912" i="3"/>
  <c r="AC912" i="3"/>
  <c r="P912" i="3"/>
  <c r="Q912" i="3" s="1"/>
  <c r="R912" i="3" s="1"/>
  <c r="S912" i="3" s="1"/>
  <c r="Z912" i="3"/>
  <c r="T912" i="3" l="1"/>
  <c r="U911" i="3"/>
  <c r="Y910" i="3"/>
  <c r="D912" i="3" l="1"/>
  <c r="G912" i="3" s="1"/>
  <c r="AG912" i="3"/>
  <c r="AH912" i="3"/>
  <c r="E912" i="3"/>
  <c r="H912" i="3" s="1"/>
  <c r="I912" i="3" l="1"/>
  <c r="J912" i="3"/>
  <c r="M912" i="3"/>
  <c r="N912" i="3" s="1"/>
  <c r="F912" i="3"/>
  <c r="K912" i="3"/>
  <c r="AE912" i="3" s="1"/>
  <c r="L912" i="3" l="1"/>
  <c r="V912" i="3"/>
  <c r="W912" i="3" s="1"/>
  <c r="A913" i="3"/>
  <c r="B913" i="3" s="1"/>
  <c r="U912" i="3" l="1"/>
  <c r="Y911" i="3"/>
  <c r="Z913" i="3"/>
  <c r="AD913" i="3"/>
  <c r="P913" i="3"/>
  <c r="Q913" i="3" s="1"/>
  <c r="R913" i="3" s="1"/>
  <c r="S913" i="3" s="1"/>
  <c r="AA913" i="3"/>
  <c r="AC913" i="3"/>
  <c r="T913" i="3" l="1"/>
  <c r="AH913" i="3" s="1"/>
  <c r="D913" i="3" l="1"/>
  <c r="G913" i="3" s="1"/>
  <c r="AG913" i="3"/>
  <c r="E913" i="3"/>
  <c r="H913" i="3" s="1"/>
  <c r="F913" i="3" l="1"/>
  <c r="I913" i="3"/>
  <c r="J913" i="3"/>
  <c r="M913" i="3"/>
  <c r="N913" i="3" s="1"/>
  <c r="K913" i="3"/>
  <c r="AE913" i="3" s="1"/>
  <c r="V913" i="3" l="1"/>
  <c r="W913" i="3" s="1"/>
  <c r="A914" i="3"/>
  <c r="B914" i="3" s="1"/>
  <c r="L913" i="3"/>
  <c r="U913" i="3" l="1"/>
  <c r="Y912" i="3"/>
  <c r="AA914" i="3"/>
  <c r="Z914" i="3"/>
  <c r="AC914" i="3"/>
  <c r="P914" i="3"/>
  <c r="Q914" i="3" s="1"/>
  <c r="R914" i="3" s="1"/>
  <c r="S914" i="3" s="1"/>
  <c r="T914" i="3" l="1"/>
  <c r="D914" i="3" s="1"/>
  <c r="E914" i="3" l="1"/>
  <c r="H914" i="3" s="1"/>
  <c r="K914" i="3" s="1"/>
  <c r="AE914" i="3" s="1"/>
  <c r="G914" i="3"/>
  <c r="AH914" i="3"/>
  <c r="AG914" i="3"/>
  <c r="F914" i="3" l="1"/>
  <c r="I914" i="3"/>
  <c r="J914" i="3"/>
  <c r="AD914" i="3" s="1"/>
  <c r="M914" i="3"/>
  <c r="N914" i="3" s="1"/>
  <c r="V914" i="3"/>
  <c r="A915" i="3"/>
  <c r="B915" i="3" s="1"/>
  <c r="W914" i="3" l="1"/>
  <c r="L914" i="3"/>
  <c r="P915" i="3"/>
  <c r="Q915" i="3" s="1"/>
  <c r="R915" i="3" s="1"/>
  <c r="S915" i="3" s="1"/>
  <c r="AA915" i="3"/>
  <c r="AC915" i="3"/>
  <c r="Z915" i="3"/>
  <c r="AD915" i="3"/>
  <c r="U914" i="3" l="1"/>
  <c r="Y913" i="3"/>
  <c r="T915" i="3"/>
  <c r="AH915" i="3" s="1"/>
  <c r="E915" i="3" l="1"/>
  <c r="H915" i="3" s="1"/>
  <c r="D915" i="3"/>
  <c r="AG915" i="3"/>
  <c r="K915" i="3" l="1"/>
  <c r="AE915" i="3" s="1"/>
  <c r="F915" i="3"/>
  <c r="G915" i="3"/>
  <c r="I915" i="3" l="1"/>
  <c r="J915" i="3"/>
  <c r="M915" i="3"/>
  <c r="N915" i="3" s="1"/>
  <c r="V915" i="3"/>
  <c r="A916" i="3"/>
  <c r="B916" i="3" s="1"/>
  <c r="W915" i="3" l="1"/>
  <c r="L915" i="3"/>
  <c r="AC916" i="3"/>
  <c r="AA916" i="3"/>
  <c r="Z916" i="3"/>
  <c r="P916" i="3"/>
  <c r="Q916" i="3" s="1"/>
  <c r="R916" i="3" s="1"/>
  <c r="S916" i="3" s="1"/>
  <c r="AD916" i="3"/>
  <c r="U915" i="3" l="1"/>
  <c r="Y914" i="3"/>
  <c r="T916" i="3"/>
  <c r="D916" i="3" l="1"/>
  <c r="G916" i="3" s="1"/>
  <c r="AG916" i="3"/>
  <c r="AH916" i="3"/>
  <c r="E916" i="3"/>
  <c r="H916" i="3" s="1"/>
  <c r="K916" i="3" l="1"/>
  <c r="AE916" i="3" s="1"/>
  <c r="I916" i="3"/>
  <c r="J916" i="3"/>
  <c r="M916" i="3"/>
  <c r="N916" i="3" s="1"/>
  <c r="F916" i="3"/>
  <c r="L916" i="3" l="1"/>
  <c r="V916" i="3"/>
  <c r="W916" i="3" s="1"/>
  <c r="A917" i="3"/>
  <c r="B917" i="3" s="1"/>
  <c r="U916" i="3" l="1"/>
  <c r="Y915" i="3"/>
  <c r="AD917" i="3"/>
  <c r="AC917" i="3"/>
  <c r="Z917" i="3"/>
  <c r="P917" i="3"/>
  <c r="Q917" i="3" s="1"/>
  <c r="R917" i="3" s="1"/>
  <c r="S917" i="3" s="1"/>
  <c r="AA917" i="3"/>
  <c r="T917" i="3" l="1"/>
  <c r="AG917" i="3" s="1"/>
  <c r="E917" i="3" l="1"/>
  <c r="H917" i="3" s="1"/>
  <c r="K917" i="3" s="1"/>
  <c r="AE917" i="3" s="1"/>
  <c r="AH917" i="3"/>
  <c r="D917" i="3"/>
  <c r="F917" i="3" l="1"/>
  <c r="G917" i="3"/>
  <c r="J917" i="3" s="1"/>
  <c r="V917" i="3"/>
  <c r="A918" i="3"/>
  <c r="B918" i="3" s="1"/>
  <c r="M917" i="3" l="1"/>
  <c r="N917" i="3" s="1"/>
  <c r="I917" i="3"/>
  <c r="W917" i="3" s="1"/>
  <c r="L917" i="3"/>
  <c r="AC918" i="3"/>
  <c r="AA918" i="3"/>
  <c r="Z918" i="3"/>
  <c r="P918" i="3"/>
  <c r="Q918" i="3" s="1"/>
  <c r="R918" i="3" s="1"/>
  <c r="S918" i="3" s="1"/>
  <c r="T918" i="3" l="1"/>
  <c r="U917" i="3"/>
  <c r="Y916" i="3"/>
  <c r="E918" i="3" l="1"/>
  <c r="H918" i="3" s="1"/>
  <c r="K918" i="3" s="1"/>
  <c r="AE918" i="3" s="1"/>
  <c r="AH918" i="3"/>
  <c r="D918" i="3"/>
  <c r="G918" i="3" s="1"/>
  <c r="AG918" i="3"/>
  <c r="F918" i="3" l="1"/>
  <c r="I918" i="3"/>
  <c r="J918" i="3"/>
  <c r="AD918" i="3" s="1"/>
  <c r="M918" i="3"/>
  <c r="N918" i="3" s="1"/>
  <c r="V918" i="3"/>
  <c r="A919" i="3"/>
  <c r="B919" i="3" s="1"/>
  <c r="L918" i="3" l="1"/>
  <c r="W918" i="3"/>
  <c r="P919" i="3"/>
  <c r="Q919" i="3" s="1"/>
  <c r="R919" i="3" s="1"/>
  <c r="S919" i="3" s="1"/>
  <c r="Z919" i="3"/>
  <c r="AC919" i="3"/>
  <c r="AD919" i="3"/>
  <c r="AA919" i="3"/>
  <c r="U918" i="3" l="1"/>
  <c r="Y917" i="3"/>
  <c r="T919" i="3"/>
  <c r="AG919" i="3" s="1"/>
  <c r="E919" i="3" l="1"/>
  <c r="H919" i="3" s="1"/>
  <c r="K919" i="3" s="1"/>
  <c r="AE919" i="3" s="1"/>
  <c r="AH919" i="3"/>
  <c r="D919" i="3"/>
  <c r="V919" i="3" l="1"/>
  <c r="A920" i="3"/>
  <c r="B920" i="3" s="1"/>
  <c r="F919" i="3"/>
  <c r="G919" i="3"/>
  <c r="I919" i="3" l="1"/>
  <c r="W919" i="3" s="1"/>
  <c r="J919" i="3"/>
  <c r="M919" i="3"/>
  <c r="N919" i="3" s="1"/>
  <c r="AD920" i="3"/>
  <c r="AC920" i="3"/>
  <c r="P920" i="3"/>
  <c r="Q920" i="3" s="1"/>
  <c r="R920" i="3" s="1"/>
  <c r="S920" i="3" s="1"/>
  <c r="AA920" i="3"/>
  <c r="Z920" i="3"/>
  <c r="T920" i="3" l="1"/>
  <c r="L919" i="3"/>
  <c r="AH920" i="3" l="1"/>
  <c r="U919" i="3"/>
  <c r="E920" i="3" s="1"/>
  <c r="H920" i="3" s="1"/>
  <c r="AG920" i="3"/>
  <c r="Y918" i="3"/>
  <c r="D920" i="3" l="1"/>
  <c r="G920" i="3" s="1"/>
  <c r="K920" i="3"/>
  <c r="AE920" i="3" s="1"/>
  <c r="F920" i="3" l="1"/>
  <c r="V920" i="3"/>
  <c r="A921" i="3"/>
  <c r="B921" i="3" s="1"/>
  <c r="I920" i="3"/>
  <c r="J920" i="3"/>
  <c r="M920" i="3"/>
  <c r="N920" i="3" s="1"/>
  <c r="W920" i="3" l="1"/>
  <c r="L920" i="3"/>
  <c r="AA921" i="3"/>
  <c r="Z921" i="3"/>
  <c r="P921" i="3"/>
  <c r="Q921" i="3" s="1"/>
  <c r="R921" i="3" s="1"/>
  <c r="S921" i="3" s="1"/>
  <c r="AD921" i="3"/>
  <c r="AC921" i="3"/>
  <c r="U920" i="3" l="1"/>
  <c r="Y919" i="3"/>
  <c r="T921" i="3"/>
  <c r="AG921" i="3" s="1"/>
  <c r="E921" i="3" l="1"/>
  <c r="H921" i="3" s="1"/>
  <c r="K921" i="3" s="1"/>
  <c r="AE921" i="3" s="1"/>
  <c r="AH921" i="3"/>
  <c r="D921" i="3"/>
  <c r="G921" i="3" s="1"/>
  <c r="F921" i="3" l="1"/>
  <c r="I921" i="3"/>
  <c r="J921" i="3"/>
  <c r="M921" i="3"/>
  <c r="N921" i="3" s="1"/>
  <c r="V921" i="3"/>
  <c r="A922" i="3"/>
  <c r="B922" i="3" s="1"/>
  <c r="W921" i="3" l="1"/>
  <c r="L921" i="3"/>
  <c r="AC922" i="3"/>
  <c r="AA922" i="3"/>
  <c r="Z922" i="3"/>
  <c r="P922" i="3"/>
  <c r="Q922" i="3" s="1"/>
  <c r="R922" i="3" s="1"/>
  <c r="S922" i="3" s="1"/>
  <c r="AD922" i="3"/>
  <c r="U921" i="3" l="1"/>
  <c r="Y920" i="3"/>
  <c r="T922" i="3"/>
  <c r="E922" i="3" l="1"/>
  <c r="H922" i="3" s="1"/>
  <c r="K922" i="3" s="1"/>
  <c r="AE922" i="3" s="1"/>
  <c r="AH922" i="3"/>
  <c r="D922" i="3"/>
  <c r="AG922" i="3"/>
  <c r="F922" i="3" l="1"/>
  <c r="G922" i="3"/>
  <c r="V922" i="3"/>
  <c r="A923" i="3"/>
  <c r="B923" i="3" s="1"/>
  <c r="AD923" i="3" l="1"/>
  <c r="AC923" i="3"/>
  <c r="Z923" i="3"/>
  <c r="AA923" i="3"/>
  <c r="P923" i="3"/>
  <c r="Q923" i="3" s="1"/>
  <c r="R923" i="3" s="1"/>
  <c r="S923" i="3" s="1"/>
  <c r="I922" i="3"/>
  <c r="W922" i="3" s="1"/>
  <c r="J922" i="3"/>
  <c r="M922" i="3"/>
  <c r="N922" i="3" s="1"/>
  <c r="L922" i="3" l="1"/>
  <c r="T923" i="3"/>
  <c r="AH923" i="3" l="1"/>
  <c r="AG923" i="3"/>
  <c r="U922" i="3"/>
  <c r="D923" i="3" s="1"/>
  <c r="Y921" i="3"/>
  <c r="E923" i="3" l="1"/>
  <c r="H923" i="3" s="1"/>
  <c r="K923" i="3" s="1"/>
  <c r="AE923" i="3" s="1"/>
  <c r="G923" i="3"/>
  <c r="F923" i="3" l="1"/>
  <c r="V923" i="3"/>
  <c r="A924" i="3"/>
  <c r="B924" i="3" s="1"/>
  <c r="I923" i="3"/>
  <c r="J923" i="3"/>
  <c r="M923" i="3"/>
  <c r="N923" i="3" s="1"/>
  <c r="W923" i="3" l="1"/>
  <c r="L923" i="3"/>
  <c r="Z924" i="3"/>
  <c r="AC924" i="3"/>
  <c r="P924" i="3"/>
  <c r="Q924" i="3" s="1"/>
  <c r="R924" i="3" s="1"/>
  <c r="S924" i="3" s="1"/>
  <c r="AA924" i="3"/>
  <c r="U923" i="3" l="1"/>
  <c r="Y922" i="3"/>
  <c r="T924" i="3"/>
  <c r="AH924" i="3" s="1"/>
  <c r="D924" i="3" l="1"/>
  <c r="G924" i="3" s="1"/>
  <c r="AG924" i="3"/>
  <c r="E924" i="3"/>
  <c r="H924" i="3" s="1"/>
  <c r="K924" i="3" s="1"/>
  <c r="AE924" i="3" s="1"/>
  <c r="F924" i="3" l="1"/>
  <c r="I924" i="3"/>
  <c r="J924" i="3"/>
  <c r="AD924" i="3" s="1"/>
  <c r="M924" i="3"/>
  <c r="N924" i="3" s="1"/>
  <c r="V924" i="3"/>
  <c r="A925" i="3"/>
  <c r="B925" i="3" s="1"/>
  <c r="W924" i="3" l="1"/>
  <c r="L924" i="3"/>
  <c r="Z925" i="3"/>
  <c r="AA925" i="3"/>
  <c r="AD925" i="3"/>
  <c r="AC925" i="3"/>
  <c r="P925" i="3"/>
  <c r="Q925" i="3" s="1"/>
  <c r="R925" i="3" s="1"/>
  <c r="S925" i="3" s="1"/>
  <c r="T925" i="3" l="1"/>
  <c r="AG925" i="3" s="1"/>
  <c r="U924" i="3"/>
  <c r="Y923" i="3"/>
  <c r="AH925" i="3" l="1"/>
  <c r="E925" i="3"/>
  <c r="H925" i="3" s="1"/>
  <c r="D925" i="3"/>
  <c r="K925" i="3" l="1"/>
  <c r="AE925" i="3" s="1"/>
  <c r="F925" i="3"/>
  <c r="G925" i="3"/>
  <c r="I925" i="3" l="1"/>
  <c r="J925" i="3"/>
  <c r="M925" i="3"/>
  <c r="N925" i="3" s="1"/>
  <c r="V925" i="3"/>
  <c r="A926" i="3"/>
  <c r="B926" i="3" s="1"/>
  <c r="W925" i="3" l="1"/>
  <c r="L925" i="3"/>
  <c r="AC926" i="3"/>
  <c r="AA926" i="3"/>
  <c r="AD926" i="3"/>
  <c r="P926" i="3"/>
  <c r="Q926" i="3" s="1"/>
  <c r="R926" i="3" s="1"/>
  <c r="S926" i="3" s="1"/>
  <c r="Z926" i="3"/>
  <c r="U925" i="3" l="1"/>
  <c r="Y924" i="3"/>
  <c r="T926" i="3"/>
  <c r="AG926" i="3" s="1"/>
  <c r="E926" i="3" l="1"/>
  <c r="H926" i="3" s="1"/>
  <c r="K926" i="3" s="1"/>
  <c r="AE926" i="3" s="1"/>
  <c r="AH926" i="3"/>
  <c r="D926" i="3"/>
  <c r="V926" i="3" l="1"/>
  <c r="A927" i="3"/>
  <c r="B927" i="3" s="1"/>
  <c r="F926" i="3"/>
  <c r="G926" i="3"/>
  <c r="I926" i="3" l="1"/>
  <c r="W926" i="3" s="1"/>
  <c r="J926" i="3"/>
  <c r="M926" i="3"/>
  <c r="N926" i="3" s="1"/>
  <c r="AD927" i="3"/>
  <c r="Z927" i="3"/>
  <c r="P927" i="3"/>
  <c r="Q927" i="3" s="1"/>
  <c r="R927" i="3" s="1"/>
  <c r="S927" i="3" s="1"/>
  <c r="AA927" i="3"/>
  <c r="AC927" i="3"/>
  <c r="T927" i="3" l="1"/>
  <c r="L926" i="3"/>
  <c r="U926" i="3" l="1"/>
  <c r="D927" i="3" s="1"/>
  <c r="AG927" i="3"/>
  <c r="AH927" i="3"/>
  <c r="Y925" i="3"/>
  <c r="G927" i="3" l="1"/>
  <c r="E927" i="3"/>
  <c r="H927" i="3" s="1"/>
  <c r="F927" i="3" l="1"/>
  <c r="K927" i="3"/>
  <c r="AE927" i="3" s="1"/>
  <c r="I927" i="3"/>
  <c r="J927" i="3"/>
  <c r="M927" i="3"/>
  <c r="N927" i="3" s="1"/>
  <c r="L927" i="3" l="1"/>
  <c r="V927" i="3"/>
  <c r="W927" i="3" s="1"/>
  <c r="A928" i="3"/>
  <c r="B928" i="3" s="1"/>
  <c r="U927" i="3" l="1"/>
  <c r="Y926" i="3"/>
  <c r="AC928" i="3"/>
  <c r="AA928" i="3"/>
  <c r="Z928" i="3"/>
  <c r="P928" i="3"/>
  <c r="Q928" i="3" s="1"/>
  <c r="R928" i="3" s="1"/>
  <c r="S928" i="3" s="1"/>
  <c r="T928" i="3" l="1"/>
  <c r="D928" i="3" s="1"/>
  <c r="AH928" i="3" l="1"/>
  <c r="E928" i="3"/>
  <c r="H928" i="3" s="1"/>
  <c r="K928" i="3" s="1"/>
  <c r="AE928" i="3" s="1"/>
  <c r="AG928" i="3"/>
  <c r="G928" i="3"/>
  <c r="F928" i="3" l="1"/>
  <c r="I928" i="3"/>
  <c r="J928" i="3"/>
  <c r="AD928" i="3" s="1"/>
  <c r="M928" i="3"/>
  <c r="N928" i="3" s="1"/>
  <c r="V928" i="3"/>
  <c r="A929" i="3"/>
  <c r="B929" i="3" s="1"/>
  <c r="L928" i="3" l="1"/>
  <c r="P929" i="3"/>
  <c r="Q929" i="3" s="1"/>
  <c r="R929" i="3" s="1"/>
  <c r="S929" i="3" s="1"/>
  <c r="AD929" i="3"/>
  <c r="AC929" i="3"/>
  <c r="Z929" i="3"/>
  <c r="AA929" i="3"/>
  <c r="W928" i="3"/>
  <c r="T929" i="3" l="1"/>
  <c r="AG929" i="3" s="1"/>
  <c r="U928" i="3"/>
  <c r="Y927" i="3"/>
  <c r="AH929" i="3" l="1"/>
  <c r="D929" i="3"/>
  <c r="E929" i="3"/>
  <c r="H929" i="3" s="1"/>
  <c r="F929" i="3" l="1"/>
  <c r="G929" i="3"/>
  <c r="K929" i="3"/>
  <c r="AE929" i="3" s="1"/>
  <c r="V929" i="3" l="1"/>
  <c r="A930" i="3"/>
  <c r="B930" i="3" s="1"/>
  <c r="I929" i="3"/>
  <c r="J929" i="3"/>
  <c r="M929" i="3"/>
  <c r="N929" i="3" s="1"/>
  <c r="L929" i="3" l="1"/>
  <c r="AD930" i="3"/>
  <c r="P930" i="3"/>
  <c r="Q930" i="3" s="1"/>
  <c r="R930" i="3" s="1"/>
  <c r="S930" i="3" s="1"/>
  <c r="AC930" i="3"/>
  <c r="Z930" i="3"/>
  <c r="AA930" i="3"/>
  <c r="W929" i="3"/>
  <c r="T930" i="3" l="1"/>
  <c r="U929" i="3"/>
  <c r="Y928" i="3"/>
  <c r="D930" i="3" l="1"/>
  <c r="G930" i="3" s="1"/>
  <c r="AH930" i="3"/>
  <c r="E930" i="3"/>
  <c r="H930" i="3" s="1"/>
  <c r="AG930" i="3"/>
  <c r="F930" i="3" l="1"/>
  <c r="I930" i="3"/>
  <c r="J930" i="3"/>
  <c r="M930" i="3"/>
  <c r="N930" i="3" s="1"/>
  <c r="K930" i="3"/>
  <c r="AE930" i="3" s="1"/>
  <c r="V930" i="3" l="1"/>
  <c r="W930" i="3" s="1"/>
  <c r="A931" i="3"/>
  <c r="B931" i="3" s="1"/>
  <c r="L930" i="3"/>
  <c r="U930" i="3" l="1"/>
  <c r="Y929" i="3"/>
  <c r="AC931" i="3"/>
  <c r="AA931" i="3"/>
  <c r="Z931" i="3"/>
  <c r="P931" i="3"/>
  <c r="Q931" i="3" s="1"/>
  <c r="R931" i="3" s="1"/>
  <c r="S931" i="3" s="1"/>
  <c r="AD931" i="3"/>
  <c r="T931" i="3" l="1"/>
  <c r="AH931" i="3" s="1"/>
  <c r="E931" i="3" l="1"/>
  <c r="H931" i="3" s="1"/>
  <c r="D931" i="3"/>
  <c r="AG931" i="3"/>
  <c r="K931" i="3" l="1"/>
  <c r="AE931" i="3" s="1"/>
  <c r="F931" i="3"/>
  <c r="G931" i="3"/>
  <c r="I931" i="3" l="1"/>
  <c r="J931" i="3"/>
  <c r="M931" i="3"/>
  <c r="N931" i="3" s="1"/>
  <c r="V931" i="3"/>
  <c r="A932" i="3"/>
  <c r="B932" i="3" s="1"/>
  <c r="W931" i="3" l="1"/>
  <c r="L931" i="3"/>
  <c r="AA932" i="3"/>
  <c r="AD932" i="3"/>
  <c r="Z932" i="3"/>
  <c r="AC932" i="3"/>
  <c r="P932" i="3"/>
  <c r="Q932" i="3" s="1"/>
  <c r="R932" i="3" s="1"/>
  <c r="S932" i="3" s="1"/>
  <c r="U931" i="3" l="1"/>
  <c r="Y930" i="3"/>
  <c r="T932" i="3"/>
  <c r="AH932" i="3" s="1"/>
  <c r="E932" i="3" l="1"/>
  <c r="H932" i="3" s="1"/>
  <c r="D932" i="3"/>
  <c r="AG932" i="3"/>
  <c r="K932" i="3" l="1"/>
  <c r="AE932" i="3" s="1"/>
  <c r="F932" i="3"/>
  <c r="G932" i="3"/>
  <c r="V932" i="3" l="1"/>
  <c r="A933" i="3"/>
  <c r="B933" i="3" s="1"/>
  <c r="I932" i="3"/>
  <c r="J932" i="3"/>
  <c r="M932" i="3"/>
  <c r="N932" i="3" s="1"/>
  <c r="L932" i="3" l="1"/>
  <c r="W932" i="3"/>
  <c r="AA933" i="3"/>
  <c r="P933" i="3"/>
  <c r="Q933" i="3" s="1"/>
  <c r="R933" i="3" s="1"/>
  <c r="S933" i="3" s="1"/>
  <c r="Z933" i="3"/>
  <c r="AD933" i="3"/>
  <c r="AC933" i="3"/>
  <c r="U932" i="3" l="1"/>
  <c r="Y931" i="3"/>
  <c r="T933" i="3"/>
  <c r="D933" i="3" l="1"/>
  <c r="G933" i="3" s="1"/>
  <c r="AH933" i="3"/>
  <c r="AG933" i="3"/>
  <c r="E933" i="3"/>
  <c r="H933" i="3" s="1"/>
  <c r="K933" i="3" l="1"/>
  <c r="AE933" i="3" s="1"/>
  <c r="I933" i="3"/>
  <c r="J933" i="3"/>
  <c r="M933" i="3"/>
  <c r="N933" i="3" s="1"/>
  <c r="F933" i="3"/>
  <c r="V933" i="3" l="1"/>
  <c r="W933" i="3" s="1"/>
  <c r="A934" i="3"/>
  <c r="B934" i="3" s="1"/>
  <c r="L933" i="3"/>
  <c r="U933" i="3" l="1"/>
  <c r="Y932" i="3"/>
  <c r="AC934" i="3"/>
  <c r="Z934" i="3"/>
  <c r="P934" i="3"/>
  <c r="Q934" i="3" s="1"/>
  <c r="R934" i="3" s="1"/>
  <c r="S934" i="3" s="1"/>
  <c r="AA934" i="3"/>
  <c r="T934" i="3" l="1"/>
  <c r="AH934" i="3" s="1"/>
  <c r="AG934" i="3" l="1"/>
  <c r="D934" i="3"/>
  <c r="E934" i="3"/>
  <c r="H934" i="3" s="1"/>
  <c r="K934" i="3" l="1"/>
  <c r="AE934" i="3" s="1"/>
  <c r="F934" i="3"/>
  <c r="G934" i="3"/>
  <c r="V934" i="3" l="1"/>
  <c r="A935" i="3"/>
  <c r="B935" i="3" s="1"/>
  <c r="I934" i="3"/>
  <c r="J934" i="3"/>
  <c r="AD934" i="3" s="1"/>
  <c r="M934" i="3"/>
  <c r="N934" i="3" s="1"/>
  <c r="W934" i="3" l="1"/>
  <c r="L934" i="3"/>
  <c r="AD935" i="3"/>
  <c r="P935" i="3"/>
  <c r="Q935" i="3" s="1"/>
  <c r="R935" i="3" s="1"/>
  <c r="S935" i="3" s="1"/>
  <c r="AA935" i="3"/>
  <c r="AC935" i="3"/>
  <c r="Z935" i="3"/>
  <c r="T935" i="3" l="1"/>
  <c r="U934" i="3"/>
  <c r="Y933" i="3"/>
  <c r="E935" i="3" l="1"/>
  <c r="H935" i="3" s="1"/>
  <c r="K935" i="3" s="1"/>
  <c r="AE935" i="3" s="1"/>
  <c r="AH935" i="3"/>
  <c r="AG935" i="3"/>
  <c r="D935" i="3"/>
  <c r="V935" i="3" l="1"/>
  <c r="A936" i="3"/>
  <c r="B936" i="3" s="1"/>
  <c r="F935" i="3"/>
  <c r="G935" i="3"/>
  <c r="I935" i="3" l="1"/>
  <c r="W935" i="3" s="1"/>
  <c r="J935" i="3"/>
  <c r="M935" i="3"/>
  <c r="N935" i="3" s="1"/>
  <c r="P936" i="3"/>
  <c r="Q936" i="3" s="1"/>
  <c r="R936" i="3" s="1"/>
  <c r="S936" i="3" s="1"/>
  <c r="AD936" i="3"/>
  <c r="AC936" i="3"/>
  <c r="Z936" i="3"/>
  <c r="AA936" i="3"/>
  <c r="T936" i="3" l="1"/>
  <c r="L935" i="3"/>
  <c r="AH936" i="3" l="1"/>
  <c r="U935" i="3"/>
  <c r="E936" i="3" s="1"/>
  <c r="H936" i="3" s="1"/>
  <c r="AG936" i="3"/>
  <c r="Y934" i="3"/>
  <c r="D936" i="3" l="1"/>
  <c r="F936" i="3" s="1"/>
  <c r="K936" i="3"/>
  <c r="AE936" i="3" s="1"/>
  <c r="G936" i="3" l="1"/>
  <c r="J936" i="3" s="1"/>
  <c r="V936" i="3"/>
  <c r="A937" i="3"/>
  <c r="B937" i="3" s="1"/>
  <c r="M936" i="3" l="1"/>
  <c r="N936" i="3" s="1"/>
  <c r="I936" i="3"/>
  <c r="W936" i="3" s="1"/>
  <c r="L936" i="3"/>
  <c r="AD937" i="3"/>
  <c r="P937" i="3"/>
  <c r="Q937" i="3" s="1"/>
  <c r="R937" i="3" s="1"/>
  <c r="S937" i="3" s="1"/>
  <c r="AA937" i="3"/>
  <c r="Z937" i="3"/>
  <c r="AC937" i="3"/>
  <c r="U936" i="3" l="1"/>
  <c r="Y935" i="3"/>
  <c r="T937" i="3"/>
  <c r="AG937" i="3" s="1"/>
  <c r="E937" i="3" l="1"/>
  <c r="H937" i="3" s="1"/>
  <c r="K937" i="3" s="1"/>
  <c r="AE937" i="3" s="1"/>
  <c r="D937" i="3"/>
  <c r="G937" i="3" s="1"/>
  <c r="AH937" i="3"/>
  <c r="F937" i="3" l="1"/>
  <c r="V937" i="3"/>
  <c r="A938" i="3"/>
  <c r="B938" i="3" s="1"/>
  <c r="I937" i="3"/>
  <c r="J937" i="3"/>
  <c r="M937" i="3"/>
  <c r="N937" i="3" s="1"/>
  <c r="W937" i="3" l="1"/>
  <c r="L937" i="3"/>
  <c r="Z938" i="3"/>
  <c r="P938" i="3"/>
  <c r="Q938" i="3" s="1"/>
  <c r="R938" i="3" s="1"/>
  <c r="S938" i="3" s="1"/>
  <c r="AA938" i="3"/>
  <c r="AC938" i="3"/>
  <c r="T938" i="3" l="1"/>
  <c r="AG938" i="3" s="1"/>
  <c r="U937" i="3"/>
  <c r="Y936" i="3"/>
  <c r="D938" i="3" l="1"/>
  <c r="AH938" i="3"/>
  <c r="E938" i="3"/>
  <c r="H938" i="3" s="1"/>
  <c r="F938" i="3" l="1"/>
  <c r="G938" i="3"/>
  <c r="J938" i="3" s="1"/>
  <c r="AD938" i="3" s="1"/>
  <c r="K938" i="3"/>
  <c r="AE938" i="3" s="1"/>
  <c r="I938" i="3" l="1"/>
  <c r="M938" i="3"/>
  <c r="N938" i="3" s="1"/>
  <c r="V938" i="3"/>
  <c r="A939" i="3"/>
  <c r="B939" i="3" s="1"/>
  <c r="L938" i="3"/>
  <c r="W938" i="3" l="1"/>
  <c r="U938" i="3"/>
  <c r="Y937" i="3"/>
  <c r="AA939" i="3"/>
  <c r="P939" i="3"/>
  <c r="Q939" i="3" s="1"/>
  <c r="R939" i="3" s="1"/>
  <c r="S939" i="3" s="1"/>
  <c r="Z939" i="3"/>
  <c r="AD939" i="3"/>
  <c r="AC939" i="3"/>
  <c r="T939" i="3" l="1"/>
  <c r="E939" i="3" s="1"/>
  <c r="H939" i="3" s="1"/>
  <c r="K939" i="3" l="1"/>
  <c r="AE939" i="3" s="1"/>
  <c r="AG939" i="3"/>
  <c r="D939" i="3"/>
  <c r="AH939" i="3"/>
  <c r="F939" i="3" l="1"/>
  <c r="G939" i="3"/>
  <c r="V939" i="3"/>
  <c r="A940" i="3"/>
  <c r="B940" i="3" s="1"/>
  <c r="AC940" i="3" l="1"/>
  <c r="Z940" i="3"/>
  <c r="P940" i="3"/>
  <c r="Q940" i="3" s="1"/>
  <c r="R940" i="3" s="1"/>
  <c r="S940" i="3" s="1"/>
  <c r="AA940" i="3"/>
  <c r="AD940" i="3"/>
  <c r="I939" i="3"/>
  <c r="W939" i="3" s="1"/>
  <c r="J939" i="3"/>
  <c r="M939" i="3"/>
  <c r="N939" i="3" s="1"/>
  <c r="T940" i="3" l="1"/>
  <c r="L939" i="3"/>
  <c r="AG940" i="3" l="1"/>
  <c r="AH940" i="3"/>
  <c r="U939" i="3"/>
  <c r="D940" i="3" s="1"/>
  <c r="Y938" i="3"/>
  <c r="E940" i="3" l="1"/>
  <c r="H940" i="3" s="1"/>
  <c r="K940" i="3" s="1"/>
  <c r="AE940" i="3" s="1"/>
  <c r="G940" i="3"/>
  <c r="F940" i="3" l="1"/>
  <c r="I940" i="3"/>
  <c r="J940" i="3"/>
  <c r="M940" i="3"/>
  <c r="N940" i="3" s="1"/>
  <c r="V940" i="3"/>
  <c r="A941" i="3"/>
  <c r="B941" i="3" s="1"/>
  <c r="W940" i="3" l="1"/>
  <c r="L940" i="3"/>
  <c r="AD941" i="3"/>
  <c r="P941" i="3"/>
  <c r="Q941" i="3" s="1"/>
  <c r="R941" i="3" s="1"/>
  <c r="S941" i="3" s="1"/>
  <c r="Z941" i="3"/>
  <c r="AC941" i="3"/>
  <c r="AA941" i="3"/>
  <c r="T941" i="3" l="1"/>
  <c r="U940" i="3"/>
  <c r="Y939" i="3"/>
  <c r="E941" i="3" l="1"/>
  <c r="H941" i="3" s="1"/>
  <c r="K941" i="3" s="1"/>
  <c r="AE941" i="3" s="1"/>
  <c r="AH941" i="3"/>
  <c r="AG941" i="3"/>
  <c r="D941" i="3"/>
  <c r="F941" i="3" l="1"/>
  <c r="G941" i="3"/>
  <c r="V941" i="3"/>
  <c r="A942" i="3"/>
  <c r="B942" i="3" s="1"/>
  <c r="Z942" i="3" l="1"/>
  <c r="AD942" i="3"/>
  <c r="AC942" i="3"/>
  <c r="AA942" i="3"/>
  <c r="P942" i="3"/>
  <c r="Q942" i="3" s="1"/>
  <c r="R942" i="3" s="1"/>
  <c r="S942" i="3" s="1"/>
  <c r="I941" i="3"/>
  <c r="W941" i="3" s="1"/>
  <c r="J941" i="3"/>
  <c r="M941" i="3"/>
  <c r="N941" i="3" s="1"/>
  <c r="T942" i="3" l="1"/>
  <c r="L941" i="3"/>
  <c r="U941" i="3" l="1"/>
  <c r="E942" i="3" s="1"/>
  <c r="H942" i="3" s="1"/>
  <c r="AG942" i="3"/>
  <c r="AH942" i="3"/>
  <c r="Y940" i="3"/>
  <c r="D942" i="3" l="1"/>
  <c r="G942" i="3" s="1"/>
  <c r="K942" i="3"/>
  <c r="AE942" i="3" s="1"/>
  <c r="F942" i="3" l="1"/>
  <c r="I942" i="3"/>
  <c r="J942" i="3"/>
  <c r="M942" i="3"/>
  <c r="N942" i="3" s="1"/>
  <c r="V942" i="3"/>
  <c r="A943" i="3"/>
  <c r="B943" i="3" s="1"/>
  <c r="W942" i="3" l="1"/>
  <c r="L942" i="3"/>
  <c r="AA943" i="3"/>
  <c r="AC943" i="3"/>
  <c r="P943" i="3"/>
  <c r="Q943" i="3" s="1"/>
  <c r="R943" i="3" s="1"/>
  <c r="S943" i="3" s="1"/>
  <c r="Z943" i="3"/>
  <c r="AD943" i="3"/>
  <c r="U942" i="3" l="1"/>
  <c r="Y941" i="3"/>
  <c r="T943" i="3"/>
  <c r="AG943" i="3" s="1"/>
  <c r="E943" i="3" l="1"/>
  <c r="H943" i="3" s="1"/>
  <c r="K943" i="3" s="1"/>
  <c r="AE943" i="3" s="1"/>
  <c r="D943" i="3"/>
  <c r="AH943" i="3"/>
  <c r="F943" i="3" l="1"/>
  <c r="G943" i="3"/>
  <c r="M943" i="3" s="1"/>
  <c r="N943" i="3" s="1"/>
  <c r="V943" i="3"/>
  <c r="A944" i="3"/>
  <c r="B944" i="3" s="1"/>
  <c r="I943" i="3" l="1"/>
  <c r="W943" i="3" s="1"/>
  <c r="J943" i="3"/>
  <c r="L943" i="3" s="1"/>
  <c r="P944" i="3"/>
  <c r="Q944" i="3" s="1"/>
  <c r="R944" i="3" s="1"/>
  <c r="S944" i="3" s="1"/>
  <c r="AC944" i="3"/>
  <c r="Z944" i="3"/>
  <c r="AA944" i="3"/>
  <c r="U943" i="3" l="1"/>
  <c r="Y942" i="3"/>
  <c r="T944" i="3"/>
  <c r="AH944" i="3" s="1"/>
  <c r="D944" i="3" l="1"/>
  <c r="E944" i="3"/>
  <c r="H944" i="3" s="1"/>
  <c r="AG944" i="3"/>
  <c r="F944" i="3" l="1"/>
  <c r="G944" i="3"/>
  <c r="K944" i="3"/>
  <c r="AE944" i="3" s="1"/>
  <c r="I944" i="3" l="1"/>
  <c r="J944" i="3"/>
  <c r="AD944" i="3" s="1"/>
  <c r="M944" i="3"/>
  <c r="N944" i="3" s="1"/>
  <c r="V944" i="3"/>
  <c r="A945" i="3"/>
  <c r="B945" i="3" s="1"/>
  <c r="W944" i="3" l="1"/>
  <c r="L944" i="3"/>
  <c r="P945" i="3"/>
  <c r="Q945" i="3" s="1"/>
  <c r="R945" i="3" s="1"/>
  <c r="S945" i="3" s="1"/>
  <c r="AC945" i="3"/>
  <c r="Z945" i="3"/>
  <c r="AD945" i="3"/>
  <c r="AA945" i="3"/>
  <c r="U944" i="3" l="1"/>
  <c r="Y943" i="3"/>
  <c r="T945" i="3"/>
  <c r="D945" i="3" l="1"/>
  <c r="G945" i="3" s="1"/>
  <c r="AH945" i="3"/>
  <c r="E945" i="3"/>
  <c r="H945" i="3" s="1"/>
  <c r="AG945" i="3"/>
  <c r="F945" i="3" l="1"/>
  <c r="I945" i="3"/>
  <c r="J945" i="3"/>
  <c r="M945" i="3"/>
  <c r="N945" i="3" s="1"/>
  <c r="K945" i="3"/>
  <c r="AE945" i="3" s="1"/>
  <c r="V945" i="3" l="1"/>
  <c r="W945" i="3" s="1"/>
  <c r="A946" i="3"/>
  <c r="B946" i="3" s="1"/>
  <c r="L945" i="3"/>
  <c r="U945" i="3" l="1"/>
  <c r="Y944" i="3"/>
  <c r="P946" i="3"/>
  <c r="Q946" i="3" s="1"/>
  <c r="R946" i="3" s="1"/>
  <c r="S946" i="3" s="1"/>
  <c r="AC946" i="3"/>
  <c r="AA946" i="3"/>
  <c r="AD946" i="3"/>
  <c r="Z946" i="3"/>
  <c r="T946" i="3" l="1"/>
  <c r="E946" i="3" s="1"/>
  <c r="H946" i="3" s="1"/>
  <c r="K946" i="3" l="1"/>
  <c r="AE946" i="3" s="1"/>
  <c r="AG946" i="3"/>
  <c r="D946" i="3"/>
  <c r="AH946" i="3"/>
  <c r="F946" i="3" l="1"/>
  <c r="G946" i="3"/>
  <c r="V946" i="3"/>
  <c r="A947" i="3"/>
  <c r="B947" i="3" s="1"/>
  <c r="Z947" i="3" l="1"/>
  <c r="AC947" i="3"/>
  <c r="P947" i="3"/>
  <c r="Q947" i="3" s="1"/>
  <c r="R947" i="3" s="1"/>
  <c r="S947" i="3" s="1"/>
  <c r="AA947" i="3"/>
  <c r="AD947" i="3"/>
  <c r="I946" i="3"/>
  <c r="W946" i="3" s="1"/>
  <c r="J946" i="3"/>
  <c r="M946" i="3"/>
  <c r="N946" i="3" s="1"/>
  <c r="L946" i="3" l="1"/>
  <c r="T947" i="3"/>
  <c r="AH947" i="3" l="1"/>
  <c r="AG947" i="3"/>
  <c r="U946" i="3"/>
  <c r="E947" i="3" s="1"/>
  <c r="H947" i="3" s="1"/>
  <c r="Y945" i="3"/>
  <c r="D947" i="3" l="1"/>
  <c r="G947" i="3" s="1"/>
  <c r="K947" i="3"/>
  <c r="AE947" i="3" s="1"/>
  <c r="F947" i="3" l="1"/>
  <c r="V947" i="3"/>
  <c r="A948" i="3"/>
  <c r="B948" i="3" s="1"/>
  <c r="I947" i="3"/>
  <c r="J947" i="3"/>
  <c r="M947" i="3"/>
  <c r="N947" i="3" s="1"/>
  <c r="W947" i="3" l="1"/>
  <c r="L947" i="3"/>
  <c r="P948" i="3"/>
  <c r="Q948" i="3" s="1"/>
  <c r="R948" i="3" s="1"/>
  <c r="S948" i="3" s="1"/>
  <c r="AA948" i="3"/>
  <c r="Z948" i="3"/>
  <c r="AC948" i="3"/>
  <c r="U947" i="3" l="1"/>
  <c r="Y946" i="3"/>
  <c r="T948" i="3"/>
  <c r="AH948" i="3" s="1"/>
  <c r="AG948" i="3" l="1"/>
  <c r="E948" i="3"/>
  <c r="H948" i="3" s="1"/>
  <c r="D948" i="3"/>
  <c r="K948" i="3" l="1"/>
  <c r="AE948" i="3" s="1"/>
  <c r="F948" i="3"/>
  <c r="G948" i="3"/>
  <c r="I948" i="3" l="1"/>
  <c r="J948" i="3"/>
  <c r="AD948" i="3" s="1"/>
  <c r="M948" i="3"/>
  <c r="N948" i="3" s="1"/>
  <c r="V948" i="3"/>
  <c r="A949" i="3"/>
  <c r="B949" i="3" s="1"/>
  <c r="W948" i="3" l="1"/>
  <c r="L948" i="3"/>
  <c r="AD949" i="3"/>
  <c r="AA949" i="3"/>
  <c r="AC949" i="3"/>
  <c r="Z949" i="3"/>
  <c r="P949" i="3"/>
  <c r="Q949" i="3" s="1"/>
  <c r="R949" i="3" s="1"/>
  <c r="S949" i="3" s="1"/>
  <c r="U948" i="3" l="1"/>
  <c r="Y947" i="3"/>
  <c r="T949" i="3"/>
  <c r="AH949" i="3" s="1"/>
  <c r="AG949" i="3" l="1"/>
  <c r="D949" i="3"/>
  <c r="G949" i="3" s="1"/>
  <c r="E949" i="3"/>
  <c r="H949" i="3" s="1"/>
  <c r="K949" i="3" s="1"/>
  <c r="AE949" i="3" s="1"/>
  <c r="F949" i="3" l="1"/>
  <c r="I949" i="3"/>
  <c r="J949" i="3"/>
  <c r="M949" i="3"/>
  <c r="N949" i="3" s="1"/>
  <c r="V949" i="3"/>
  <c r="A950" i="3"/>
  <c r="B950" i="3" s="1"/>
  <c r="W949" i="3" l="1"/>
  <c r="L949" i="3"/>
  <c r="Z950" i="3"/>
  <c r="AC950" i="3"/>
  <c r="P950" i="3"/>
  <c r="Q950" i="3" s="1"/>
  <c r="R950" i="3" s="1"/>
  <c r="S950" i="3" s="1"/>
  <c r="AD950" i="3"/>
  <c r="AA950" i="3"/>
  <c r="T950" i="3" l="1"/>
  <c r="U949" i="3"/>
  <c r="Y948" i="3"/>
  <c r="D950" i="3" l="1"/>
  <c r="G950" i="3" s="1"/>
  <c r="AG950" i="3"/>
  <c r="E950" i="3"/>
  <c r="H950" i="3" s="1"/>
  <c r="K950" i="3" s="1"/>
  <c r="AE950" i="3" s="1"/>
  <c r="AH950" i="3"/>
  <c r="F950" i="3" l="1"/>
  <c r="I950" i="3"/>
  <c r="J950" i="3"/>
  <c r="M950" i="3"/>
  <c r="N950" i="3" s="1"/>
  <c r="V950" i="3"/>
  <c r="A951" i="3"/>
  <c r="B951" i="3" s="1"/>
  <c r="W950" i="3" l="1"/>
  <c r="P951" i="3"/>
  <c r="Q951" i="3" s="1"/>
  <c r="R951" i="3" s="1"/>
  <c r="S951" i="3" s="1"/>
  <c r="AA951" i="3"/>
  <c r="AC951" i="3"/>
  <c r="AD951" i="3"/>
  <c r="Z951" i="3"/>
  <c r="L950" i="3"/>
  <c r="T951" i="3" l="1"/>
  <c r="U950" i="3"/>
  <c r="Y949" i="3"/>
  <c r="D951" i="3" l="1"/>
  <c r="G951" i="3" s="1"/>
  <c r="AH951" i="3"/>
  <c r="AG951" i="3"/>
  <c r="E951" i="3"/>
  <c r="H951" i="3" s="1"/>
  <c r="K951" i="3" s="1"/>
  <c r="AE951" i="3" s="1"/>
  <c r="F951" i="3" l="1"/>
  <c r="I951" i="3"/>
  <c r="J951" i="3"/>
  <c r="M951" i="3"/>
  <c r="N951" i="3" s="1"/>
  <c r="V951" i="3"/>
  <c r="A952" i="3"/>
  <c r="B952" i="3" s="1"/>
  <c r="AC952" i="3" l="1"/>
  <c r="Z952" i="3"/>
  <c r="AD952" i="3"/>
  <c r="P952" i="3"/>
  <c r="Q952" i="3" s="1"/>
  <c r="R952" i="3" s="1"/>
  <c r="S952" i="3" s="1"/>
  <c r="AA952" i="3"/>
  <c r="W951" i="3"/>
  <c r="L951" i="3"/>
  <c r="U951" i="3" l="1"/>
  <c r="Y950" i="3"/>
  <c r="T952" i="3"/>
  <c r="D952" i="3" l="1"/>
  <c r="G952" i="3" s="1"/>
  <c r="E952" i="3"/>
  <c r="H952" i="3" s="1"/>
  <c r="AH952" i="3"/>
  <c r="AG952" i="3"/>
  <c r="F952" i="3" l="1"/>
  <c r="I952" i="3"/>
  <c r="J952" i="3"/>
  <c r="M952" i="3"/>
  <c r="N952" i="3" s="1"/>
  <c r="K952" i="3"/>
  <c r="AE952" i="3" s="1"/>
  <c r="V952" i="3" l="1"/>
  <c r="W952" i="3" s="1"/>
  <c r="A953" i="3"/>
  <c r="B953" i="3" s="1"/>
  <c r="L952" i="3"/>
  <c r="U952" i="3" l="1"/>
  <c r="Y951" i="3"/>
  <c r="Z953" i="3"/>
  <c r="AA953" i="3"/>
  <c r="AD953" i="3"/>
  <c r="P953" i="3"/>
  <c r="Q953" i="3" s="1"/>
  <c r="R953" i="3" s="1"/>
  <c r="S953" i="3" s="1"/>
  <c r="AC953" i="3"/>
  <c r="T953" i="3" l="1"/>
  <c r="AG953" i="3" s="1"/>
  <c r="E953" i="3" l="1"/>
  <c r="H953" i="3" s="1"/>
  <c r="K953" i="3" s="1"/>
  <c r="AE953" i="3" s="1"/>
  <c r="AH953" i="3"/>
  <c r="D953" i="3"/>
  <c r="G953" i="3" s="1"/>
  <c r="F953" i="3" l="1"/>
  <c r="I953" i="3"/>
  <c r="J953" i="3"/>
  <c r="M953" i="3"/>
  <c r="N953" i="3" s="1"/>
  <c r="V953" i="3"/>
  <c r="A954" i="3"/>
  <c r="B954" i="3" s="1"/>
  <c r="W953" i="3" l="1"/>
  <c r="L953" i="3"/>
  <c r="AA954" i="3"/>
  <c r="P954" i="3"/>
  <c r="Q954" i="3" s="1"/>
  <c r="R954" i="3" s="1"/>
  <c r="S954" i="3" s="1"/>
  <c r="AC954" i="3"/>
  <c r="Z954" i="3"/>
  <c r="T954" i="3" l="1"/>
  <c r="U953" i="3"/>
  <c r="Y952" i="3"/>
  <c r="E954" i="3" l="1"/>
  <c r="H954" i="3" s="1"/>
  <c r="K954" i="3" s="1"/>
  <c r="AE954" i="3" s="1"/>
  <c r="AG954" i="3"/>
  <c r="AH954" i="3"/>
  <c r="D954" i="3"/>
  <c r="G954" i="3" s="1"/>
  <c r="F954" i="3" l="1"/>
  <c r="V954" i="3"/>
  <c r="A955" i="3"/>
  <c r="B955" i="3" s="1"/>
  <c r="I954" i="3"/>
  <c r="J954" i="3"/>
  <c r="AD954" i="3" s="1"/>
  <c r="M954" i="3"/>
  <c r="N954" i="3" s="1"/>
  <c r="W954" i="3" l="1"/>
  <c r="L954" i="3"/>
  <c r="P955" i="3"/>
  <c r="Q955" i="3" s="1"/>
  <c r="R955" i="3" s="1"/>
  <c r="S955" i="3" s="1"/>
  <c r="AA955" i="3"/>
  <c r="AC955" i="3"/>
  <c r="Z955" i="3"/>
  <c r="U954" i="3" l="1"/>
  <c r="Y953" i="3"/>
  <c r="T955" i="3"/>
  <c r="AG955" i="3" s="1"/>
  <c r="AH955" i="3" l="1"/>
  <c r="D955" i="3"/>
  <c r="E955" i="3"/>
  <c r="H955" i="3" s="1"/>
  <c r="F955" i="3" l="1"/>
  <c r="G955" i="3"/>
  <c r="K955" i="3"/>
  <c r="AE955" i="3" s="1"/>
  <c r="I955" i="3" l="1"/>
  <c r="J955" i="3"/>
  <c r="AD955" i="3" s="1"/>
  <c r="M955" i="3"/>
  <c r="N955" i="3" s="1"/>
  <c r="V955" i="3"/>
  <c r="A956" i="3"/>
  <c r="B956" i="3" s="1"/>
  <c r="W955" i="3" l="1"/>
  <c r="L955" i="3"/>
  <c r="AA956" i="3"/>
  <c r="P956" i="3"/>
  <c r="Q956" i="3" s="1"/>
  <c r="R956" i="3" s="1"/>
  <c r="S956" i="3" s="1"/>
  <c r="Z956" i="3"/>
  <c r="AC956" i="3"/>
  <c r="U955" i="3" l="1"/>
  <c r="Y954" i="3"/>
  <c r="T956" i="3"/>
  <c r="AH956" i="3" s="1"/>
  <c r="AG956" i="3" l="1"/>
  <c r="E956" i="3"/>
  <c r="H956" i="3" s="1"/>
  <c r="K956" i="3" s="1"/>
  <c r="AE956" i="3" s="1"/>
  <c r="D956" i="3"/>
  <c r="V956" i="3" l="1"/>
  <c r="A957" i="3"/>
  <c r="B957" i="3" s="1"/>
  <c r="F956" i="3"/>
  <c r="G956" i="3"/>
  <c r="I956" i="3" l="1"/>
  <c r="W956" i="3" s="1"/>
  <c r="J956" i="3"/>
  <c r="AD956" i="3" s="1"/>
  <c r="M956" i="3"/>
  <c r="N956" i="3" s="1"/>
  <c r="AA957" i="3"/>
  <c r="Z957" i="3"/>
  <c r="P957" i="3"/>
  <c r="Q957" i="3" s="1"/>
  <c r="R957" i="3" s="1"/>
  <c r="S957" i="3" s="1"/>
  <c r="AC957" i="3"/>
  <c r="T957" i="3" l="1"/>
  <c r="L956" i="3"/>
  <c r="AG957" i="3" l="1"/>
  <c r="U956" i="3"/>
  <c r="E957" i="3" s="1"/>
  <c r="H957" i="3" s="1"/>
  <c r="AH957" i="3"/>
  <c r="Y955" i="3"/>
  <c r="D957" i="3" l="1"/>
  <c r="G957" i="3" s="1"/>
  <c r="K957" i="3"/>
  <c r="AE957" i="3" s="1"/>
  <c r="F957" i="3" l="1"/>
  <c r="I957" i="3"/>
  <c r="J957" i="3"/>
  <c r="AD957" i="3" s="1"/>
  <c r="M957" i="3"/>
  <c r="N957" i="3" s="1"/>
  <c r="V957" i="3"/>
  <c r="A958" i="3"/>
  <c r="B958" i="3" s="1"/>
  <c r="W957" i="3" l="1"/>
  <c r="L957" i="3"/>
  <c r="AC958" i="3"/>
  <c r="AA958" i="3"/>
  <c r="P958" i="3"/>
  <c r="Q958" i="3" s="1"/>
  <c r="R958" i="3" s="1"/>
  <c r="S958" i="3" s="1"/>
  <c r="Z958" i="3"/>
  <c r="T958" i="3" l="1"/>
  <c r="AH958" i="3" s="1"/>
  <c r="U957" i="3"/>
  <c r="Y956" i="3"/>
  <c r="AG958" i="3" l="1"/>
  <c r="D958" i="3"/>
  <c r="E958" i="3"/>
  <c r="H958" i="3" s="1"/>
  <c r="K958" i="3" l="1"/>
  <c r="AE958" i="3" s="1"/>
  <c r="F958" i="3"/>
  <c r="G958" i="3"/>
  <c r="V958" i="3" l="1"/>
  <c r="A959" i="3"/>
  <c r="B959" i="3" s="1"/>
  <c r="I958" i="3"/>
  <c r="J958" i="3"/>
  <c r="AD958" i="3" s="1"/>
  <c r="M958" i="3"/>
  <c r="N958" i="3" s="1"/>
  <c r="W958" i="3" l="1"/>
  <c r="L958" i="3"/>
  <c r="Z959" i="3"/>
  <c r="AC959" i="3"/>
  <c r="P959" i="3"/>
  <c r="Q959" i="3" s="1"/>
  <c r="R959" i="3" s="1"/>
  <c r="S959" i="3" s="1"/>
  <c r="AA959" i="3"/>
  <c r="T959" i="3" l="1"/>
  <c r="AH959" i="3" s="1"/>
  <c r="U958" i="3"/>
  <c r="Y957" i="3"/>
  <c r="AG959" i="3" l="1"/>
  <c r="E959" i="3"/>
  <c r="H959" i="3" s="1"/>
  <c r="K959" i="3" s="1"/>
  <c r="AE959" i="3" s="1"/>
  <c r="D959" i="3"/>
  <c r="F959" i="3" l="1"/>
  <c r="G959" i="3"/>
  <c r="V959" i="3"/>
  <c r="A960" i="3"/>
  <c r="B960" i="3" s="1"/>
  <c r="Z960" i="3" l="1"/>
  <c r="AA960" i="3"/>
  <c r="P960" i="3"/>
  <c r="Q960" i="3" s="1"/>
  <c r="R960" i="3" s="1"/>
  <c r="S960" i="3" s="1"/>
  <c r="AC960" i="3"/>
  <c r="I959" i="3"/>
  <c r="W959" i="3" s="1"/>
  <c r="J959" i="3"/>
  <c r="AD959" i="3" s="1"/>
  <c r="M959" i="3"/>
  <c r="N959" i="3" s="1"/>
  <c r="T960" i="3" l="1"/>
  <c r="L959" i="3"/>
  <c r="U959" i="3" l="1"/>
  <c r="E960" i="3" s="1"/>
  <c r="H960" i="3" s="1"/>
  <c r="AG960" i="3"/>
  <c r="AH960" i="3"/>
  <c r="Y958" i="3"/>
  <c r="D960" i="3" l="1"/>
  <c r="G960" i="3" s="1"/>
  <c r="K960" i="3"/>
  <c r="AE960" i="3" s="1"/>
  <c r="F960" i="3" l="1"/>
  <c r="I960" i="3"/>
  <c r="J960" i="3"/>
  <c r="AD960" i="3" s="1"/>
  <c r="M960" i="3"/>
  <c r="N960" i="3" s="1"/>
  <c r="V960" i="3"/>
  <c r="A961" i="3"/>
  <c r="B961" i="3" s="1"/>
  <c r="W960" i="3" l="1"/>
  <c r="P961" i="3"/>
  <c r="Q961" i="3" s="1"/>
  <c r="R961" i="3" s="1"/>
  <c r="S961" i="3" s="1"/>
  <c r="AC961" i="3"/>
  <c r="Z961" i="3"/>
  <c r="AA961" i="3"/>
  <c r="L960" i="3"/>
  <c r="U960" i="3" l="1"/>
  <c r="Y959" i="3"/>
  <c r="T961" i="3"/>
  <c r="D961" i="3" l="1"/>
  <c r="G961" i="3" s="1"/>
  <c r="AH961" i="3"/>
  <c r="AG961" i="3"/>
  <c r="E961" i="3"/>
  <c r="H961" i="3" s="1"/>
  <c r="K961" i="3" l="1"/>
  <c r="AE961" i="3" s="1"/>
  <c r="I961" i="3"/>
  <c r="J961" i="3"/>
  <c r="AD961" i="3" s="1"/>
  <c r="M961" i="3"/>
  <c r="N961" i="3" s="1"/>
  <c r="F961" i="3"/>
  <c r="L961" i="3" l="1"/>
  <c r="V961" i="3"/>
  <c r="W961" i="3" s="1"/>
  <c r="A962" i="3"/>
  <c r="B962" i="3" s="1"/>
  <c r="Z962" i="3" l="1"/>
  <c r="AA962" i="3"/>
  <c r="P962" i="3"/>
  <c r="Q962" i="3" s="1"/>
  <c r="R962" i="3" s="1"/>
  <c r="S962" i="3" s="1"/>
  <c r="AC962" i="3"/>
  <c r="U961" i="3"/>
  <c r="Y960" i="3"/>
  <c r="T962" i="3" l="1"/>
  <c r="E962" i="3" s="1"/>
  <c r="H962" i="3" s="1"/>
  <c r="AH962" i="3" l="1"/>
  <c r="K962" i="3"/>
  <c r="AE962" i="3" s="1"/>
  <c r="D962" i="3"/>
  <c r="AG962" i="3"/>
  <c r="V962" i="3" l="1"/>
  <c r="A963" i="3"/>
  <c r="B963" i="3" s="1"/>
  <c r="F962" i="3"/>
  <c r="G962" i="3"/>
  <c r="P963" i="3" l="1"/>
  <c r="Q963" i="3" s="1"/>
  <c r="R963" i="3" s="1"/>
  <c r="S963" i="3" s="1"/>
  <c r="AC963" i="3"/>
  <c r="Z963" i="3"/>
  <c r="AA963" i="3"/>
  <c r="I962" i="3"/>
  <c r="W962" i="3" s="1"/>
  <c r="J962" i="3"/>
  <c r="AD962" i="3" s="1"/>
  <c r="M962" i="3"/>
  <c r="N962" i="3" s="1"/>
  <c r="T963" i="3" l="1"/>
  <c r="L962" i="3"/>
  <c r="U962" i="3" l="1"/>
  <c r="E963" i="3" s="1"/>
  <c r="H963" i="3" s="1"/>
  <c r="AG963" i="3"/>
  <c r="AH963" i="3"/>
  <c r="Y961" i="3"/>
  <c r="D963" i="3" l="1"/>
  <c r="G963" i="3" s="1"/>
  <c r="K963" i="3"/>
  <c r="AE963" i="3" s="1"/>
  <c r="F963" i="3" l="1"/>
  <c r="I963" i="3"/>
  <c r="J963" i="3"/>
  <c r="AD963" i="3" s="1"/>
  <c r="M963" i="3"/>
  <c r="N963" i="3" s="1"/>
  <c r="V963" i="3"/>
  <c r="A964" i="3"/>
  <c r="B964" i="3" s="1"/>
  <c r="W963" i="3" l="1"/>
  <c r="L963" i="3"/>
  <c r="Z964" i="3"/>
  <c r="P964" i="3"/>
  <c r="Q964" i="3" s="1"/>
  <c r="R964" i="3" s="1"/>
  <c r="S964" i="3" s="1"/>
  <c r="AA964" i="3"/>
  <c r="AC964" i="3"/>
  <c r="U963" i="3" l="1"/>
  <c r="Y962" i="3"/>
  <c r="T964" i="3"/>
  <c r="D964" i="3" l="1"/>
  <c r="G964" i="3" s="1"/>
  <c r="E964" i="3"/>
  <c r="H964" i="3" s="1"/>
  <c r="K964" i="3" s="1"/>
  <c r="AE964" i="3" s="1"/>
  <c r="AH964" i="3"/>
  <c r="AG964" i="3"/>
  <c r="F964" i="3" l="1"/>
  <c r="I964" i="3"/>
  <c r="J964" i="3"/>
  <c r="AD964" i="3" s="1"/>
  <c r="M964" i="3"/>
  <c r="N964" i="3" s="1"/>
  <c r="V964" i="3"/>
  <c r="A965" i="3"/>
  <c r="B965" i="3" s="1"/>
  <c r="W964" i="3" l="1"/>
  <c r="L964" i="3"/>
  <c r="AC965" i="3"/>
  <c r="AD965" i="3"/>
  <c r="P965" i="3"/>
  <c r="Q965" i="3" s="1"/>
  <c r="R965" i="3" s="1"/>
  <c r="S965" i="3" s="1"/>
  <c r="AA965" i="3"/>
  <c r="Z965" i="3"/>
  <c r="U964" i="3" l="1"/>
  <c r="Y963" i="3"/>
  <c r="T965" i="3"/>
  <c r="AH965" i="3" s="1"/>
  <c r="AG965" i="3" l="1"/>
  <c r="E965" i="3"/>
  <c r="H965" i="3" s="1"/>
  <c r="D965" i="3"/>
  <c r="F965" i="3" l="1"/>
  <c r="G965" i="3"/>
  <c r="K965" i="3"/>
  <c r="AE965" i="3" s="1"/>
  <c r="V965" i="3" l="1"/>
  <c r="A966" i="3"/>
  <c r="B966" i="3" s="1"/>
  <c r="I965" i="3"/>
  <c r="J965" i="3"/>
  <c r="M965" i="3"/>
  <c r="N965" i="3" s="1"/>
  <c r="L965" i="3" l="1"/>
  <c r="P966" i="3"/>
  <c r="Q966" i="3" s="1"/>
  <c r="R966" i="3" s="1"/>
  <c r="S966" i="3" s="1"/>
  <c r="AD966" i="3"/>
  <c r="AA966" i="3"/>
  <c r="Z966" i="3"/>
  <c r="AC966" i="3"/>
  <c r="W965" i="3"/>
  <c r="T966" i="3" l="1"/>
  <c r="AG966" i="3" s="1"/>
  <c r="U965" i="3"/>
  <c r="Y964" i="3"/>
  <c r="E966" i="3" l="1"/>
  <c r="H966" i="3" s="1"/>
  <c r="D966" i="3"/>
  <c r="AH966" i="3"/>
  <c r="K966" i="3" l="1"/>
  <c r="AE966" i="3" s="1"/>
  <c r="F966" i="3"/>
  <c r="G966" i="3"/>
  <c r="I966" i="3" l="1"/>
  <c r="J966" i="3"/>
  <c r="M966" i="3"/>
  <c r="N966" i="3" s="1"/>
  <c r="V966" i="3"/>
  <c r="A967" i="3"/>
  <c r="B967" i="3" s="1"/>
  <c r="W966" i="3" l="1"/>
  <c r="L966" i="3"/>
  <c r="AA967" i="3"/>
  <c r="P967" i="3"/>
  <c r="Q967" i="3" s="1"/>
  <c r="R967" i="3" s="1"/>
  <c r="S967" i="3" s="1"/>
  <c r="AC967" i="3"/>
  <c r="Z967" i="3"/>
  <c r="AD967" i="3"/>
  <c r="U966" i="3" l="1"/>
  <c r="Y965" i="3"/>
  <c r="T967" i="3"/>
  <c r="E967" i="3" l="1"/>
  <c r="H967" i="3" s="1"/>
  <c r="K967" i="3" s="1"/>
  <c r="AE967" i="3" s="1"/>
  <c r="AH967" i="3"/>
  <c r="AG967" i="3"/>
  <c r="D967" i="3"/>
  <c r="V967" i="3" l="1"/>
  <c r="A968" i="3"/>
  <c r="B968" i="3" s="1"/>
  <c r="F967" i="3"/>
  <c r="G967" i="3"/>
  <c r="I967" i="3" l="1"/>
  <c r="W967" i="3" s="1"/>
  <c r="J967" i="3"/>
  <c r="M967" i="3"/>
  <c r="N967" i="3" s="1"/>
  <c r="Z968" i="3"/>
  <c r="AA968" i="3"/>
  <c r="P968" i="3"/>
  <c r="Q968" i="3" s="1"/>
  <c r="R968" i="3" s="1"/>
  <c r="S968" i="3" s="1"/>
  <c r="AC968" i="3"/>
  <c r="L967" i="3" l="1"/>
  <c r="T968" i="3"/>
  <c r="AH968" i="3" l="1"/>
  <c r="AG968" i="3"/>
  <c r="U967" i="3"/>
  <c r="E968" i="3" s="1"/>
  <c r="H968" i="3" s="1"/>
  <c r="Y966" i="3"/>
  <c r="K968" i="3" l="1"/>
  <c r="AE968" i="3" s="1"/>
  <c r="D968" i="3"/>
  <c r="V968" i="3" l="1"/>
  <c r="A969" i="3"/>
  <c r="B969" i="3" s="1"/>
  <c r="F968" i="3"/>
  <c r="G968" i="3"/>
  <c r="I968" i="3" l="1"/>
  <c r="W968" i="3" s="1"/>
  <c r="J968" i="3"/>
  <c r="AD968" i="3" s="1"/>
  <c r="M968" i="3"/>
  <c r="N968" i="3" s="1"/>
  <c r="AA969" i="3"/>
  <c r="Z969" i="3"/>
  <c r="AD969" i="3"/>
  <c r="P969" i="3"/>
  <c r="Q969" i="3" s="1"/>
  <c r="R969" i="3" s="1"/>
  <c r="S969" i="3" s="1"/>
  <c r="AC969" i="3"/>
  <c r="T969" i="3" l="1"/>
  <c r="L968" i="3"/>
  <c r="AH969" i="3" l="1"/>
  <c r="U968" i="3"/>
  <c r="D969" i="3" s="1"/>
  <c r="AG969" i="3"/>
  <c r="Y967" i="3"/>
  <c r="G969" i="3" l="1"/>
  <c r="E969" i="3"/>
  <c r="H969" i="3" s="1"/>
  <c r="F969" i="3" l="1"/>
  <c r="I969" i="3"/>
  <c r="J969" i="3"/>
  <c r="M969" i="3"/>
  <c r="N969" i="3" s="1"/>
  <c r="K969" i="3"/>
  <c r="AE969" i="3" s="1"/>
  <c r="V969" i="3" l="1"/>
  <c r="W969" i="3" s="1"/>
  <c r="A970" i="3"/>
  <c r="B970" i="3" s="1"/>
  <c r="L969" i="3"/>
  <c r="U969" i="3" l="1"/>
  <c r="Y968" i="3"/>
  <c r="AA970" i="3"/>
  <c r="P970" i="3"/>
  <c r="Q970" i="3" s="1"/>
  <c r="R970" i="3" s="1"/>
  <c r="S970" i="3" s="1"/>
  <c r="AC970" i="3"/>
  <c r="Z970" i="3"/>
  <c r="AD970" i="3"/>
  <c r="T970" i="3" l="1"/>
  <c r="E970" i="3" s="1"/>
  <c r="H970" i="3" s="1"/>
  <c r="AH970" i="3" l="1"/>
  <c r="K970" i="3"/>
  <c r="AE970" i="3" s="1"/>
  <c r="D970" i="3"/>
  <c r="AG970" i="3"/>
  <c r="V970" i="3" l="1"/>
  <c r="A971" i="3"/>
  <c r="B971" i="3" s="1"/>
  <c r="F970" i="3"/>
  <c r="G970" i="3"/>
  <c r="I970" i="3" l="1"/>
  <c r="W970" i="3" s="1"/>
  <c r="J970" i="3"/>
  <c r="M970" i="3"/>
  <c r="N970" i="3" s="1"/>
  <c r="P971" i="3"/>
  <c r="Q971" i="3" s="1"/>
  <c r="R971" i="3" s="1"/>
  <c r="S971" i="3" s="1"/>
  <c r="AD971" i="3"/>
  <c r="Z971" i="3"/>
  <c r="AC971" i="3"/>
  <c r="AA971" i="3"/>
  <c r="T971" i="3" l="1"/>
  <c r="L970" i="3"/>
  <c r="U970" i="3" l="1"/>
  <c r="E971" i="3" s="1"/>
  <c r="H971" i="3" s="1"/>
  <c r="AH971" i="3"/>
  <c r="AG971" i="3"/>
  <c r="Y969" i="3"/>
  <c r="K971" i="3" l="1"/>
  <c r="AE971" i="3" s="1"/>
  <c r="D971" i="3"/>
  <c r="V971" i="3" l="1"/>
  <c r="A972" i="3"/>
  <c r="B972" i="3" s="1"/>
  <c r="F971" i="3"/>
  <c r="G971" i="3"/>
  <c r="I971" i="3" l="1"/>
  <c r="W971" i="3" s="1"/>
  <c r="J971" i="3"/>
  <c r="M971" i="3"/>
  <c r="N971" i="3" s="1"/>
  <c r="AC972" i="3"/>
  <c r="AD972" i="3"/>
  <c r="Z972" i="3"/>
  <c r="P972" i="3"/>
  <c r="Q972" i="3" s="1"/>
  <c r="R972" i="3" s="1"/>
  <c r="S972" i="3" s="1"/>
  <c r="AA972" i="3"/>
  <c r="T972" i="3" l="1"/>
  <c r="L971" i="3"/>
  <c r="U971" i="3" l="1"/>
  <c r="D972" i="3" s="1"/>
  <c r="AH972" i="3"/>
  <c r="AG972" i="3"/>
  <c r="Y970" i="3"/>
  <c r="E972" i="3" l="1"/>
  <c r="H972" i="3" s="1"/>
  <c r="K972" i="3" s="1"/>
  <c r="AE972" i="3" s="1"/>
  <c r="G972" i="3"/>
  <c r="F972" i="3" l="1"/>
  <c r="V972" i="3"/>
  <c r="A973" i="3"/>
  <c r="B973" i="3" s="1"/>
  <c r="I972" i="3"/>
  <c r="J972" i="3"/>
  <c r="M972" i="3"/>
  <c r="N972" i="3" s="1"/>
  <c r="W972" i="3" l="1"/>
  <c r="L972" i="3"/>
  <c r="AC973" i="3"/>
  <c r="P973" i="3"/>
  <c r="Q973" i="3" s="1"/>
  <c r="R973" i="3" s="1"/>
  <c r="S973" i="3" s="1"/>
  <c r="Z973" i="3"/>
  <c r="AD973" i="3"/>
  <c r="AA973" i="3"/>
  <c r="U972" i="3" l="1"/>
  <c r="Y971" i="3"/>
  <c r="T973" i="3"/>
  <c r="AG973" i="3" s="1"/>
  <c r="D973" i="3" l="1"/>
  <c r="G973" i="3" s="1"/>
  <c r="E973" i="3"/>
  <c r="H973" i="3" s="1"/>
  <c r="K973" i="3" s="1"/>
  <c r="AE973" i="3" s="1"/>
  <c r="AH973" i="3"/>
  <c r="F973" i="3" l="1"/>
  <c r="I973" i="3"/>
  <c r="J973" i="3"/>
  <c r="M973" i="3"/>
  <c r="N973" i="3" s="1"/>
  <c r="V973" i="3"/>
  <c r="A974" i="3"/>
  <c r="B974" i="3" s="1"/>
  <c r="W973" i="3" l="1"/>
  <c r="L973" i="3"/>
  <c r="P974" i="3"/>
  <c r="Q974" i="3" s="1"/>
  <c r="R974" i="3" s="1"/>
  <c r="S974" i="3" s="1"/>
  <c r="AA974" i="3"/>
  <c r="Z974" i="3"/>
  <c r="AC974" i="3"/>
  <c r="T974" i="3" l="1"/>
  <c r="AG974" i="3" s="1"/>
  <c r="U973" i="3"/>
  <c r="Y972" i="3"/>
  <c r="AH974" i="3" l="1"/>
  <c r="E974" i="3"/>
  <c r="H974" i="3" s="1"/>
  <c r="D974" i="3"/>
  <c r="K974" i="3" l="1"/>
  <c r="AE974" i="3" s="1"/>
  <c r="F974" i="3"/>
  <c r="G974" i="3"/>
  <c r="I974" i="3" l="1"/>
  <c r="J974" i="3"/>
  <c r="AD974" i="3" s="1"/>
  <c r="M974" i="3"/>
  <c r="N974" i="3" s="1"/>
  <c r="V974" i="3"/>
  <c r="A975" i="3"/>
  <c r="B975" i="3" s="1"/>
  <c r="W974" i="3" l="1"/>
  <c r="L974" i="3"/>
  <c r="AD975" i="3"/>
  <c r="P975" i="3"/>
  <c r="Q975" i="3" s="1"/>
  <c r="R975" i="3" s="1"/>
  <c r="S975" i="3" s="1"/>
  <c r="AC975" i="3"/>
  <c r="Z975" i="3"/>
  <c r="AA975" i="3"/>
  <c r="U974" i="3" l="1"/>
  <c r="Y973" i="3"/>
  <c r="T975" i="3"/>
  <c r="D975" i="3" l="1"/>
  <c r="G975" i="3" s="1"/>
  <c r="AH975" i="3"/>
  <c r="E975" i="3"/>
  <c r="H975" i="3" s="1"/>
  <c r="K975" i="3" s="1"/>
  <c r="AE975" i="3" s="1"/>
  <c r="AG975" i="3"/>
  <c r="F975" i="3" l="1"/>
  <c r="V975" i="3"/>
  <c r="A976" i="3"/>
  <c r="B976" i="3" s="1"/>
  <c r="I975" i="3"/>
  <c r="J975" i="3"/>
  <c r="M975" i="3"/>
  <c r="N975" i="3" s="1"/>
  <c r="W975" i="3" l="1"/>
  <c r="L975" i="3"/>
  <c r="AA976" i="3"/>
  <c r="AC976" i="3"/>
  <c r="Z976" i="3"/>
  <c r="AD976" i="3"/>
  <c r="P976" i="3"/>
  <c r="Q976" i="3" s="1"/>
  <c r="R976" i="3" s="1"/>
  <c r="S976" i="3" s="1"/>
  <c r="U975" i="3" l="1"/>
  <c r="Y974" i="3"/>
  <c r="T976" i="3"/>
  <c r="AG976" i="3" s="1"/>
  <c r="AH976" i="3" l="1"/>
  <c r="E976" i="3"/>
  <c r="H976" i="3" s="1"/>
  <c r="D976" i="3"/>
  <c r="K976" i="3" l="1"/>
  <c r="AE976" i="3" s="1"/>
  <c r="F976" i="3"/>
  <c r="G976" i="3"/>
  <c r="I976" i="3" l="1"/>
  <c r="J976" i="3"/>
  <c r="M976" i="3"/>
  <c r="N976" i="3" s="1"/>
  <c r="V976" i="3"/>
  <c r="A977" i="3"/>
  <c r="B977" i="3" s="1"/>
  <c r="W976" i="3" l="1"/>
  <c r="L976" i="3"/>
  <c r="Z977" i="3"/>
  <c r="P977" i="3"/>
  <c r="Q977" i="3" s="1"/>
  <c r="R977" i="3" s="1"/>
  <c r="S977" i="3" s="1"/>
  <c r="AC977" i="3"/>
  <c r="AA977" i="3"/>
  <c r="AD977" i="3"/>
  <c r="T977" i="3" l="1"/>
  <c r="U976" i="3"/>
  <c r="Y975" i="3"/>
  <c r="E977" i="3" l="1"/>
  <c r="H977" i="3" s="1"/>
  <c r="K977" i="3" s="1"/>
  <c r="AE977" i="3" s="1"/>
  <c r="AG977" i="3"/>
  <c r="D977" i="3"/>
  <c r="G977" i="3" s="1"/>
  <c r="AH977" i="3"/>
  <c r="F977" i="3" l="1"/>
  <c r="I977" i="3"/>
  <c r="J977" i="3"/>
  <c r="M977" i="3"/>
  <c r="N977" i="3" s="1"/>
  <c r="V977" i="3"/>
  <c r="A978" i="3"/>
  <c r="B978" i="3" s="1"/>
  <c r="W977" i="3" l="1"/>
  <c r="L977" i="3"/>
  <c r="AC978" i="3"/>
  <c r="Z978" i="3"/>
  <c r="AA978" i="3"/>
  <c r="P978" i="3"/>
  <c r="Q978" i="3" s="1"/>
  <c r="R978" i="3" s="1"/>
  <c r="S978" i="3" s="1"/>
  <c r="T978" i="3" l="1"/>
  <c r="U977" i="3"/>
  <c r="Y976" i="3"/>
  <c r="D978" i="3" l="1"/>
  <c r="G978" i="3" s="1"/>
  <c r="E978" i="3"/>
  <c r="H978" i="3" s="1"/>
  <c r="K978" i="3" s="1"/>
  <c r="AE978" i="3" s="1"/>
  <c r="AH978" i="3"/>
  <c r="AG978" i="3"/>
  <c r="F978" i="3" l="1"/>
  <c r="I978" i="3"/>
  <c r="J978" i="3"/>
  <c r="AD978" i="3" s="1"/>
  <c r="M978" i="3"/>
  <c r="N978" i="3" s="1"/>
  <c r="V978" i="3"/>
  <c r="A979" i="3"/>
  <c r="B979" i="3" s="1"/>
  <c r="W978" i="3" l="1"/>
  <c r="L978" i="3"/>
  <c r="AC979" i="3"/>
  <c r="AA979" i="3"/>
  <c r="AD979" i="3"/>
  <c r="Z979" i="3"/>
  <c r="P979" i="3"/>
  <c r="Q979" i="3" s="1"/>
  <c r="R979" i="3" s="1"/>
  <c r="S979" i="3" s="1"/>
  <c r="T979" i="3" l="1"/>
  <c r="U978" i="3"/>
  <c r="Y977" i="3"/>
  <c r="D979" i="3" l="1"/>
  <c r="G979" i="3" s="1"/>
  <c r="AH979" i="3"/>
  <c r="E979" i="3"/>
  <c r="H979" i="3" s="1"/>
  <c r="K979" i="3" s="1"/>
  <c r="AE979" i="3" s="1"/>
  <c r="AG979" i="3"/>
  <c r="F979" i="3" l="1"/>
  <c r="V979" i="3"/>
  <c r="A980" i="3"/>
  <c r="B980" i="3" s="1"/>
  <c r="I979" i="3"/>
  <c r="J979" i="3"/>
  <c r="M979" i="3"/>
  <c r="N979" i="3" s="1"/>
  <c r="W979" i="3" l="1"/>
  <c r="L979" i="3"/>
  <c r="P980" i="3"/>
  <c r="Q980" i="3" s="1"/>
  <c r="R980" i="3" s="1"/>
  <c r="S980" i="3" s="1"/>
  <c r="AA980" i="3"/>
  <c r="AD980" i="3"/>
  <c r="AC980" i="3"/>
  <c r="Z980" i="3"/>
  <c r="U979" i="3" l="1"/>
  <c r="Y978" i="3"/>
  <c r="T980" i="3"/>
  <c r="AH980" i="3" s="1"/>
  <c r="D980" i="3" l="1"/>
  <c r="G980" i="3" s="1"/>
  <c r="E980" i="3"/>
  <c r="H980" i="3" s="1"/>
  <c r="K980" i="3" s="1"/>
  <c r="AE980" i="3" s="1"/>
  <c r="AG980" i="3"/>
  <c r="F980" i="3" l="1"/>
  <c r="I980" i="3"/>
  <c r="J980" i="3"/>
  <c r="M980" i="3"/>
  <c r="N980" i="3" s="1"/>
  <c r="V980" i="3"/>
  <c r="A981" i="3"/>
  <c r="B981" i="3" s="1"/>
  <c r="W980" i="3" l="1"/>
  <c r="L980" i="3"/>
  <c r="AD981" i="3"/>
  <c r="AA981" i="3"/>
  <c r="AC981" i="3"/>
  <c r="Z981" i="3"/>
  <c r="P981" i="3"/>
  <c r="Q981" i="3" s="1"/>
  <c r="R981" i="3" s="1"/>
  <c r="S981" i="3" s="1"/>
  <c r="U980" i="3" l="1"/>
  <c r="Y979" i="3"/>
  <c r="T981" i="3"/>
  <c r="AH981" i="3" s="1"/>
  <c r="D981" i="3" l="1"/>
  <c r="G981" i="3" s="1"/>
  <c r="AG981" i="3"/>
  <c r="E981" i="3"/>
  <c r="H981" i="3" s="1"/>
  <c r="F981" i="3" l="1"/>
  <c r="I981" i="3"/>
  <c r="J981" i="3"/>
  <c r="M981" i="3"/>
  <c r="N981" i="3" s="1"/>
  <c r="K981" i="3"/>
  <c r="AE981" i="3" s="1"/>
  <c r="V981" i="3" l="1"/>
  <c r="W981" i="3" s="1"/>
  <c r="A982" i="3"/>
  <c r="B982" i="3" s="1"/>
  <c r="L981" i="3"/>
  <c r="U981" i="3" l="1"/>
  <c r="Y980" i="3"/>
  <c r="P982" i="3"/>
  <c r="Q982" i="3" s="1"/>
  <c r="R982" i="3" s="1"/>
  <c r="S982" i="3" s="1"/>
  <c r="AD982" i="3"/>
  <c r="AC982" i="3"/>
  <c r="AA982" i="3"/>
  <c r="Z982" i="3"/>
  <c r="T982" i="3" l="1"/>
  <c r="E982" i="3" s="1"/>
  <c r="H982" i="3" s="1"/>
  <c r="AG982" i="3" l="1"/>
  <c r="AH982" i="3"/>
  <c r="D982" i="3"/>
  <c r="G982" i="3" s="1"/>
  <c r="K982" i="3"/>
  <c r="AE982" i="3" s="1"/>
  <c r="F982" i="3" l="1"/>
  <c r="I982" i="3"/>
  <c r="J982" i="3"/>
  <c r="M982" i="3"/>
  <c r="N982" i="3" s="1"/>
  <c r="V982" i="3"/>
  <c r="A983" i="3"/>
  <c r="B983" i="3" s="1"/>
  <c r="W982" i="3" l="1"/>
  <c r="L982" i="3"/>
  <c r="AD983" i="3"/>
  <c r="Z983" i="3"/>
  <c r="P983" i="3"/>
  <c r="Q983" i="3" s="1"/>
  <c r="R983" i="3" s="1"/>
  <c r="S983" i="3" s="1"/>
  <c r="AA983" i="3"/>
  <c r="AC983" i="3"/>
  <c r="U982" i="3" l="1"/>
  <c r="Y981" i="3"/>
  <c r="T983" i="3"/>
  <c r="AG983" i="3" s="1"/>
  <c r="E983" i="3" l="1"/>
  <c r="H983" i="3" s="1"/>
  <c r="K983" i="3" s="1"/>
  <c r="AE983" i="3" s="1"/>
  <c r="D983" i="3"/>
  <c r="AH983" i="3"/>
  <c r="F983" i="3" l="1"/>
  <c r="G983" i="3"/>
  <c r="M983" i="3" s="1"/>
  <c r="N983" i="3" s="1"/>
  <c r="V983" i="3"/>
  <c r="A984" i="3"/>
  <c r="B984" i="3" s="1"/>
  <c r="I983" i="3" l="1"/>
  <c r="W983" i="3" s="1"/>
  <c r="J983" i="3"/>
  <c r="L983" i="3" s="1"/>
  <c r="P984" i="3"/>
  <c r="Q984" i="3" s="1"/>
  <c r="R984" i="3" s="1"/>
  <c r="S984" i="3" s="1"/>
  <c r="AA984" i="3"/>
  <c r="Z984" i="3"/>
  <c r="AC984" i="3"/>
  <c r="U983" i="3" l="1"/>
  <c r="Y982" i="3"/>
  <c r="T984" i="3"/>
  <c r="E984" i="3" l="1"/>
  <c r="H984" i="3" s="1"/>
  <c r="K984" i="3" s="1"/>
  <c r="AE984" i="3" s="1"/>
  <c r="AG984" i="3"/>
  <c r="D984" i="3"/>
  <c r="AH984" i="3"/>
  <c r="F984" i="3" l="1"/>
  <c r="G984" i="3"/>
  <c r="V984" i="3"/>
  <c r="A985" i="3"/>
  <c r="B985" i="3" s="1"/>
  <c r="AA985" i="3" l="1"/>
  <c r="Z985" i="3"/>
  <c r="P985" i="3"/>
  <c r="Q985" i="3" s="1"/>
  <c r="R985" i="3" s="1"/>
  <c r="S985" i="3" s="1"/>
  <c r="AD985" i="3"/>
  <c r="AC985" i="3"/>
  <c r="I984" i="3"/>
  <c r="W984" i="3" s="1"/>
  <c r="J984" i="3"/>
  <c r="AD984" i="3" s="1"/>
  <c r="M984" i="3"/>
  <c r="N984" i="3" s="1"/>
  <c r="T985" i="3" l="1"/>
  <c r="L984" i="3"/>
  <c r="AG985" i="3" l="1"/>
  <c r="AH985" i="3"/>
  <c r="U984" i="3"/>
  <c r="D985" i="3" s="1"/>
  <c r="Y983" i="3"/>
  <c r="G985" i="3" l="1"/>
  <c r="E985" i="3"/>
  <c r="H985" i="3" s="1"/>
  <c r="I985" i="3" l="1"/>
  <c r="J985" i="3"/>
  <c r="M985" i="3"/>
  <c r="N985" i="3" s="1"/>
  <c r="F985" i="3"/>
  <c r="K985" i="3"/>
  <c r="AE985" i="3" s="1"/>
  <c r="L985" i="3" l="1"/>
  <c r="V985" i="3"/>
  <c r="W985" i="3" s="1"/>
  <c r="A986" i="3"/>
  <c r="B986" i="3" s="1"/>
  <c r="U985" i="3" l="1"/>
  <c r="Y984" i="3"/>
  <c r="AC986" i="3"/>
  <c r="P986" i="3"/>
  <c r="Q986" i="3" s="1"/>
  <c r="R986" i="3" s="1"/>
  <c r="S986" i="3" s="1"/>
  <c r="Z986" i="3"/>
  <c r="AD986" i="3"/>
  <c r="AA986" i="3"/>
  <c r="T986" i="3" l="1"/>
  <c r="E986" i="3" s="1"/>
  <c r="H986" i="3" s="1"/>
  <c r="AG986" i="3" l="1"/>
  <c r="K986" i="3"/>
  <c r="AE986" i="3" s="1"/>
  <c r="AH986" i="3"/>
  <c r="D986" i="3"/>
  <c r="F986" i="3" l="1"/>
  <c r="G986" i="3"/>
  <c r="V986" i="3"/>
  <c r="A987" i="3"/>
  <c r="B987" i="3" s="1"/>
  <c r="Z987" i="3" l="1"/>
  <c r="AC987" i="3"/>
  <c r="P987" i="3"/>
  <c r="Q987" i="3" s="1"/>
  <c r="R987" i="3" s="1"/>
  <c r="S987" i="3" s="1"/>
  <c r="AD987" i="3"/>
  <c r="AA987" i="3"/>
  <c r="I986" i="3"/>
  <c r="W986" i="3" s="1"/>
  <c r="J986" i="3"/>
  <c r="M986" i="3"/>
  <c r="N986" i="3" s="1"/>
  <c r="L986" i="3" l="1"/>
  <c r="T987" i="3"/>
  <c r="U986" i="3" l="1"/>
  <c r="E987" i="3" s="1"/>
  <c r="H987" i="3" s="1"/>
  <c r="AH987" i="3"/>
  <c r="AG987" i="3"/>
  <c r="Y985" i="3"/>
  <c r="K987" i="3" l="1"/>
  <c r="AE987" i="3" s="1"/>
  <c r="D987" i="3"/>
  <c r="V987" i="3" l="1"/>
  <c r="A988" i="3"/>
  <c r="B988" i="3" s="1"/>
  <c r="F987" i="3"/>
  <c r="G987" i="3"/>
  <c r="I987" i="3" l="1"/>
  <c r="W987" i="3" s="1"/>
  <c r="J987" i="3"/>
  <c r="M987" i="3"/>
  <c r="N987" i="3" s="1"/>
  <c r="AC988" i="3"/>
  <c r="Z988" i="3"/>
  <c r="AA988" i="3"/>
  <c r="P988" i="3"/>
  <c r="Q988" i="3" s="1"/>
  <c r="R988" i="3" s="1"/>
  <c r="S988" i="3" s="1"/>
  <c r="L987" i="3" l="1"/>
  <c r="T988" i="3"/>
  <c r="AH988" i="3" l="1"/>
  <c r="U987" i="3"/>
  <c r="E988" i="3" s="1"/>
  <c r="H988" i="3" s="1"/>
  <c r="AG988" i="3"/>
  <c r="Y986" i="3"/>
  <c r="D988" i="3" l="1"/>
  <c r="G988" i="3" s="1"/>
  <c r="K988" i="3"/>
  <c r="AE988" i="3" s="1"/>
  <c r="F988" i="3" l="1"/>
  <c r="I988" i="3"/>
  <c r="J988" i="3"/>
  <c r="AD988" i="3" s="1"/>
  <c r="M988" i="3"/>
  <c r="N988" i="3" s="1"/>
  <c r="V988" i="3"/>
  <c r="A989" i="3"/>
  <c r="B989" i="3" s="1"/>
  <c r="W988" i="3" l="1"/>
  <c r="L988" i="3"/>
  <c r="AC989" i="3"/>
  <c r="AD989" i="3"/>
  <c r="P989" i="3"/>
  <c r="Q989" i="3" s="1"/>
  <c r="R989" i="3" s="1"/>
  <c r="S989" i="3" s="1"/>
  <c r="Z989" i="3"/>
  <c r="AA989" i="3"/>
  <c r="T989" i="3" l="1"/>
  <c r="U988" i="3"/>
  <c r="Y987" i="3"/>
  <c r="D989" i="3" l="1"/>
  <c r="G989" i="3" s="1"/>
  <c r="AG989" i="3"/>
  <c r="E989" i="3"/>
  <c r="H989" i="3" s="1"/>
  <c r="AH989" i="3"/>
  <c r="F989" i="3" l="1"/>
  <c r="I989" i="3"/>
  <c r="J989" i="3"/>
  <c r="M989" i="3"/>
  <c r="N989" i="3" s="1"/>
  <c r="K989" i="3"/>
  <c r="AE989" i="3" s="1"/>
  <c r="L989" i="3" l="1"/>
  <c r="V989" i="3"/>
  <c r="W989" i="3" s="1"/>
  <c r="A990" i="3"/>
  <c r="B990" i="3" s="1"/>
  <c r="U989" i="3" l="1"/>
  <c r="Y988" i="3"/>
  <c r="AC990" i="3"/>
  <c r="AD990" i="3"/>
  <c r="AA990" i="3"/>
  <c r="Z990" i="3"/>
  <c r="P990" i="3"/>
  <c r="Q990" i="3" s="1"/>
  <c r="R990" i="3" s="1"/>
  <c r="S990" i="3" s="1"/>
  <c r="T990" i="3" l="1"/>
  <c r="E990" i="3" s="1"/>
  <c r="H990" i="3" s="1"/>
  <c r="AH990" i="3" l="1"/>
  <c r="D990" i="3"/>
  <c r="G990" i="3" s="1"/>
  <c r="AG990" i="3"/>
  <c r="K990" i="3"/>
  <c r="AE990" i="3" s="1"/>
  <c r="F990" i="3" l="1"/>
  <c r="V990" i="3"/>
  <c r="A991" i="3"/>
  <c r="B991" i="3" s="1"/>
  <c r="I990" i="3"/>
  <c r="J990" i="3"/>
  <c r="M990" i="3"/>
  <c r="N990" i="3" s="1"/>
  <c r="L990" i="3" l="1"/>
  <c r="W990" i="3"/>
  <c r="AA991" i="3"/>
  <c r="AD991" i="3"/>
  <c r="P991" i="3"/>
  <c r="Q991" i="3" s="1"/>
  <c r="R991" i="3" s="1"/>
  <c r="S991" i="3" s="1"/>
  <c r="Z991" i="3"/>
  <c r="AC991" i="3"/>
  <c r="U990" i="3" l="1"/>
  <c r="Y989" i="3"/>
  <c r="T991" i="3"/>
  <c r="D991" i="3" l="1"/>
  <c r="G991" i="3" s="1"/>
  <c r="E991" i="3"/>
  <c r="H991" i="3" s="1"/>
  <c r="K991" i="3" s="1"/>
  <c r="AE991" i="3" s="1"/>
  <c r="AG991" i="3"/>
  <c r="AH991" i="3"/>
  <c r="F991" i="3" l="1"/>
  <c r="V991" i="3"/>
  <c r="A992" i="3"/>
  <c r="B992" i="3" s="1"/>
  <c r="I991" i="3"/>
  <c r="J991" i="3"/>
  <c r="M991" i="3"/>
  <c r="N991" i="3" s="1"/>
  <c r="W991" i="3" l="1"/>
  <c r="L991" i="3"/>
  <c r="AC992" i="3"/>
  <c r="AD992" i="3"/>
  <c r="Z992" i="3"/>
  <c r="AA992" i="3"/>
  <c r="P992" i="3"/>
  <c r="Q992" i="3" s="1"/>
  <c r="R992" i="3" s="1"/>
  <c r="S992" i="3" s="1"/>
  <c r="U991" i="3" l="1"/>
  <c r="Y990" i="3"/>
  <c r="T992" i="3"/>
  <c r="AG992" i="3" s="1"/>
  <c r="D992" i="3" l="1"/>
  <c r="AH992" i="3"/>
  <c r="E992" i="3"/>
  <c r="H992" i="3" s="1"/>
  <c r="K992" i="3" s="1"/>
  <c r="AE992" i="3" s="1"/>
  <c r="F992" i="3" l="1"/>
  <c r="G992" i="3"/>
  <c r="M992" i="3" s="1"/>
  <c r="N992" i="3" s="1"/>
  <c r="V992" i="3"/>
  <c r="A993" i="3"/>
  <c r="B993" i="3" s="1"/>
  <c r="I992" i="3" l="1"/>
  <c r="W992" i="3" s="1"/>
  <c r="J992" i="3"/>
  <c r="L992" i="3" s="1"/>
  <c r="AD993" i="3"/>
  <c r="Z993" i="3"/>
  <c r="AA993" i="3"/>
  <c r="P993" i="3"/>
  <c r="Q993" i="3" s="1"/>
  <c r="R993" i="3" s="1"/>
  <c r="S993" i="3" s="1"/>
  <c r="AC993" i="3"/>
  <c r="U992" i="3" l="1"/>
  <c r="Y991" i="3"/>
  <c r="T993" i="3"/>
  <c r="AH993" i="3" s="1"/>
  <c r="D993" i="3" l="1"/>
  <c r="G993" i="3" s="1"/>
  <c r="E993" i="3"/>
  <c r="H993" i="3" s="1"/>
  <c r="K993" i="3" s="1"/>
  <c r="AE993" i="3" s="1"/>
  <c r="AG993" i="3"/>
  <c r="F993" i="3" l="1"/>
  <c r="V993" i="3"/>
  <c r="A994" i="3"/>
  <c r="B994" i="3" s="1"/>
  <c r="I993" i="3"/>
  <c r="J993" i="3"/>
  <c r="M993" i="3"/>
  <c r="N993" i="3" s="1"/>
  <c r="L993" i="3" l="1"/>
  <c r="W993" i="3"/>
  <c r="AA994" i="3"/>
  <c r="P994" i="3"/>
  <c r="Q994" i="3" s="1"/>
  <c r="R994" i="3" s="1"/>
  <c r="S994" i="3" s="1"/>
  <c r="Z994" i="3"/>
  <c r="AC994" i="3"/>
  <c r="U993" i="3" l="1"/>
  <c r="Y992" i="3"/>
  <c r="T994" i="3"/>
  <c r="AH994" i="3" s="1"/>
  <c r="E994" i="3" l="1"/>
  <c r="H994" i="3" s="1"/>
  <c r="K994" i="3" s="1"/>
  <c r="AE994" i="3" s="1"/>
  <c r="D994" i="3"/>
  <c r="AG994" i="3"/>
  <c r="F994" i="3" l="1"/>
  <c r="G994" i="3"/>
  <c r="J994" i="3" s="1"/>
  <c r="AD994" i="3" s="1"/>
  <c r="V994" i="3"/>
  <c r="A995" i="3"/>
  <c r="B995" i="3" s="1"/>
  <c r="M994" i="3" l="1"/>
  <c r="N994" i="3" s="1"/>
  <c r="I994" i="3"/>
  <c r="W994" i="3" s="1"/>
  <c r="L994" i="3"/>
  <c r="AA995" i="3"/>
  <c r="AD995" i="3"/>
  <c r="P995" i="3"/>
  <c r="Q995" i="3" s="1"/>
  <c r="R995" i="3" s="1"/>
  <c r="S995" i="3" s="1"/>
  <c r="AC995" i="3"/>
  <c r="Z995" i="3"/>
  <c r="T995" i="3" l="1"/>
  <c r="U994" i="3"/>
  <c r="Y993" i="3"/>
  <c r="D995" i="3" l="1"/>
  <c r="G995" i="3" s="1"/>
  <c r="E995" i="3"/>
  <c r="H995" i="3" s="1"/>
  <c r="K995" i="3" s="1"/>
  <c r="AE995" i="3" s="1"/>
  <c r="AH995" i="3"/>
  <c r="AG995" i="3"/>
  <c r="F995" i="3" l="1"/>
  <c r="I995" i="3"/>
  <c r="J995" i="3"/>
  <c r="M995" i="3"/>
  <c r="N995" i="3" s="1"/>
  <c r="V995" i="3"/>
  <c r="A996" i="3"/>
  <c r="B996" i="3" s="1"/>
  <c r="W995" i="3" l="1"/>
  <c r="L995" i="3"/>
  <c r="Z996" i="3"/>
  <c r="AD996" i="3"/>
  <c r="P996" i="3"/>
  <c r="Q996" i="3" s="1"/>
  <c r="R996" i="3" s="1"/>
  <c r="S996" i="3" s="1"/>
  <c r="AA996" i="3"/>
  <c r="AC996" i="3"/>
  <c r="U995" i="3" l="1"/>
  <c r="Y994" i="3"/>
  <c r="T996" i="3"/>
  <c r="D996" i="3" l="1"/>
  <c r="G996" i="3" s="1"/>
  <c r="AG996" i="3"/>
  <c r="E996" i="3"/>
  <c r="H996" i="3" s="1"/>
  <c r="K996" i="3" s="1"/>
  <c r="AE996" i="3" s="1"/>
  <c r="AH996" i="3"/>
  <c r="F996" i="3" l="1"/>
  <c r="I996" i="3"/>
  <c r="J996" i="3"/>
  <c r="M996" i="3"/>
  <c r="N996" i="3" s="1"/>
  <c r="V996" i="3"/>
  <c r="A997" i="3"/>
  <c r="B997" i="3" s="1"/>
  <c r="AD997" i="3" l="1"/>
  <c r="P997" i="3"/>
  <c r="Q997" i="3" s="1"/>
  <c r="R997" i="3" s="1"/>
  <c r="S997" i="3" s="1"/>
  <c r="Z997" i="3"/>
  <c r="AA997" i="3"/>
  <c r="AC997" i="3"/>
  <c r="L996" i="3"/>
  <c r="W996" i="3"/>
  <c r="U996" i="3" l="1"/>
  <c r="Y995" i="3"/>
  <c r="T997" i="3"/>
  <c r="AH997" i="3" s="1"/>
  <c r="AG997" i="3" l="1"/>
  <c r="D997" i="3"/>
  <c r="E997" i="3"/>
  <c r="H997" i="3" s="1"/>
  <c r="K997" i="3" s="1"/>
  <c r="AE997" i="3" s="1"/>
  <c r="F997" i="3" l="1"/>
  <c r="G997" i="3"/>
  <c r="I997" i="3" s="1"/>
  <c r="V997" i="3"/>
  <c r="A998" i="3"/>
  <c r="B998" i="3" s="1"/>
  <c r="J997" i="3" l="1"/>
  <c r="L997" i="3" s="1"/>
  <c r="M997" i="3"/>
  <c r="N997" i="3" s="1"/>
  <c r="W997" i="3"/>
  <c r="Z998" i="3"/>
  <c r="P998" i="3"/>
  <c r="Q998" i="3" s="1"/>
  <c r="R998" i="3" s="1"/>
  <c r="S998" i="3" s="1"/>
  <c r="AC998" i="3"/>
  <c r="AA998" i="3"/>
  <c r="T998" i="3" l="1"/>
  <c r="AG998" i="3" s="1"/>
  <c r="U997" i="3"/>
  <c r="Y996" i="3"/>
  <c r="E998" i="3" l="1"/>
  <c r="H998" i="3" s="1"/>
  <c r="K998" i="3" s="1"/>
  <c r="AE998" i="3" s="1"/>
  <c r="AH998" i="3"/>
  <c r="D998" i="3"/>
  <c r="V998" i="3" l="1"/>
  <c r="A999" i="3"/>
  <c r="B999" i="3" s="1"/>
  <c r="F998" i="3"/>
  <c r="G998" i="3"/>
  <c r="I998" i="3" l="1"/>
  <c r="W998" i="3" s="1"/>
  <c r="J998" i="3"/>
  <c r="AD998" i="3" s="1"/>
  <c r="M998" i="3"/>
  <c r="N998" i="3" s="1"/>
  <c r="AD999" i="3"/>
  <c r="Z999" i="3"/>
  <c r="AC999" i="3"/>
  <c r="AA999" i="3"/>
  <c r="P999" i="3"/>
  <c r="Q999" i="3" s="1"/>
  <c r="R999" i="3" s="1"/>
  <c r="S999" i="3" s="1"/>
  <c r="T999" i="3" l="1"/>
  <c r="L998" i="3"/>
  <c r="AG999" i="3" l="1"/>
  <c r="U998" i="3"/>
  <c r="D999" i="3" s="1"/>
  <c r="AH999" i="3"/>
  <c r="Y997" i="3"/>
  <c r="E999" i="3" l="1"/>
  <c r="H999" i="3" s="1"/>
  <c r="K999" i="3" s="1"/>
  <c r="AE999" i="3" s="1"/>
  <c r="G999" i="3"/>
  <c r="F999" i="3" l="1"/>
  <c r="I999" i="3"/>
  <c r="J999" i="3"/>
  <c r="M999" i="3"/>
  <c r="N999" i="3" s="1"/>
  <c r="V999" i="3"/>
  <c r="A1000" i="3"/>
  <c r="B1000" i="3" s="1"/>
  <c r="W999" i="3" l="1"/>
  <c r="L999" i="3"/>
  <c r="AC1000" i="3"/>
  <c r="AD1000" i="3"/>
  <c r="P1000" i="3"/>
  <c r="Q1000" i="3" s="1"/>
  <c r="R1000" i="3" s="1"/>
  <c r="S1000" i="3" s="1"/>
  <c r="Z1000" i="3"/>
  <c r="AA1000" i="3"/>
  <c r="U999" i="3" l="1"/>
  <c r="Y998" i="3"/>
  <c r="T1000" i="3"/>
  <c r="AG1000" i="3" s="1"/>
  <c r="D1000" i="3" l="1"/>
  <c r="G1000" i="3" s="1"/>
  <c r="AH1000" i="3"/>
  <c r="E1000" i="3"/>
  <c r="H1000" i="3" s="1"/>
  <c r="K1000" i="3" s="1"/>
  <c r="AE1000" i="3" s="1"/>
  <c r="F1000" i="3" l="1"/>
  <c r="I1000" i="3"/>
  <c r="J1000" i="3"/>
  <c r="M1000" i="3"/>
  <c r="N1000" i="3" s="1"/>
  <c r="V1000" i="3"/>
  <c r="A1001" i="3"/>
  <c r="B1001" i="3" s="1"/>
  <c r="W1000" i="3" l="1"/>
  <c r="L1000" i="3"/>
  <c r="P1001" i="3"/>
  <c r="Q1001" i="3" s="1"/>
  <c r="R1001" i="3" s="1"/>
  <c r="S1001" i="3" s="1"/>
  <c r="Z1001" i="3"/>
  <c r="AC1001" i="3"/>
  <c r="AA1001" i="3"/>
  <c r="AD1001" i="3"/>
  <c r="U1000" i="3" l="1"/>
  <c r="Y999" i="3"/>
  <c r="T1001" i="3"/>
  <c r="D1001" i="3" l="1"/>
  <c r="G1001" i="3" s="1"/>
  <c r="E1001" i="3"/>
  <c r="H1001" i="3" s="1"/>
  <c r="AG1001" i="3"/>
  <c r="AH1001" i="3"/>
  <c r="F1001" i="3" l="1"/>
  <c r="I1001" i="3"/>
  <c r="J1001" i="3"/>
  <c r="M1001" i="3"/>
  <c r="N1001" i="3" s="1"/>
  <c r="K1001" i="3"/>
  <c r="AE1001" i="3" s="1"/>
  <c r="V1001" i="3" l="1"/>
  <c r="W1001" i="3" s="1"/>
  <c r="A1002" i="3"/>
  <c r="B1002" i="3" s="1"/>
  <c r="L1001" i="3"/>
  <c r="U1001" i="3" l="1"/>
  <c r="Y1000" i="3"/>
  <c r="AD1002" i="3"/>
  <c r="AA1002" i="3"/>
  <c r="Z1002" i="3"/>
  <c r="AC1002" i="3"/>
  <c r="P1002" i="3"/>
  <c r="Q1002" i="3" s="1"/>
  <c r="R1002" i="3" s="1"/>
  <c r="S1002" i="3" s="1"/>
  <c r="T1002" i="3" l="1"/>
  <c r="AG1002" i="3" s="1"/>
  <c r="AH1002" i="3" l="1"/>
  <c r="D1002" i="3"/>
  <c r="G1002" i="3" s="1"/>
  <c r="E1002" i="3"/>
  <c r="H1002" i="3" s="1"/>
  <c r="K1002" i="3" s="1"/>
  <c r="AE1002" i="3" s="1"/>
  <c r="F1002" i="3" l="1"/>
  <c r="I1002" i="3"/>
  <c r="J1002" i="3"/>
  <c r="M1002" i="3"/>
  <c r="N1002" i="3" s="1"/>
  <c r="V1002" i="3"/>
  <c r="A1003" i="3"/>
  <c r="B1003" i="3" s="1"/>
  <c r="W1002" i="3" l="1"/>
  <c r="L1002" i="3"/>
  <c r="AC1003" i="3"/>
  <c r="P1003" i="3"/>
  <c r="Q1003" i="3" s="1"/>
  <c r="R1003" i="3" s="1"/>
  <c r="S1003" i="3" s="1"/>
  <c r="AA1003" i="3"/>
  <c r="Z1003" i="3"/>
  <c r="AD1003" i="3"/>
  <c r="T1003" i="3" l="1"/>
  <c r="AH1003" i="3" s="1"/>
  <c r="U1002" i="3"/>
  <c r="Y1001" i="3"/>
  <c r="D1003" i="3" l="1"/>
  <c r="G1003" i="3" s="1"/>
  <c r="E1003" i="3"/>
  <c r="H1003" i="3" s="1"/>
  <c r="K1003" i="3" s="1"/>
  <c r="AE1003" i="3" s="1"/>
  <c r="AG1003" i="3"/>
  <c r="F1003" i="3" l="1"/>
  <c r="I1003" i="3"/>
  <c r="J1003" i="3"/>
  <c r="M1003" i="3"/>
  <c r="N1003" i="3" s="1"/>
  <c r="V1003" i="3"/>
  <c r="A1004" i="3"/>
  <c r="B1004" i="3" s="1"/>
  <c r="W1003" i="3" l="1"/>
  <c r="L1003" i="3"/>
  <c r="P1004" i="3"/>
  <c r="Q1004" i="3" s="1"/>
  <c r="R1004" i="3" s="1"/>
  <c r="S1004" i="3" s="1"/>
  <c r="T1004" i="3" s="1"/>
  <c r="AA1004" i="3"/>
  <c r="Z1004" i="3"/>
  <c r="AC1004" i="3"/>
  <c r="AG1004" i="3" l="1"/>
  <c r="AH1004" i="3"/>
  <c r="U1003" i="3"/>
  <c r="D1004" i="3" s="1"/>
  <c r="Y1002" i="3"/>
  <c r="J50" i="1"/>
  <c r="L50" i="1"/>
  <c r="I50" i="1"/>
  <c r="J26" i="1"/>
  <c r="K50" i="1"/>
  <c r="M50" i="1"/>
  <c r="K26" i="1"/>
  <c r="I26" i="1"/>
  <c r="K28" i="1"/>
  <c r="I48" i="1"/>
  <c r="L48" i="1"/>
  <c r="M48" i="1"/>
  <c r="K48" i="1"/>
  <c r="J48" i="1"/>
  <c r="I28" i="1"/>
  <c r="J28" i="1"/>
  <c r="E1004" i="3" l="1"/>
  <c r="H1004" i="3" s="1"/>
  <c r="K1004" i="3" s="1"/>
  <c r="AE1004" i="3" s="1"/>
  <c r="C125" i="1"/>
  <c r="C158" i="1"/>
  <c r="C33" i="1"/>
  <c r="C129" i="1"/>
  <c r="C124" i="1"/>
  <c r="C127" i="1"/>
  <c r="C35" i="1"/>
  <c r="J49" i="1" s="1"/>
  <c r="C132" i="1"/>
  <c r="C133" i="1" s="1"/>
  <c r="M26" i="1"/>
  <c r="I72" i="7"/>
  <c r="I73" i="7" s="1"/>
  <c r="I70" i="7"/>
  <c r="G1004" i="3"/>
  <c r="B129" i="1"/>
  <c r="B124" i="1"/>
  <c r="B128" i="1"/>
  <c r="D158" i="1"/>
  <c r="B125" i="1"/>
  <c r="B127" i="1"/>
  <c r="B130" i="1"/>
  <c r="B126" i="1"/>
  <c r="D33" i="1"/>
  <c r="D35" i="1"/>
  <c r="J51" i="1" s="1"/>
  <c r="C149" i="1"/>
  <c r="C150" i="1" s="1"/>
  <c r="C141" i="1"/>
  <c r="C144" i="1"/>
  <c r="C146" i="1"/>
  <c r="C142" i="1"/>
  <c r="B141" i="1"/>
  <c r="B144" i="1"/>
  <c r="B143" i="1"/>
  <c r="B147" i="1"/>
  <c r="B145" i="1"/>
  <c r="B142" i="1"/>
  <c r="B146" i="1"/>
  <c r="M28" i="1"/>
  <c r="H72" i="7"/>
  <c r="H73" i="7" s="1"/>
  <c r="H70" i="7"/>
  <c r="F1004" i="3" l="1"/>
  <c r="L25" i="1" s="1"/>
  <c r="H51" i="1"/>
  <c r="D34" i="1"/>
  <c r="L44" i="1"/>
  <c r="I1004" i="3"/>
  <c r="J1004" i="3"/>
  <c r="M1004" i="3"/>
  <c r="N1004" i="3" s="1"/>
  <c r="E31" i="7"/>
  <c r="H49" i="1"/>
  <c r="C34" i="1"/>
  <c r="V1004" i="3"/>
  <c r="L1004" i="3" l="1"/>
  <c r="Y1004" i="3" s="1"/>
  <c r="AD1004" i="3"/>
  <c r="W1004" i="3"/>
  <c r="B136" i="1"/>
  <c r="B138" i="1"/>
  <c r="B134" i="1"/>
  <c r="B133" i="1" s="1"/>
  <c r="F137" i="1"/>
  <c r="F138" i="1"/>
  <c r="C136" i="1"/>
  <c r="C138" i="1"/>
  <c r="K25" i="1"/>
  <c r="K44" i="1"/>
  <c r="B151" i="1"/>
  <c r="B150" i="1" s="1"/>
  <c r="B155" i="1"/>
  <c r="B153" i="1"/>
  <c r="H117" i="7"/>
  <c r="E62" i="7"/>
  <c r="F62" i="7" s="1"/>
  <c r="E120" i="7"/>
  <c r="F120" i="7" s="1"/>
  <c r="E119" i="7"/>
  <c r="F119" i="7" s="1"/>
  <c r="E133" i="7"/>
  <c r="E63" i="7"/>
  <c r="F63" i="7" s="1"/>
  <c r="H59" i="7"/>
  <c r="L31" i="7"/>
  <c r="E65" i="7"/>
  <c r="F65" i="7" s="1"/>
  <c r="Y1003" i="3" l="1"/>
  <c r="M43" i="1" s="1"/>
  <c r="U1004" i="3"/>
  <c r="J45" i="1"/>
  <c r="H27" i="1"/>
  <c r="J31" i="7" s="1"/>
  <c r="L45" i="1"/>
  <c r="M45" i="1"/>
  <c r="K45" i="1"/>
  <c r="H45" i="1"/>
  <c r="I46" i="1"/>
  <c r="H46" i="1"/>
  <c r="J27" i="1"/>
  <c r="D164" i="1" s="1"/>
  <c r="M46" i="1"/>
  <c r="K27" i="1"/>
  <c r="K31" i="7" s="1"/>
  <c r="L46" i="1"/>
  <c r="I27" i="1"/>
  <c r="B164" i="1" s="1"/>
  <c r="I45" i="1"/>
  <c r="J46" i="1"/>
  <c r="H29" i="1"/>
  <c r="F155" i="1" s="1"/>
  <c r="M31" i="7"/>
  <c r="E121" i="7"/>
  <c r="F121" i="7" s="1"/>
  <c r="H116" i="7"/>
  <c r="H58" i="7"/>
  <c r="E64" i="7"/>
  <c r="F64" i="7" s="1"/>
  <c r="L43" i="1" l="1"/>
  <c r="K24" i="1"/>
  <c r="S26" i="6" s="1"/>
  <c r="K43" i="1"/>
  <c r="I43" i="1"/>
  <c r="J43" i="1"/>
  <c r="H55" i="7"/>
  <c r="H112" i="7"/>
  <c r="H53" i="7"/>
  <c r="P32" i="1"/>
  <c r="P33" i="1"/>
  <c r="I67" i="7"/>
  <c r="H43" i="1"/>
  <c r="K46" i="1"/>
  <c r="H47" i="1"/>
  <c r="M47" i="1"/>
  <c r="L47" i="1"/>
  <c r="K47" i="1"/>
  <c r="K29" i="1" s="1"/>
  <c r="M29" i="1" s="1"/>
  <c r="J47" i="1"/>
  <c r="J29" i="1"/>
  <c r="F197" i="1"/>
  <c r="F194" i="1"/>
  <c r="F175" i="1"/>
  <c r="D189" i="1"/>
  <c r="F165" i="1"/>
  <c r="F167" i="1"/>
  <c r="D169" i="1"/>
  <c r="D195" i="1"/>
  <c r="D197" i="1"/>
  <c r="D199" i="1"/>
  <c r="D176" i="1"/>
  <c r="D171" i="1"/>
  <c r="D200" i="1"/>
  <c r="D162" i="1"/>
  <c r="D188" i="1"/>
  <c r="F198" i="1"/>
  <c r="D168" i="1"/>
  <c r="D194" i="1"/>
  <c r="F187" i="1"/>
  <c r="F166" i="1"/>
  <c r="F174" i="1"/>
  <c r="F188" i="1"/>
  <c r="F172" i="1"/>
  <c r="F173" i="1"/>
  <c r="D167" i="1"/>
  <c r="D180" i="1"/>
  <c r="F201" i="1"/>
  <c r="D163" i="1"/>
  <c r="F200" i="1"/>
  <c r="D165" i="1"/>
  <c r="D173" i="1"/>
  <c r="D184" i="1"/>
  <c r="F168" i="1"/>
  <c r="F169" i="1"/>
  <c r="D193" i="1"/>
  <c r="F186" i="1"/>
  <c r="F170" i="1"/>
  <c r="D174" i="1"/>
  <c r="D172" i="1"/>
  <c r="F176" i="1"/>
  <c r="D182" i="1"/>
  <c r="D192" i="1"/>
  <c r="D186" i="1"/>
  <c r="F164" i="1"/>
  <c r="F199" i="1"/>
  <c r="D196" i="1"/>
  <c r="F183" i="1"/>
  <c r="D191" i="1"/>
  <c r="F189" i="1"/>
  <c r="F163" i="1"/>
  <c r="F177" i="1"/>
  <c r="D166" i="1"/>
  <c r="D187" i="1"/>
  <c r="D198" i="1"/>
  <c r="F195" i="1"/>
  <c r="F185" i="1"/>
  <c r="D183" i="1"/>
  <c r="F190" i="1"/>
  <c r="F184" i="1"/>
  <c r="F191" i="1"/>
  <c r="F182" i="1"/>
  <c r="D181" i="1"/>
  <c r="D185" i="1"/>
  <c r="F196" i="1"/>
  <c r="D177" i="1"/>
  <c r="F193" i="1"/>
  <c r="F171" i="1"/>
  <c r="D190" i="1"/>
  <c r="F192" i="1"/>
  <c r="D175" i="1"/>
  <c r="F178" i="1"/>
  <c r="F181" i="1"/>
  <c r="D170" i="1"/>
  <c r="B172" i="1"/>
  <c r="B182" i="1"/>
  <c r="B171" i="1"/>
  <c r="B187" i="1"/>
  <c r="B165" i="1"/>
  <c r="B176" i="1"/>
  <c r="B167" i="1"/>
  <c r="B175" i="1"/>
  <c r="B173" i="1"/>
  <c r="B185" i="1"/>
  <c r="H113" i="7"/>
  <c r="B181" i="1"/>
  <c r="B200" i="1"/>
  <c r="B189" i="1"/>
  <c r="B166" i="1"/>
  <c r="B186" i="1"/>
  <c r="B169" i="1"/>
  <c r="H114" i="7"/>
  <c r="B199" i="1"/>
  <c r="B198" i="1"/>
  <c r="B180" i="1"/>
  <c r="B192" i="1"/>
  <c r="C159" i="1"/>
  <c r="B193" i="1"/>
  <c r="E128" i="7"/>
  <c r="F128" i="7" s="1"/>
  <c r="B195" i="1"/>
  <c r="B174" i="1"/>
  <c r="B183" i="1"/>
  <c r="B191" i="1"/>
  <c r="B194" i="1"/>
  <c r="B177" i="1"/>
  <c r="B184" i="1"/>
  <c r="B196" i="1"/>
  <c r="F136" i="1"/>
  <c r="C137" i="1" s="1"/>
  <c r="B190" i="1"/>
  <c r="B163" i="1"/>
  <c r="B170" i="1"/>
  <c r="B197" i="1"/>
  <c r="H31" i="7"/>
  <c r="B162" i="1"/>
  <c r="B168" i="1"/>
  <c r="H54" i="7"/>
  <c r="B188" i="1"/>
  <c r="B159" i="1"/>
  <c r="H57" i="7"/>
  <c r="F154" i="1"/>
  <c r="H44" i="7" l="1"/>
  <c r="H11" i="7"/>
  <c r="P31" i="1"/>
  <c r="F22" i="1"/>
  <c r="B152" i="1"/>
  <c r="H115" i="7"/>
  <c r="S25" i="6"/>
  <c r="D31" i="7"/>
  <c r="D159" i="1"/>
  <c r="H19" i="7"/>
  <c r="C121" i="1"/>
  <c r="P30" i="1"/>
  <c r="B121" i="1"/>
  <c r="H56" i="7"/>
  <c r="E129" i="7"/>
  <c r="F129" i="7" s="1"/>
  <c r="B154" i="1"/>
  <c r="C135" i="1"/>
  <c r="C154" i="1"/>
  <c r="C152" i="1"/>
  <c r="B135" i="1"/>
  <c r="B137" i="1"/>
  <c r="C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M363040</author>
    <author>Léo Côme</author>
    <author>collectif</author>
  </authors>
  <commentList>
    <comment ref="M5" authorId="0" shapeId="0" xr:uid="{00000000-0006-0000-0000-000001000000}">
      <text>
        <r>
          <rPr>
            <sz val="8"/>
            <color indexed="8"/>
            <rFont val="Tahoma"/>
            <family val="2"/>
          </rPr>
          <t xml:space="preserve">Définir les propriétés du 1er changement de diamètre.
Laisser cette colonne vide si la fusée n'a pas de Jupe ou Rétreint.
</t>
        </r>
        <r>
          <rPr>
            <i/>
            <sz val="8"/>
            <color indexed="8"/>
            <rFont val="Tahoma"/>
            <family val="2"/>
          </rPr>
          <t>Set properties of the 1st diameter transition.
Leave this column blank if no skirt/shrink on the rocket.</t>
        </r>
      </text>
    </comment>
    <comment ref="O5" authorId="0" shapeId="0" xr:uid="{00000000-0006-0000-0000-000002000000}">
      <text>
        <r>
          <rPr>
            <sz val="8"/>
            <color indexed="8"/>
            <rFont val="Tahoma"/>
            <family val="2"/>
          </rPr>
          <t xml:space="preserve">Définir les propriétés du 2e changement de diamètre.
Laisser cette colonne vide si la fusée n'a pas de 2e Jupe ou Rétreint.
</t>
        </r>
        <r>
          <rPr>
            <i/>
            <sz val="8"/>
            <color indexed="8"/>
            <rFont val="Tahoma"/>
            <family val="2"/>
          </rPr>
          <t>Set properties of the 2nd diameter transition.
Leave this column blank if no 2nd skirt/shrink on the rocket.</t>
        </r>
      </text>
    </comment>
    <comment ref="L6" authorId="1" shapeId="0" xr:uid="{00000000-0006-0000-0000-000003000000}">
      <text>
        <r>
          <rPr>
            <b/>
            <sz val="8"/>
            <color indexed="8"/>
            <rFont val="Tahoma"/>
            <family val="2"/>
          </rPr>
          <t>Hauteur</t>
        </r>
        <r>
          <rPr>
            <sz val="8"/>
            <color indexed="8"/>
            <rFont val="Tahoma"/>
            <family val="2"/>
          </rPr>
          <t xml:space="preserve"> du changement de diamètre (cf. schéma sur fond bleu).
</t>
        </r>
        <r>
          <rPr>
            <i/>
            <sz val="8"/>
            <color indexed="8"/>
            <rFont val="Tahoma"/>
            <family val="2"/>
          </rPr>
          <t>Height of the tronconical transition (cf. blue schematic).</t>
        </r>
      </text>
    </comment>
    <comment ref="L7" authorId="1" shapeId="0" xr:uid="{00000000-0006-0000-0000-000004000000}">
      <text>
        <r>
          <rPr>
            <sz val="8"/>
            <color indexed="8"/>
            <rFont val="Tahoma"/>
            <family val="2"/>
          </rPr>
          <t xml:space="preserve">Diamètre de la partie située </t>
        </r>
        <r>
          <rPr>
            <b/>
            <sz val="8"/>
            <color indexed="8"/>
            <rFont val="Tahoma"/>
            <family val="2"/>
          </rPr>
          <t>au dessus</t>
        </r>
        <r>
          <rPr>
            <sz val="8"/>
            <color indexed="8"/>
            <rFont val="Tahoma"/>
            <family val="2"/>
          </rPr>
          <t xml:space="preserve"> du changement de diamètre.
</t>
        </r>
        <r>
          <rPr>
            <i/>
            <sz val="8"/>
            <color indexed="8"/>
            <rFont val="Tahoma"/>
            <family val="2"/>
          </rPr>
          <t>Upper Diameter (cf. blue schematic).</t>
        </r>
      </text>
    </comment>
    <comment ref="L8" authorId="1" shapeId="0" xr:uid="{00000000-0006-0000-0000-000005000000}">
      <text>
        <r>
          <rPr>
            <sz val="8"/>
            <color indexed="8"/>
            <rFont val="Tahoma"/>
            <family val="2"/>
          </rPr>
          <t xml:space="preserve">Diamètre de la partie située </t>
        </r>
        <r>
          <rPr>
            <b/>
            <sz val="8"/>
            <color indexed="8"/>
            <rFont val="Tahoma"/>
            <family val="2"/>
          </rPr>
          <t>en dessous</t>
        </r>
        <r>
          <rPr>
            <sz val="8"/>
            <color indexed="8"/>
            <rFont val="Tahoma"/>
            <family val="2"/>
          </rPr>
          <t xml:space="preserve"> du changement de diamètre.
</t>
        </r>
        <r>
          <rPr>
            <i/>
            <sz val="8"/>
            <color indexed="8"/>
            <rFont val="Tahoma"/>
            <family val="2"/>
          </rPr>
          <t>Lower Diameter (cf. blue schematic).</t>
        </r>
      </text>
    </comment>
    <comment ref="L9" authorId="0" shapeId="0" xr:uid="{00000000-0006-0000-0000-000006000000}">
      <text>
        <r>
          <rPr>
            <sz val="8"/>
            <color indexed="8"/>
            <rFont val="Tahoma"/>
            <family val="2"/>
          </rPr>
          <t xml:space="preserve">Distance entre la pointe de l'ogive et le haut du changement de diamètre.
</t>
        </r>
        <r>
          <rPr>
            <i/>
            <sz val="8"/>
            <color indexed="8"/>
            <rFont val="Tahoma"/>
            <family val="2"/>
          </rPr>
          <t>Distance betwenn the tip of the nose cone and the top of the skirt/shrink.</t>
        </r>
      </text>
    </comment>
    <comment ref="S12" authorId="0" shapeId="0" xr:uid="{00000000-0006-0000-0000-000008000000}">
      <text>
        <r>
          <rPr>
            <sz val="8"/>
            <color indexed="8"/>
            <rFont val="Tahoma"/>
            <family val="2"/>
          </rPr>
          <t xml:space="preserve">Distance entre la pointe de l'ogive et le </t>
        </r>
        <r>
          <rPr>
            <b/>
            <sz val="8"/>
            <color indexed="8"/>
            <rFont val="Tahoma"/>
            <family val="2"/>
          </rPr>
          <t>haut</t>
        </r>
        <r>
          <rPr>
            <sz val="8"/>
            <color indexed="8"/>
            <rFont val="Tahoma"/>
            <family val="2"/>
          </rPr>
          <t xml:space="preserve"> du propulseur (hors ergot).
</t>
        </r>
        <r>
          <rPr>
            <i/>
            <sz val="8"/>
            <color indexed="8"/>
            <rFont val="Tahoma"/>
            <family val="2"/>
          </rPr>
          <t xml:space="preserve">Distance between the tip of the nose cone and the </t>
        </r>
        <r>
          <rPr>
            <b/>
            <i/>
            <sz val="8"/>
            <color indexed="8"/>
            <rFont val="Tahoma"/>
            <family val="2"/>
          </rPr>
          <t xml:space="preserve">top </t>
        </r>
        <r>
          <rPr>
            <i/>
            <sz val="8"/>
            <color indexed="8"/>
            <rFont val="Tahoma"/>
            <family val="2"/>
          </rPr>
          <t>of the motor.</t>
        </r>
      </text>
    </comment>
    <comment ref="B13" authorId="0" shapeId="0" xr:uid="{00000000-0006-0000-0000-000007000000}">
      <text>
        <r>
          <rPr>
            <sz val="8"/>
            <color indexed="8"/>
            <rFont val="Tahoma"/>
            <family val="2"/>
          </rPr>
          <t xml:space="preserve">Position du </t>
        </r>
        <r>
          <rPr>
            <b/>
            <sz val="8"/>
            <color indexed="8"/>
            <rFont val="Tahoma"/>
            <family val="2"/>
          </rPr>
          <t>Centre de Masse</t>
        </r>
        <r>
          <rPr>
            <sz val="8"/>
            <color indexed="8"/>
            <rFont val="Tahoma"/>
            <family val="2"/>
          </rPr>
          <t xml:space="preserve"> (CdG) par rapport à la pointe de l'ogive,
à mesurer ou estimer sur votre fusée.
</t>
        </r>
        <r>
          <rPr>
            <i/>
            <sz val="8"/>
            <color indexed="8"/>
            <rFont val="Tahoma"/>
            <family val="2"/>
          </rPr>
          <t>Position of Center of Mass (CoG) from the top of the nose cone.</t>
        </r>
      </text>
    </comment>
    <comment ref="L13" authorId="1" shapeId="0" xr:uid="{00000000-0006-0000-0000-00000A000000}">
      <text>
        <r>
          <rPr>
            <sz val="8"/>
            <color indexed="8"/>
            <rFont val="Tahoma"/>
            <family val="2"/>
          </rPr>
          <t xml:space="preserve">Centre de Masse du propulseur par rapport au haut du propulseur.
</t>
        </r>
        <r>
          <rPr>
            <i/>
            <sz val="8"/>
            <color indexed="8"/>
            <rFont val="Tahoma"/>
            <family val="2"/>
          </rPr>
          <t>Motor Center of Mass, mesured from top of motor.</t>
        </r>
      </text>
    </comment>
    <comment ref="B14" authorId="0" shapeId="0" xr:uid="{00000000-0006-0000-0000-000009000000}">
      <text>
        <r>
          <rPr>
            <sz val="8"/>
            <color indexed="8"/>
            <rFont val="Tahoma"/>
            <family val="2"/>
          </rPr>
          <t xml:space="preserve">Longueur totale du fuselage avec l'ogive,
hors propu hors antenne hors ailerons.
</t>
        </r>
        <r>
          <rPr>
            <i/>
            <sz val="8"/>
            <color indexed="8"/>
            <rFont val="Tahoma"/>
            <family val="2"/>
          </rPr>
          <t>Total length of the body including nose cone.</t>
        </r>
      </text>
    </comment>
    <comment ref="S14" authorId="0" shapeId="0" xr:uid="{00000000-0006-0000-0000-00000C000000}">
      <text>
        <r>
          <rPr>
            <sz val="8"/>
            <color indexed="8"/>
            <rFont val="Tahoma"/>
            <family val="2"/>
          </rPr>
          <t xml:space="preserve">Distance entre la pointe de l'ogive et le </t>
        </r>
        <r>
          <rPr>
            <b/>
            <sz val="8"/>
            <color indexed="8"/>
            <rFont val="Tahoma"/>
            <family val="2"/>
          </rPr>
          <t>bas</t>
        </r>
        <r>
          <rPr>
            <sz val="8"/>
            <color indexed="8"/>
            <rFont val="Tahoma"/>
            <family val="2"/>
          </rPr>
          <t xml:space="preserve"> du propulseur (hors tuyère).
</t>
        </r>
        <r>
          <rPr>
            <i/>
            <sz val="8"/>
            <color indexed="8"/>
            <rFont val="Tahoma"/>
            <family val="2"/>
          </rPr>
          <t xml:space="preserve">Distance between the tip of the nose cone and the </t>
        </r>
        <r>
          <rPr>
            <b/>
            <i/>
            <sz val="8"/>
            <color indexed="8"/>
            <rFont val="Tahoma"/>
            <family val="2"/>
          </rPr>
          <t>bottom</t>
        </r>
        <r>
          <rPr>
            <i/>
            <sz val="8"/>
            <color indexed="8"/>
            <rFont val="Tahoma"/>
            <family val="2"/>
          </rPr>
          <t xml:space="preserve"> of the motor.</t>
        </r>
      </text>
    </comment>
    <comment ref="B15" authorId="0" shapeId="0" xr:uid="{00000000-0006-0000-0000-00000B000000}">
      <text>
        <r>
          <rPr>
            <sz val="8"/>
            <color indexed="8"/>
            <rFont val="Tahoma"/>
            <family val="2"/>
          </rPr>
          <t xml:space="preserve">Diamètre de référence, utilisé pour calculer : Cnα, Finesse, Marge Statique.
Par défaut D_réf = D_ogive ; on peux écraser avec le diamètre "principal".
</t>
        </r>
        <r>
          <rPr>
            <i/>
            <sz val="8"/>
            <color indexed="8"/>
            <rFont val="Tahoma"/>
            <family val="2"/>
          </rPr>
          <t>Reference Diameter, used to compute: Cnα, Finesse, Static Margin.
By default D_ref = D_ogive ; one can overwrtie with the "main" diameter.</t>
        </r>
      </text>
    </comment>
    <comment ref="L15" authorId="1" shapeId="0" xr:uid="{00000000-0006-0000-0000-00000D000000}">
      <text>
        <r>
          <rPr>
            <sz val="8"/>
            <color indexed="8"/>
            <rFont val="Tahoma"/>
            <family val="2"/>
          </rPr>
          <t xml:space="preserve">Les positions des </t>
        </r>
        <r>
          <rPr>
            <sz val="8"/>
            <color indexed="12"/>
            <rFont val="Tahoma"/>
            <family val="2"/>
          </rPr>
          <t>Centres de Masse</t>
        </r>
        <r>
          <rPr>
            <sz val="8"/>
            <color indexed="8"/>
            <rFont val="Tahoma"/>
            <family val="2"/>
          </rPr>
          <t xml:space="preserve"> de la fusée avec propulseur plein et vide
sont représentées sur le schéma de la fusée par un </t>
        </r>
        <r>
          <rPr>
            <sz val="8"/>
            <color indexed="12"/>
            <rFont val="Tahoma"/>
            <family val="2"/>
          </rPr>
          <t>segment vertical bleu</t>
        </r>
        <r>
          <rPr>
            <sz val="8"/>
            <color indexed="8"/>
            <rFont val="Tahoma"/>
            <family val="2"/>
          </rPr>
          <t xml:space="preserve">.
</t>
        </r>
        <r>
          <rPr>
            <i/>
            <sz val="8"/>
            <color indexed="8"/>
            <rFont val="Tahoma"/>
            <family val="2"/>
          </rPr>
          <t xml:space="preserve">Rocket Center of Mass are shown whith a </t>
        </r>
        <r>
          <rPr>
            <i/>
            <sz val="8"/>
            <color indexed="12"/>
            <rFont val="Tahoma"/>
            <family val="2"/>
          </rPr>
          <t>blue segment</t>
        </r>
        <r>
          <rPr>
            <i/>
            <sz val="8"/>
            <color indexed="8"/>
            <rFont val="Tahoma"/>
            <family val="2"/>
          </rPr>
          <t xml:space="preserve"> in Rocket schematic.</t>
        </r>
      </text>
    </comment>
    <comment ref="S17" authorId="0" shapeId="0" xr:uid="{00000000-0006-0000-0000-00000E000000}">
      <text>
        <r>
          <rPr>
            <sz val="8"/>
            <color indexed="8"/>
            <rFont val="Tahoma"/>
            <family val="2"/>
          </rPr>
          <t xml:space="preserve">Distance entre la pointe de l'ogive et le point </t>
        </r>
        <r>
          <rPr>
            <b/>
            <sz val="8"/>
            <color indexed="8"/>
            <rFont val="Tahoma"/>
            <family val="2"/>
          </rPr>
          <t>supérieur</t>
        </r>
        <r>
          <rPr>
            <sz val="8"/>
            <color indexed="8"/>
            <rFont val="Tahoma"/>
            <family val="2"/>
          </rPr>
          <t xml:space="preserve"> de l'encastrement des ailerons.
</t>
        </r>
        <r>
          <rPr>
            <i/>
            <sz val="8"/>
            <color indexed="8"/>
            <rFont val="Tahoma"/>
            <family val="2"/>
          </rPr>
          <t xml:space="preserve">Distance between the tip of the nose and the </t>
        </r>
        <r>
          <rPr>
            <b/>
            <i/>
            <sz val="8"/>
            <color indexed="8"/>
            <rFont val="Tahoma"/>
            <family val="2"/>
          </rPr>
          <t>upper</t>
        </r>
        <r>
          <rPr>
            <i/>
            <sz val="8"/>
            <color indexed="8"/>
            <rFont val="Tahoma"/>
            <family val="2"/>
          </rPr>
          <t xml:space="preserve"> point of fins attachment on the rocket.</t>
        </r>
      </text>
    </comment>
    <comment ref="S18" authorId="1" shapeId="0" xr:uid="{00000000-0006-0000-0000-000010000000}">
      <text>
        <r>
          <rPr>
            <sz val="8"/>
            <color indexed="8"/>
            <rFont val="Tahoma"/>
            <family val="2"/>
          </rPr>
          <t>Longueur de l'</t>
        </r>
        <r>
          <rPr>
            <b/>
            <sz val="8"/>
            <color indexed="8"/>
            <rFont val="Tahoma"/>
            <family val="2"/>
          </rPr>
          <t>e</t>
        </r>
        <r>
          <rPr>
            <b/>
            <u/>
            <sz val="8"/>
            <color indexed="8"/>
            <rFont val="Tahoma"/>
            <family val="2"/>
          </rPr>
          <t>m</t>
        </r>
        <r>
          <rPr>
            <b/>
            <sz val="8"/>
            <color indexed="8"/>
            <rFont val="Tahoma"/>
            <family val="2"/>
          </rPr>
          <t>planture</t>
        </r>
        <r>
          <rPr>
            <sz val="8"/>
            <color indexed="8"/>
            <rFont val="Tahoma"/>
            <family val="2"/>
          </rPr>
          <t xml:space="preserve"> d'un aileron.
</t>
        </r>
        <r>
          <rPr>
            <i/>
            <sz val="8"/>
            <color indexed="8"/>
            <rFont val="Tahoma"/>
            <family val="2"/>
          </rPr>
          <t>Root edge length of one fin.</t>
        </r>
      </text>
    </comment>
    <comment ref="B19" authorId="0" shapeId="0" xr:uid="{00000000-0006-0000-0000-00000F000000}">
      <text>
        <r>
          <rPr>
            <sz val="8"/>
            <color indexed="8"/>
            <rFont val="Tahoma"/>
            <family val="2"/>
          </rPr>
          <t xml:space="preserve">Distance entre la pointe de l'ogive et le </t>
        </r>
        <r>
          <rPr>
            <b/>
            <sz val="8"/>
            <color indexed="8"/>
            <rFont val="Tahoma"/>
            <family val="2"/>
          </rPr>
          <t>bas</t>
        </r>
        <r>
          <rPr>
            <sz val="8"/>
            <color indexed="8"/>
            <rFont val="Tahoma"/>
            <family val="2"/>
          </rPr>
          <t xml:space="preserve"> du propulseur (hors tuyère).
</t>
        </r>
        <r>
          <rPr>
            <i/>
            <sz val="8"/>
            <color indexed="8"/>
            <rFont val="Tahoma"/>
            <family val="2"/>
          </rPr>
          <t xml:space="preserve">Distance between the tip of the nose cone and the </t>
        </r>
        <r>
          <rPr>
            <b/>
            <i/>
            <sz val="8"/>
            <color indexed="8"/>
            <rFont val="Tahoma"/>
            <family val="2"/>
          </rPr>
          <t>bottom</t>
        </r>
        <r>
          <rPr>
            <i/>
            <sz val="8"/>
            <color indexed="8"/>
            <rFont val="Tahoma"/>
            <family val="2"/>
          </rPr>
          <t xml:space="preserve"> of the motor.</t>
        </r>
      </text>
    </comment>
    <comment ref="S19" authorId="0" shapeId="0" xr:uid="{00000000-0006-0000-0000-000011000000}">
      <text>
        <r>
          <rPr>
            <sz val="8"/>
            <color indexed="8"/>
            <rFont val="Tahoma"/>
            <family val="2"/>
          </rPr>
          <t xml:space="preserve">Distance entre la pointe de l'ogive et le point </t>
        </r>
        <r>
          <rPr>
            <b/>
            <sz val="8"/>
            <color indexed="8"/>
            <rFont val="Tahoma"/>
            <family val="2"/>
          </rPr>
          <t>inférieur</t>
        </r>
        <r>
          <rPr>
            <sz val="8"/>
            <color indexed="8"/>
            <rFont val="Tahoma"/>
            <family val="2"/>
          </rPr>
          <t xml:space="preserve"> de l'encastrement des ailerons.
</t>
        </r>
        <r>
          <rPr>
            <i/>
            <sz val="8"/>
            <color indexed="8"/>
            <rFont val="Tahoma"/>
            <family val="2"/>
          </rPr>
          <t xml:space="preserve">Distance between the tip of the nose and the </t>
        </r>
        <r>
          <rPr>
            <b/>
            <i/>
            <sz val="8"/>
            <color indexed="8"/>
            <rFont val="Tahoma"/>
            <family val="2"/>
          </rPr>
          <t>lower</t>
        </r>
        <r>
          <rPr>
            <i/>
            <sz val="8"/>
            <color indexed="8"/>
            <rFont val="Tahoma"/>
            <family val="2"/>
          </rPr>
          <t xml:space="preserve"> point of fins attachment on the rocket.</t>
        </r>
      </text>
    </comment>
    <comment ref="B24" authorId="0" shapeId="0" xr:uid="{00000000-0006-0000-0000-000012000000}">
      <text>
        <r>
          <rPr>
            <sz val="8"/>
            <color indexed="8"/>
            <rFont val="Tahoma"/>
            <family val="2"/>
          </rPr>
          <t xml:space="preserve">Diamètre à la base de l'ogive.
</t>
        </r>
        <r>
          <rPr>
            <i/>
            <sz val="8"/>
            <color indexed="8"/>
            <rFont val="Tahoma"/>
            <family val="2"/>
          </rPr>
          <t>Diameter at the basement of the nose cone.</t>
        </r>
      </text>
    </comment>
    <comment ref="E25" authorId="1" shapeId="0" xr:uid="{00000000-0006-0000-0000-000013000000}">
      <text>
        <r>
          <rPr>
            <sz val="8"/>
            <color indexed="8"/>
            <rFont val="Tahoma"/>
            <family val="2"/>
          </rPr>
          <t xml:space="preserve">Les parties masquées des ailerons du bas sont représentées 
sur le schéma de la fusée par des </t>
        </r>
        <r>
          <rPr>
            <sz val="8"/>
            <color indexed="10"/>
            <rFont val="Tahoma"/>
            <family val="2"/>
          </rPr>
          <t>zones en rouge</t>
        </r>
        <r>
          <rPr>
            <sz val="8"/>
            <color indexed="8"/>
            <rFont val="Tahoma"/>
            <family val="2"/>
          </rPr>
          <t xml:space="preserve">.
Ce sont les parties situées juste en dessous des ailerons du haut.
</t>
        </r>
        <r>
          <rPr>
            <i/>
            <sz val="8"/>
            <color indexed="8"/>
            <rFont val="Tahoma"/>
            <family val="2"/>
          </rPr>
          <t xml:space="preserve">The fin-fin interaction zone is located just below the upper fins,
shown in </t>
        </r>
        <r>
          <rPr>
            <i/>
            <sz val="8"/>
            <color indexed="10"/>
            <rFont val="Tahoma"/>
            <family val="2"/>
          </rPr>
          <t>red</t>
        </r>
        <r>
          <rPr>
            <i/>
            <sz val="8"/>
            <color indexed="8"/>
            <rFont val="Tahoma"/>
            <family val="2"/>
          </rPr>
          <t xml:space="preserve"> in the Rocket schematic.</t>
        </r>
      </text>
    </comment>
    <comment ref="F27" authorId="0" shapeId="0" xr:uid="{00000000-0006-0000-0000-000015000000}">
      <text>
        <r>
          <rPr>
            <sz val="8"/>
            <color indexed="8"/>
            <rFont val="Tahoma"/>
            <family val="2"/>
          </rPr>
          <t xml:space="preserve">La </t>
        </r>
        <r>
          <rPr>
            <b/>
            <sz val="8"/>
            <color indexed="8"/>
            <rFont val="Tahoma"/>
            <family val="2"/>
          </rPr>
          <t>Finesse</t>
        </r>
        <r>
          <rPr>
            <sz val="8"/>
            <color indexed="8"/>
            <rFont val="Tahoma"/>
            <family val="2"/>
          </rPr>
          <t xml:space="preserve"> représente l'allongement de la fusée, rapport Longueur/Diamètre.
</t>
        </r>
        <r>
          <rPr>
            <i/>
            <sz val="8"/>
            <color indexed="8"/>
            <rFont val="Tahoma"/>
            <family val="2"/>
          </rPr>
          <t>Finesse represents the relative length of the rocket. Finesse = L/D</t>
        </r>
      </text>
    </comment>
    <comment ref="B28" authorId="1" shapeId="0" xr:uid="{00000000-0006-0000-0000-000014000000}">
      <text>
        <r>
          <rPr>
            <sz val="8"/>
            <color indexed="8"/>
            <rFont val="Tahoma"/>
            <family val="2"/>
          </rPr>
          <t>Longueur de l'</t>
        </r>
        <r>
          <rPr>
            <b/>
            <sz val="8"/>
            <color indexed="8"/>
            <rFont val="Tahoma"/>
            <family val="2"/>
          </rPr>
          <t>e</t>
        </r>
        <r>
          <rPr>
            <b/>
            <u/>
            <sz val="8"/>
            <color indexed="8"/>
            <rFont val="Tahoma"/>
            <family val="2"/>
          </rPr>
          <t>m</t>
        </r>
        <r>
          <rPr>
            <b/>
            <sz val="8"/>
            <color indexed="8"/>
            <rFont val="Tahoma"/>
            <family val="2"/>
          </rPr>
          <t>planture</t>
        </r>
        <r>
          <rPr>
            <sz val="8"/>
            <color indexed="8"/>
            <rFont val="Tahoma"/>
            <family val="2"/>
          </rPr>
          <t xml:space="preserve"> d'un aileron.
</t>
        </r>
        <r>
          <rPr>
            <i/>
            <sz val="8"/>
            <color indexed="8"/>
            <rFont val="Tahoma"/>
            <family val="2"/>
          </rPr>
          <t>Root edge length of one fin.</t>
        </r>
      </text>
    </comment>
    <comment ref="F28" authorId="0" shapeId="0" xr:uid="{00000000-0006-0000-0000-000017000000}">
      <text>
        <r>
          <rPr>
            <sz val="8"/>
            <color indexed="8"/>
            <rFont val="Tahoma"/>
            <family val="2"/>
          </rPr>
          <t xml:space="preserve">Le gradient de </t>
        </r>
        <r>
          <rPr>
            <b/>
            <sz val="8"/>
            <color indexed="16"/>
            <rFont val="Tahoma"/>
            <family val="2"/>
          </rPr>
          <t>Portance</t>
        </r>
        <r>
          <rPr>
            <sz val="8"/>
            <color indexed="8"/>
            <rFont val="Tahoma"/>
            <family val="2"/>
          </rPr>
          <t xml:space="preserve"> Cnα indique l'efficacité des ailerons.
Pour l'augmenter, il faut augmenter la taille des ailerons, et inversement.
</t>
        </r>
        <r>
          <rPr>
            <i/>
            <sz val="8"/>
            <color indexed="16"/>
            <rFont val="Tahoma"/>
            <family val="2"/>
          </rPr>
          <t>Lift</t>
        </r>
        <r>
          <rPr>
            <i/>
            <sz val="8"/>
            <color indexed="8"/>
            <rFont val="Tahoma"/>
            <family val="2"/>
          </rPr>
          <t xml:space="preserve"> gradient, Cnα, represents the fins efficiency. 
To increase it, one must increase the size of the fins, and conversely.</t>
        </r>
      </text>
    </comment>
    <comment ref="B29" authorId="1" shapeId="0" xr:uid="{00000000-0006-0000-0000-000016000000}">
      <text>
        <r>
          <rPr>
            <sz val="8"/>
            <color indexed="8"/>
            <rFont val="Tahoma"/>
            <family val="2"/>
          </rPr>
          <t xml:space="preserve">Longueur du </t>
        </r>
        <r>
          <rPr>
            <b/>
            <sz val="8"/>
            <color indexed="8"/>
            <rFont val="Tahoma"/>
            <family val="2"/>
          </rPr>
          <t>saumo</t>
        </r>
        <r>
          <rPr>
            <b/>
            <u/>
            <sz val="8"/>
            <color indexed="8"/>
            <rFont val="Tahoma"/>
            <family val="2"/>
          </rPr>
          <t>n</t>
        </r>
        <r>
          <rPr>
            <sz val="8"/>
            <color indexed="8"/>
            <rFont val="Tahoma"/>
            <family val="2"/>
          </rPr>
          <t xml:space="preserve"> d'un aileron.
</t>
        </r>
        <r>
          <rPr>
            <i/>
            <sz val="8"/>
            <color indexed="8"/>
            <rFont val="Tahoma"/>
            <family val="2"/>
          </rPr>
          <t>Tip edge length of one fin.</t>
        </r>
      </text>
    </comment>
    <comment ref="F29" authorId="0" shapeId="0" xr:uid="{00000000-0006-0000-0000-000019000000}">
      <text>
        <r>
          <rPr>
            <sz val="8"/>
            <color indexed="8"/>
            <rFont val="Tahoma"/>
            <family val="2"/>
          </rPr>
          <t xml:space="preserve">La </t>
        </r>
        <r>
          <rPr>
            <b/>
            <sz val="8"/>
            <color indexed="8"/>
            <rFont val="Tahoma"/>
            <family val="2"/>
          </rPr>
          <t>Marge Statique</t>
        </r>
        <r>
          <rPr>
            <sz val="8"/>
            <color indexed="8"/>
            <rFont val="Tahoma"/>
            <family val="2"/>
          </rPr>
          <t xml:space="preserve">, MS, est la distance entre le Centre de Masse et le Centre de Pression, 
exprimée en nombre de Diamètre de Référence, pour une fusée avec propulseur plein puis vide.
Pour augmenter la MS, il faut soit :
- abaisser le Centre de Portance (position des ailerons)
- rehausser le Centre de Masse
</t>
        </r>
        <r>
          <rPr>
            <i/>
            <sz val="8"/>
            <color indexed="8"/>
            <rFont val="Tahoma"/>
            <family val="2"/>
          </rPr>
          <t>Static Margin, MS, is the distance between the Center of Mass and the Center of Pressure, 
measured in number of reference diameter, for a rocket with loaded motor, then empty motor.
In order to increase MS, one must either:
- lower the Center of Pressure (position of fins)
- Move up the Center of Mass</t>
        </r>
      </text>
    </comment>
    <comment ref="B30" authorId="1" shapeId="0" xr:uid="{00000000-0006-0000-0000-000018000000}">
      <text>
        <r>
          <rPr>
            <b/>
            <sz val="8"/>
            <color indexed="8"/>
            <rFont val="Tahoma"/>
            <family val="2"/>
          </rPr>
          <t>Flèche</t>
        </r>
        <r>
          <rPr>
            <sz val="8"/>
            <color indexed="8"/>
            <rFont val="Tahoma"/>
            <family val="2"/>
          </rPr>
          <t xml:space="preserve"> du bord d'attaque (négatif si besoin).
</t>
        </r>
        <r>
          <rPr>
            <i/>
            <sz val="8"/>
            <color indexed="8"/>
            <rFont val="Tahoma"/>
            <family val="2"/>
          </rPr>
          <t>Offset of the Leading edge.</t>
        </r>
      </text>
    </comment>
    <comment ref="F30" authorId="0" shapeId="0" xr:uid="{00000000-0006-0000-0000-00001B000000}">
      <text>
        <r>
          <rPr>
            <sz val="8"/>
            <color indexed="8"/>
            <rFont val="Tahoma"/>
            <family val="2"/>
          </rPr>
          <t xml:space="preserve">Le </t>
        </r>
        <r>
          <rPr>
            <b/>
            <sz val="8"/>
            <color indexed="8"/>
            <rFont val="Tahoma"/>
            <family val="2"/>
          </rPr>
          <t>produit</t>
        </r>
        <r>
          <rPr>
            <sz val="8"/>
            <color indexed="8"/>
            <rFont val="Tahoma"/>
            <family val="2"/>
          </rPr>
          <t xml:space="preserve"> MS*Cnα représente le </t>
        </r>
        <r>
          <rPr>
            <b/>
            <sz val="8"/>
            <color indexed="8"/>
            <rFont val="Tahoma"/>
            <family val="2"/>
          </rPr>
          <t>couple</t>
        </r>
        <r>
          <rPr>
            <sz val="8"/>
            <color indexed="8"/>
            <rFont val="Tahoma"/>
            <family val="2"/>
          </rPr>
          <t xml:space="preserve"> de rappel de la Portance.
Pour augmenter le produit, il faut augmenter la MS et/ou le Cnα, et inversement.
</t>
        </r>
        <r>
          <rPr>
            <i/>
            <sz val="8"/>
            <color indexed="8"/>
            <rFont val="Tahoma"/>
            <family val="2"/>
          </rPr>
          <t>The product MS*Cnα represents the lift torque.
To increase it, one must increase the Static Margin and/or the Cnα, and conversely.</t>
        </r>
      </text>
    </comment>
    <comment ref="B31" authorId="1" shapeId="0" xr:uid="{00000000-0006-0000-0000-00001A000000}">
      <text>
        <r>
          <rPr>
            <b/>
            <u/>
            <sz val="8"/>
            <color indexed="8"/>
            <rFont val="Tahoma"/>
            <family val="2"/>
          </rPr>
          <t>E</t>
        </r>
        <r>
          <rPr>
            <b/>
            <sz val="8"/>
            <color indexed="8"/>
            <rFont val="Tahoma"/>
            <family val="2"/>
          </rPr>
          <t>nvergure</t>
        </r>
        <r>
          <rPr>
            <sz val="8"/>
            <color indexed="8"/>
            <rFont val="Tahoma"/>
            <family val="2"/>
          </rPr>
          <t xml:space="preserve"> d'un aileron.
</t>
        </r>
        <r>
          <rPr>
            <i/>
            <sz val="8"/>
            <color indexed="8"/>
            <rFont val="Tahoma"/>
            <family val="2"/>
          </rPr>
          <t>Span of one fin.</t>
        </r>
      </text>
    </comment>
    <comment ref="F31" authorId="0" shapeId="0" xr:uid="{00000000-0006-0000-0000-00001C000000}">
      <text>
        <r>
          <rPr>
            <sz val="8"/>
            <color indexed="8"/>
            <rFont val="Tahoma"/>
            <family val="2"/>
          </rPr>
          <t xml:space="preserve">Le Xcp est la </t>
        </r>
        <r>
          <rPr>
            <b/>
            <sz val="8"/>
            <color indexed="16"/>
            <rFont val="Tahoma"/>
            <family val="2"/>
          </rPr>
          <t>position du Centre de Poussée Aérodynamique</t>
        </r>
        <r>
          <rPr>
            <sz val="8"/>
            <color indexed="8"/>
            <rFont val="Tahoma"/>
            <family val="2"/>
          </rPr>
          <t xml:space="preserve"> (CPA), 
aussi appelé Centre de Pression (CP), Centre Latéral de Poussée (CLP), 
ou Foyer, exprimée par rapport à la pointe de l'ogive.
</t>
        </r>
        <r>
          <rPr>
            <i/>
            <sz val="8"/>
            <color indexed="8"/>
            <rFont val="Tahoma"/>
            <family val="2"/>
          </rPr>
          <t>Xcp is the location of the Aerodynamics Center of Pressure, 
measured from the tip of the nose cone.</t>
        </r>
      </text>
    </comment>
    <comment ref="F32" authorId="2" shapeId="0" xr:uid="{00000000-0006-0000-0000-00001D000000}">
      <text>
        <r>
          <rPr>
            <sz val="8"/>
            <color indexed="8"/>
            <rFont val="Tahoma"/>
            <family val="2"/>
          </rPr>
          <t xml:space="preserve">Cette Marge Statique est la distance entre le Centre de Masse et le Centre de Pression, 
exprimée en </t>
        </r>
        <r>
          <rPr>
            <b/>
            <sz val="8"/>
            <color indexed="8"/>
            <rFont val="Tahoma"/>
            <family val="2"/>
          </rPr>
          <t>% de la Longueur</t>
        </r>
        <r>
          <rPr>
            <sz val="8"/>
            <color indexed="8"/>
            <rFont val="Tahoma"/>
            <family val="2"/>
          </rPr>
          <t xml:space="preserve"> de la fusée, pour une fusée avec propulseur plein puis vide.
</t>
        </r>
        <r>
          <rPr>
            <i/>
            <sz val="8"/>
            <color indexed="8"/>
            <rFont val="Tahoma"/>
            <family val="2"/>
          </rPr>
          <t>This Static Margin is the distance between the Center of Mass and the Center of Pressure, 
measured in % of rocket length, for a rocket with loaded motor, then empty motor.</t>
        </r>
      </text>
    </comment>
    <comment ref="B34" authorId="0" shapeId="0" xr:uid="{00000000-0006-0000-0000-00001E000000}">
      <text>
        <r>
          <rPr>
            <sz val="8"/>
            <color indexed="8"/>
            <rFont val="Tahoma"/>
            <family val="2"/>
          </rPr>
          <t xml:space="preserve">Distance entre la pointe de l'ogive et le point </t>
        </r>
        <r>
          <rPr>
            <b/>
            <sz val="8"/>
            <color indexed="8"/>
            <rFont val="Tahoma"/>
            <family val="2"/>
          </rPr>
          <t>inférieur</t>
        </r>
        <r>
          <rPr>
            <sz val="8"/>
            <color indexed="8"/>
            <rFont val="Tahoma"/>
            <family val="2"/>
          </rPr>
          <t xml:space="preserve"> de l'encastrement des ailerons.
</t>
        </r>
        <r>
          <rPr>
            <i/>
            <sz val="8"/>
            <color indexed="8"/>
            <rFont val="Tahoma"/>
            <family val="2"/>
          </rPr>
          <t xml:space="preserve">Distance between the tip of the nose and the </t>
        </r>
        <r>
          <rPr>
            <b/>
            <i/>
            <sz val="8"/>
            <color indexed="8"/>
            <rFont val="Tahoma"/>
            <family val="2"/>
          </rPr>
          <t>lower</t>
        </r>
        <r>
          <rPr>
            <i/>
            <sz val="8"/>
            <color indexed="8"/>
            <rFont val="Tahoma"/>
            <family val="2"/>
          </rPr>
          <t xml:space="preserve"> point of fins attachment on the rocket.</t>
        </r>
      </text>
    </comment>
    <comment ref="B35" authorId="0" shapeId="0" xr:uid="{00000000-0006-0000-0000-00001F000000}">
      <text>
        <r>
          <rPr>
            <sz val="8"/>
            <color indexed="8"/>
            <rFont val="Tahoma"/>
            <family val="2"/>
          </rPr>
          <t xml:space="preserve">Diamètre du fuselage au niveau des ailerons.
</t>
        </r>
        <r>
          <rPr>
            <i/>
            <sz val="8"/>
            <color indexed="8"/>
            <rFont val="Tahoma"/>
            <family val="2"/>
          </rPr>
          <t>Diameter of the body at the level of the fins.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xml:space="preserve"> </author>
    <author>Léo Côme</author>
    <author>Léo</author>
    <author>Sylvain Besson</author>
    <author>collectif</author>
  </authors>
  <commentList>
    <comment ref="B11" authorId="0" shapeId="0" xr:uid="{00000000-0006-0000-0100-000001000000}">
      <text>
        <r>
          <rPr>
            <sz val="8"/>
            <color indexed="8"/>
            <rFont val="Tahoma"/>
            <family val="2"/>
          </rPr>
          <t xml:space="preserve">Masse au décollage, à changer dans la feuille Stabilito,
ou à l'aide des boutons (revérifiez alors la stabilité).
</t>
        </r>
        <r>
          <rPr>
            <i/>
            <sz val="8"/>
            <color indexed="8"/>
            <rFont val="Tahoma"/>
            <family val="2"/>
          </rPr>
          <t>Lift-Off mass, to be changed in Stabilito sheet,
or with the buttons (then recheck stability).</t>
        </r>
      </text>
    </comment>
    <comment ref="B12" authorId="0" shapeId="0" xr:uid="{00000000-0006-0000-0100-000002000000}">
      <text>
        <r>
          <rPr>
            <sz val="8"/>
            <color indexed="8"/>
            <rFont val="Tahoma"/>
            <family val="2"/>
          </rPr>
          <t xml:space="preserve">Le propulseur doit être sélectionné dans l'onglet Stabilito.
</t>
        </r>
        <r>
          <rPr>
            <i/>
            <sz val="8"/>
            <color indexed="8"/>
            <rFont val="Tahoma"/>
            <family val="2"/>
          </rPr>
          <t>Motor must be selected in Stabilito sheet.</t>
        </r>
      </text>
    </comment>
    <comment ref="B15" authorId="1" shapeId="0" xr:uid="{00000000-0006-0000-0100-000003000000}">
      <text>
        <r>
          <rPr>
            <sz val="8"/>
            <color indexed="8"/>
            <rFont val="Tahoma"/>
            <family val="2"/>
          </rPr>
          <t xml:space="preserve">La Surface de Référence utilisée pour le calcul de la Traînée est la surface projetée dans l'axe de la fusée. Ce </t>
        </r>
        <r>
          <rPr>
            <b/>
            <sz val="8"/>
            <color indexed="8"/>
            <rFont val="Tahoma"/>
            <family val="2"/>
          </rPr>
          <t>Maître Couple</t>
        </r>
        <r>
          <rPr>
            <sz val="8"/>
            <color indexed="8"/>
            <rFont val="Tahoma"/>
            <family val="2"/>
          </rPr>
          <t xml:space="preserve"> inclut donc l'épaisseur des ailerons.
</t>
        </r>
        <r>
          <rPr>
            <i/>
            <sz val="8"/>
            <color indexed="8"/>
            <rFont val="Tahoma"/>
            <family val="2"/>
          </rPr>
          <t>Reference Surface used to compute the Drag. It includes Fin thickness.</t>
        </r>
      </text>
    </comment>
    <comment ref="B16" authorId="1" shapeId="0" xr:uid="{00000000-0006-0000-0100-000004000000}">
      <text>
        <r>
          <rPr>
            <sz val="8"/>
            <color indexed="8"/>
            <rFont val="Tahoma"/>
            <family val="2"/>
          </rPr>
          <t xml:space="preserve">Coefficient de Traînée de la fusée. Par défaut, le </t>
        </r>
        <r>
          <rPr>
            <b/>
            <sz val="8"/>
            <color indexed="8"/>
            <rFont val="Tahoma"/>
            <family val="2"/>
          </rPr>
          <t>Cx</t>
        </r>
        <r>
          <rPr>
            <sz val="8"/>
            <color indexed="8"/>
            <rFont val="Tahoma"/>
            <family val="2"/>
          </rPr>
          <t xml:space="preserve"> vaut 0.6. On peut ajouter ou retrancher 0.2 en fonction des aspérités de la fusée, du profilage des ailerons…
</t>
        </r>
        <r>
          <rPr>
            <i/>
            <sz val="8"/>
            <color indexed="8"/>
            <rFont val="Tahoma"/>
            <family val="2"/>
          </rPr>
          <t>Rocket Drag Coefficient is generally between 0.4 and 0.8, with a default value of 0.6.</t>
        </r>
      </text>
    </comment>
    <comment ref="B19" authorId="1" shapeId="0" xr:uid="{00000000-0006-0000-0100-000005000000}">
      <text>
        <r>
          <rPr>
            <b/>
            <sz val="8"/>
            <color indexed="8"/>
            <rFont val="Tahoma"/>
            <family val="2"/>
          </rPr>
          <t>Longueur de la rampe de lancement.</t>
        </r>
        <r>
          <rPr>
            <sz val="8"/>
            <color indexed="8"/>
            <rFont val="Tahoma"/>
            <family val="2"/>
          </rPr>
          <t xml:space="preserve">
</t>
        </r>
        <r>
          <rPr>
            <i/>
            <sz val="8"/>
            <color indexed="8"/>
            <rFont val="Tahoma"/>
            <family val="2"/>
          </rPr>
          <t xml:space="preserve">                                          Length of the launch pad.</t>
        </r>
        <r>
          <rPr>
            <sz val="8"/>
            <color indexed="8"/>
            <rFont val="Tahoma"/>
            <family val="2"/>
          </rPr>
          <t xml:space="preserve">
Valeurs courantes :                       C</t>
        </r>
        <r>
          <rPr>
            <i/>
            <sz val="8"/>
            <color indexed="8"/>
            <rFont val="Tahoma"/>
            <family val="2"/>
          </rPr>
          <t>ommon values :</t>
        </r>
        <r>
          <rPr>
            <sz val="8"/>
            <color indexed="8"/>
            <rFont val="Tahoma"/>
            <family val="2"/>
          </rPr>
          <t xml:space="preserve">
MicroFusée               : 1m             </t>
        </r>
        <r>
          <rPr>
            <i/>
            <sz val="8"/>
            <color indexed="8"/>
            <rFont val="Tahoma"/>
            <family val="2"/>
          </rPr>
          <t>Micro-rocket</t>
        </r>
        <r>
          <rPr>
            <sz val="8"/>
            <color indexed="8"/>
            <rFont val="Tahoma"/>
            <family val="2"/>
          </rPr>
          <t xml:space="preserve">
MiniFusée                 : 2m -&gt; 3m </t>
        </r>
        <r>
          <rPr>
            <i/>
            <sz val="8"/>
            <color indexed="8"/>
            <rFont val="Tahoma"/>
            <family val="2"/>
          </rPr>
          <t xml:space="preserve">  Mini-rocket</t>
        </r>
        <r>
          <rPr>
            <sz val="8"/>
            <color indexed="8"/>
            <rFont val="Tahoma"/>
            <family val="2"/>
          </rPr>
          <t xml:space="preserve">
Fusée Expérimentale  : 4m -&gt; 7m   </t>
        </r>
        <r>
          <rPr>
            <i/>
            <sz val="8"/>
            <color indexed="8"/>
            <rFont val="Tahoma"/>
            <family val="2"/>
          </rPr>
          <t>Experimental Rocket</t>
        </r>
      </text>
    </comment>
    <comment ref="B20" authorId="1" shapeId="0" xr:uid="{00000000-0006-0000-0100-000006000000}">
      <text>
        <r>
          <rPr>
            <sz val="8"/>
            <color indexed="8"/>
            <rFont val="Tahoma"/>
            <family val="2"/>
          </rPr>
          <t xml:space="preserve">Elévation de la rampe, angle par rapport à l'horizontale, "site" de la rampe, par défaut cet angle est à 80°.
</t>
        </r>
        <r>
          <rPr>
            <i/>
            <sz val="8"/>
            <color indexed="8"/>
            <rFont val="Tahoma"/>
            <family val="2"/>
          </rPr>
          <t>Angle of the lauch pad versus horizontal.</t>
        </r>
      </text>
    </comment>
    <comment ref="B21" authorId="1" shapeId="0" xr:uid="{00000000-0006-0000-0100-000007000000}">
      <text>
        <r>
          <rPr>
            <sz val="8"/>
            <color indexed="8"/>
            <rFont val="Tahoma"/>
            <family val="2"/>
          </rPr>
          <t xml:space="preserve">L'Altitude de la rampe est utilisée pour calculer la densité de l'air.
</t>
        </r>
        <r>
          <rPr>
            <i/>
            <sz val="8"/>
            <color indexed="8"/>
            <rFont val="Tahoma"/>
            <family val="2"/>
          </rPr>
          <t>Launch Pad Altitude is used to compute the air density.</t>
        </r>
      </text>
    </comment>
    <comment ref="D24" authorId="2" shapeId="0" xr:uid="{00000000-0006-0000-0100-000008000000}">
      <text>
        <r>
          <rPr>
            <b/>
            <sz val="8"/>
            <color indexed="8"/>
            <rFont val="Tahoma"/>
            <family val="2"/>
          </rPr>
          <t>Objet largué</t>
        </r>
        <r>
          <rPr>
            <sz val="8"/>
            <color indexed="8"/>
            <rFont val="Tahoma"/>
            <family val="2"/>
          </rPr>
          <t xml:space="preserve"> (CanSat, quasi-satellite, partie contenant l'œuf...)
</t>
        </r>
        <r>
          <rPr>
            <i/>
            <sz val="8"/>
            <color indexed="8"/>
            <rFont val="Tahoma"/>
            <family val="2"/>
          </rPr>
          <t>Separated object (CanSat, quasi-satellite, payload/egg...)</t>
        </r>
      </text>
    </comment>
    <comment ref="K24" authorId="1" shapeId="0" xr:uid="{00000000-0006-0000-0100-000009000000}">
      <text>
        <r>
          <rPr>
            <sz val="8"/>
            <color indexed="8"/>
            <rFont val="Tahoma"/>
            <family val="2"/>
          </rPr>
          <t xml:space="preserve">La Vitesse en Sortie de Rampe doit être supérieure à 18m/s (MiniFusée) ou 20m/s (Fusée Exp.).
Alléger la fusée ou choisir un propu plus puissant.
</t>
        </r>
        <r>
          <rPr>
            <i/>
            <sz val="8"/>
            <color indexed="8"/>
            <rFont val="Tahoma"/>
            <family val="2"/>
          </rPr>
          <t>Speed at Launch Pad Exit must by higher than 18m/s (mini-rocket) or 20m/s (experimental rocket).
Lighten the rocket or choose a bigger motor.</t>
        </r>
      </text>
    </comment>
    <comment ref="C25" authorId="2" shapeId="0" xr:uid="{00000000-0006-0000-0100-00000A000000}">
      <text>
        <r>
          <rPr>
            <sz val="8"/>
            <color indexed="8"/>
            <rFont val="Tahoma"/>
            <family val="2"/>
          </rPr>
          <t xml:space="preserve">Masse de la fusée (sans satellite) sous parachute.
</t>
        </r>
        <r>
          <rPr>
            <i/>
            <sz val="8"/>
            <color indexed="8"/>
            <rFont val="Tahoma"/>
            <family val="2"/>
          </rPr>
          <t>Mass of the rocket (w/o sat) when it fall with a parachute.</t>
        </r>
      </text>
    </comment>
    <comment ref="M28" authorId="3" shapeId="0" xr:uid="{00000000-0006-0000-0100-00000B000000}">
      <text>
        <r>
          <rPr>
            <sz val="8"/>
            <color indexed="81"/>
            <rFont val="Tahoma"/>
            <family val="2"/>
          </rPr>
          <t xml:space="preserve">Efforts sur les fixations du parachute lors de sont ouverture.
</t>
        </r>
        <r>
          <rPr>
            <i/>
            <sz val="8"/>
            <color indexed="81"/>
            <rFont val="Tahoma"/>
            <family val="2"/>
          </rPr>
          <t>Stress on the parachute's bindings when it opened.</t>
        </r>
      </text>
    </comment>
    <comment ref="M29" authorId="3" shapeId="0" xr:uid="{00000000-0006-0000-0100-00000D000000}">
      <text>
        <r>
          <rPr>
            <sz val="8"/>
            <color indexed="81"/>
            <rFont val="Tahoma"/>
            <family val="2"/>
          </rPr>
          <t>Energie libérée lors de l'impact balistique.</t>
        </r>
        <r>
          <rPr>
            <b/>
            <sz val="8"/>
            <color indexed="81"/>
            <rFont val="Tahoma"/>
            <family val="2"/>
          </rPr>
          <t xml:space="preserve">
</t>
        </r>
        <r>
          <rPr>
            <i/>
            <sz val="8"/>
            <color indexed="81"/>
            <rFont val="Tahoma"/>
            <family val="2"/>
          </rPr>
          <t>Balistic impact energy</t>
        </r>
      </text>
    </comment>
    <comment ref="B30" authorId="1" shapeId="0" xr:uid="{00000000-0006-0000-0100-00000C000000}">
      <text>
        <r>
          <rPr>
            <sz val="8"/>
            <color indexed="8"/>
            <rFont val="Tahoma"/>
            <family val="2"/>
          </rPr>
          <t xml:space="preserve">Le Coefficient de Traînée </t>
        </r>
        <r>
          <rPr>
            <b/>
            <sz val="8"/>
            <color indexed="8"/>
            <rFont val="Tahoma"/>
            <family val="2"/>
          </rPr>
          <t>Cx</t>
        </r>
        <r>
          <rPr>
            <sz val="8"/>
            <color indexed="8"/>
            <rFont val="Tahoma"/>
            <family val="2"/>
          </rPr>
          <t xml:space="preserve"> (ou Cd) d'un parachute est généralement compris entre 0.7 et 1.4 (1 par défaut).
</t>
        </r>
        <r>
          <rPr>
            <i/>
            <sz val="8"/>
            <color indexed="8"/>
            <rFont val="Tahoma"/>
            <family val="2"/>
          </rPr>
          <t xml:space="preserve">Parachute Drag Coefficient </t>
        </r>
        <r>
          <rPr>
            <b/>
            <i/>
            <sz val="8"/>
            <color indexed="8"/>
            <rFont val="Tahoma"/>
            <family val="2"/>
          </rPr>
          <t>Cx</t>
        </r>
        <r>
          <rPr>
            <i/>
            <sz val="8"/>
            <color indexed="8"/>
            <rFont val="Tahoma"/>
            <family val="2"/>
          </rPr>
          <t xml:space="preserve"> (or Cd) should be between 0.7 and 1.4, with a default value of 1.</t>
        </r>
      </text>
    </comment>
    <comment ref="B32" authorId="4" shapeId="0" xr:uid="{00000000-0006-0000-0100-00000E000000}">
      <text>
        <r>
          <rPr>
            <sz val="8"/>
            <color indexed="81"/>
            <rFont val="Tahoma"/>
            <family val="2"/>
          </rPr>
          <t xml:space="preserve">La Vitesse de descente sous parachute doit être comprise entre 5 &amp; 15m/s.
</t>
        </r>
        <r>
          <rPr>
            <i/>
            <sz val="8"/>
            <color indexed="81"/>
            <rFont val="Tahoma"/>
            <family val="2"/>
          </rPr>
          <t>Fall Velocity with parachute must be between 5 &amp; 15 m/s.</t>
        </r>
      </text>
    </comment>
    <comment ref="B35" authorId="0" shapeId="0" xr:uid="{00000000-0006-0000-0100-00000F000000}">
      <text>
        <r>
          <rPr>
            <sz val="8"/>
            <color indexed="8"/>
            <rFont val="Tahoma"/>
            <family val="2"/>
          </rPr>
          <t xml:space="preserve">Déviation due au vent lors de la descente sous parachute.
</t>
        </r>
        <r>
          <rPr>
            <i/>
            <sz val="8"/>
            <color indexed="8"/>
            <rFont val="Tahoma"/>
            <family val="2"/>
          </rPr>
          <t>Deviation due to wind during the fall over parachute.</t>
        </r>
      </text>
    </comment>
    <comment ref="F42" authorId="1" shapeId="0" xr:uid="{00000000-0006-0000-0100-000010000000}">
      <text>
        <r>
          <rPr>
            <sz val="8"/>
            <color indexed="8"/>
            <rFont val="Tahoma"/>
            <family val="2"/>
          </rPr>
          <t xml:space="preserve">Les Conditions Initiales permettent de simuler le 2e boost des fusée bi-étage ou des fusées larguant une masse (CanSat, bi-inerte). Laisser à 0 dans les autres cas.
</t>
        </r>
        <r>
          <rPr>
            <i/>
            <sz val="8"/>
            <color indexed="8"/>
            <rFont val="Tahoma"/>
            <family val="2"/>
          </rPr>
          <t>Initial Conditions can be used to simulate the 2nd boost of 2-stages rockets, or rocket releasing mass (Quasi-Satellites). Set them to 0 otherwise.</t>
        </r>
      </text>
    </comment>
    <comment ref="I42" authorId="1" shapeId="0" xr:uid="{00000000-0006-0000-0100-000011000000}">
      <text>
        <r>
          <rPr>
            <sz val="8"/>
            <color indexed="8"/>
            <rFont val="Tahoma"/>
            <family val="2"/>
          </rPr>
          <t xml:space="preserve">Altitude par rapport à la rampe, par rapport au sol.
</t>
        </r>
        <r>
          <rPr>
            <i/>
            <sz val="8"/>
            <color indexed="8"/>
            <rFont val="Tahoma"/>
            <family val="2"/>
          </rPr>
          <t>Altitude with respect to the earth surface.</t>
        </r>
      </text>
    </comment>
    <comment ref="K42" authorId="1" shapeId="0" xr:uid="{00000000-0006-0000-0100-000012000000}">
      <text>
        <r>
          <rPr>
            <sz val="8"/>
            <color indexed="8"/>
            <rFont val="Tahoma"/>
            <family val="2"/>
          </rPr>
          <t xml:space="preserve">La vitesse initiale doit être non-nulle dans le cas d'un 2e boost (allumage hors de la rampe, Portée et Altitude non-nulles).
</t>
        </r>
        <r>
          <rPr>
            <i/>
            <sz val="8"/>
            <color indexed="8"/>
            <rFont val="Tahoma"/>
            <family val="2"/>
          </rPr>
          <t>Initial Velocity must be non-zero in case of 2nd boost (ignition without launch pad, non-zero Range and Altitude).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xml:space="preserve"> </author>
    <author>M363040</author>
    <author>Léo Côme</author>
  </authors>
  <commentList>
    <comment ref="B11" authorId="0" shapeId="0" xr:uid="{00000000-0006-0000-0500-000001000000}">
      <text>
        <r>
          <rPr>
            <sz val="8"/>
            <color indexed="8"/>
            <rFont val="Tahoma"/>
            <family val="2"/>
          </rPr>
          <t xml:space="preserve">Masse sans propu, à changer dans la feuille Stabilito,
ou à l'aide des boutons (revérifiez alors la stabilité).
</t>
        </r>
        <r>
          <rPr>
            <i/>
            <sz val="8"/>
            <color indexed="8"/>
            <rFont val="Tahoma"/>
            <family val="2"/>
          </rPr>
          <t>Rocket mass without motor, to be changed in Stabilito sheet,
or with the buttons (then recheck stability).</t>
        </r>
      </text>
    </comment>
    <comment ref="B12" authorId="0" shapeId="0" xr:uid="{00000000-0006-0000-0500-000002000000}">
      <text>
        <r>
          <rPr>
            <sz val="8"/>
            <color indexed="8"/>
            <rFont val="Tahoma"/>
            <family val="2"/>
          </rPr>
          <t>Masse totale, à changer dans la feuille Stabilito,
ou à l'aide des boutons (revérifiez alors la stabilité).
Rocket total mass, to be changed in Stabilito sheet,
or with the buttons (then recheck stability).</t>
        </r>
      </text>
    </comment>
    <comment ref="B13" authorId="0" shapeId="0" xr:uid="{00000000-0006-0000-0500-000003000000}">
      <text>
        <r>
          <rPr>
            <sz val="8"/>
            <color indexed="8"/>
            <rFont val="Tahoma"/>
            <family val="2"/>
          </rPr>
          <t xml:space="preserve">Le propulseur doit être sélectionné dans l'onglet Stabilito.
</t>
        </r>
        <r>
          <rPr>
            <i/>
            <sz val="8"/>
            <color indexed="8"/>
            <rFont val="Tahoma"/>
            <family val="2"/>
          </rPr>
          <t>Motor must be selected in Stabilito sheet.</t>
        </r>
      </text>
    </comment>
    <comment ref="B16" authorId="1" shapeId="0" xr:uid="{00000000-0006-0000-0500-000004000000}">
      <text>
        <r>
          <rPr>
            <sz val="8"/>
            <color indexed="8"/>
            <rFont val="Tahoma"/>
            <family val="2"/>
          </rPr>
          <t xml:space="preserve">Diamètre de référence. D_réf = D_ogive ou le diamètre "principal".
</t>
        </r>
        <r>
          <rPr>
            <i/>
            <sz val="8"/>
            <color indexed="8"/>
            <rFont val="Tahoma"/>
            <family val="2"/>
          </rPr>
          <t>Reference Diameter. D_ref = D_ogive or the "main" diameter.</t>
        </r>
      </text>
    </comment>
    <comment ref="B17" authorId="2" shapeId="0" xr:uid="{00000000-0006-0000-0500-000005000000}">
      <text>
        <r>
          <rPr>
            <sz val="8"/>
            <color indexed="8"/>
            <rFont val="Tahoma"/>
            <family val="2"/>
          </rPr>
          <t xml:space="preserve">Coefficient de Traînée de la fusée. Par défaut, le </t>
        </r>
        <r>
          <rPr>
            <b/>
            <sz val="8"/>
            <color indexed="8"/>
            <rFont val="Tahoma"/>
            <family val="2"/>
          </rPr>
          <t>Cx</t>
        </r>
        <r>
          <rPr>
            <sz val="8"/>
            <color indexed="8"/>
            <rFont val="Tahoma"/>
            <family val="2"/>
          </rPr>
          <t xml:space="preserve"> vaut 0.6. On peut ajouter ou retrancher 0.2 en fonction des aspérités de la fusée, du profilage des ailerons…
</t>
        </r>
        <r>
          <rPr>
            <i/>
            <sz val="8"/>
            <color indexed="8"/>
            <rFont val="Tahoma"/>
            <family val="2"/>
          </rPr>
          <t>Rocket Drag Coefficient is generally between 0.4 and 0.8, with a default value of 0.6.</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xml:space="preserve"> Léo</author>
  </authors>
  <commentList>
    <comment ref="E55" authorId="0" shapeId="0" xr:uid="{00000000-0006-0000-0600-000001000000}">
      <text>
        <r>
          <rPr>
            <sz val="8"/>
            <color indexed="81"/>
            <rFont val="Tahoma"/>
            <family val="2"/>
          </rPr>
          <t xml:space="preserve">Masse volumique de l'air (ρ) à P=1013,25hPa &amp; T=15°C.
Utilisée tel quel pour la descente sous parachute,
utilisée comme référence (z=0) pour le calcul de ρ en fonction de l'altitude dans le calcul de la trajectoire pas à pas.
Idéalement, valeur à adapter aux conditions atmosphériques au moment du lancement.
</t>
        </r>
        <r>
          <rPr>
            <i/>
            <sz val="8"/>
            <color indexed="81"/>
            <rFont val="Tahoma"/>
            <family val="2"/>
          </rPr>
          <t>Air density (ρ) at P=1013,25hPa &amp; T=15°C.</t>
        </r>
      </text>
    </comment>
  </commentList>
</comments>
</file>

<file path=xl/sharedStrings.xml><?xml version="1.0" encoding="utf-8"?>
<sst xmlns="http://schemas.openxmlformats.org/spreadsheetml/2006/main" count="1731" uniqueCount="573">
  <si>
    <t>TRAJECTO</t>
  </si>
  <si>
    <t>Français</t>
  </si>
  <si>
    <t>t</t>
  </si>
  <si>
    <t>x</t>
  </si>
  <si>
    <t>Club</t>
  </si>
  <si>
    <t>Cx</t>
  </si>
  <si>
    <t>Altitude</t>
  </si>
  <si>
    <t>m/s²</t>
  </si>
  <si>
    <t>kg/m3</t>
  </si>
  <si>
    <t>Surface para</t>
  </si>
  <si>
    <t>Cx parachute</t>
  </si>
  <si>
    <t>Temps</t>
  </si>
  <si>
    <t>Altitude z</t>
  </si>
  <si>
    <t>Accélération</t>
  </si>
  <si>
    <t>-</t>
  </si>
  <si>
    <t>Culmination, Apogée</t>
  </si>
  <si>
    <t>~0</t>
  </si>
  <si>
    <t>Forces</t>
  </si>
  <si>
    <t>Accélération longitudinale</t>
  </si>
  <si>
    <t>pas</t>
  </si>
  <si>
    <t>Beta</t>
  </si>
  <si>
    <t>BetaD</t>
  </si>
  <si>
    <t>Débit</t>
  </si>
  <si>
    <t>Trainée</t>
  </si>
  <si>
    <t>Rho</t>
  </si>
  <si>
    <t>Poussée</t>
  </si>
  <si>
    <t>i_P</t>
  </si>
  <si>
    <t>Poids</t>
  </si>
  <si>
    <t>R_rampe</t>
  </si>
  <si>
    <t>z</t>
  </si>
  <si>
    <t>non-gravit.</t>
  </si>
  <si>
    <t>gravitationnelle</t>
  </si>
  <si>
    <t>Ligne</t>
  </si>
  <si>
    <t>Temps (en s)</t>
  </si>
  <si>
    <t>Poussée (en N)</t>
  </si>
  <si>
    <t>Isard</t>
  </si>
  <si>
    <t>Chamois</t>
  </si>
  <si>
    <t>espace@planete-sciences.org</t>
  </si>
  <si>
    <t>m</t>
  </si>
  <si>
    <t>http://www.planete-sciences.org/espace/basedoc/</t>
  </si>
  <si>
    <t>Surface Réf.</t>
  </si>
  <si>
    <t>Angle</t>
  </si>
  <si>
    <t>Léo Côme</t>
  </si>
  <si>
    <t>Notes :</t>
  </si>
  <si>
    <t>Aucun (2e ét. inerte)</t>
  </si>
  <si>
    <t>z para</t>
  </si>
  <si>
    <t>z sat</t>
  </si>
  <si>
    <t>xz max</t>
  </si>
  <si>
    <t>t para</t>
  </si>
  <si>
    <t>x para</t>
  </si>
  <si>
    <t>t sat</t>
  </si>
  <si>
    <t>x sat</t>
  </si>
  <si>
    <t>Moteurs Rocketry-Challenge, bug Surface_parachute, Satellite, bug Ooo</t>
  </si>
  <si>
    <t>STABILITO</t>
  </si>
  <si>
    <t>Type</t>
  </si>
  <si>
    <t>XCp</t>
  </si>
  <si>
    <t>MpropuPlein</t>
  </si>
  <si>
    <t>XpropuPlein</t>
  </si>
  <si>
    <t>MpropuVide</t>
  </si>
  <si>
    <t>XpropuVide</t>
  </si>
  <si>
    <t>Longueur</t>
  </si>
  <si>
    <t>Diamètre</t>
  </si>
  <si>
    <t>Min</t>
  </si>
  <si>
    <t>Max</t>
  </si>
  <si>
    <t>Finesse</t>
  </si>
  <si>
    <t>Cnα</t>
  </si>
  <si>
    <t>MS /L</t>
  </si>
  <si>
    <t>English</t>
  </si>
  <si>
    <t>X longi</t>
  </si>
  <si>
    <t>Y latéral</t>
  </si>
  <si>
    <t>- Y latéral</t>
  </si>
  <si>
    <t>Pointe</t>
  </si>
  <si>
    <t>Ogive</t>
  </si>
  <si>
    <t>chmt1 pt1</t>
  </si>
  <si>
    <t>chmt1 pt2</t>
  </si>
  <si>
    <t>chmt2 pt1</t>
  </si>
  <si>
    <t>chmt2 pt2</t>
  </si>
  <si>
    <t>culot</t>
  </si>
  <si>
    <t>aileron pt1</t>
  </si>
  <si>
    <t>aileron pt2</t>
  </si>
  <si>
    <t>aileron pt3</t>
  </si>
  <si>
    <t>aileron pt4</t>
  </si>
  <si>
    <t>Xcg plein</t>
  </si>
  <si>
    <t>Xcg vide</t>
  </si>
  <si>
    <t>Xcp</t>
  </si>
  <si>
    <t>canard pt1</t>
  </si>
  <si>
    <t>canard pt2</t>
  </si>
  <si>
    <t>canard pt3</t>
  </si>
  <si>
    <t>canard pt4</t>
  </si>
  <si>
    <t>masquage pt1</t>
  </si>
  <si>
    <t>masquage pt2</t>
  </si>
  <si>
    <t>masquage pt3</t>
  </si>
  <si>
    <t>masquage pt4</t>
  </si>
  <si>
    <t>cadre</t>
  </si>
  <si>
    <t>propu pt1</t>
  </si>
  <si>
    <t>propu pt2</t>
  </si>
  <si>
    <t>propu pt3</t>
  </si>
  <si>
    <t>propu pt4</t>
  </si>
  <si>
    <t>propu pt5</t>
  </si>
  <si>
    <t>MS (X)</t>
  </si>
  <si>
    <t>Cna (Y)</t>
  </si>
  <si>
    <t>2002-2007</t>
  </si>
  <si>
    <t>Stabilito V1.x</t>
  </si>
  <si>
    <t>Stabilito V2.0</t>
  </si>
  <si>
    <t>Stabilito V2.1</t>
  </si>
  <si>
    <t>Stabilito V2.2</t>
  </si>
  <si>
    <t>Trajecto V1.x</t>
  </si>
  <si>
    <t>Trajecto V2.x</t>
  </si>
  <si>
    <t>Trajecto V2.4</t>
  </si>
  <si>
    <t>Trajecto V2.5</t>
  </si>
  <si>
    <t>OpenOffice Calc</t>
  </si>
  <si>
    <t>µ-propu A8-3</t>
  </si>
  <si>
    <t>µ-propu B4-4</t>
  </si>
  <si>
    <t>µ-propu C6-3</t>
  </si>
  <si>
    <t>ISP</t>
  </si>
  <si>
    <t>I_total</t>
  </si>
  <si>
    <t>I_total_i (en N.s)</t>
  </si>
  <si>
    <t>Micro</t>
  </si>
  <si>
    <t>Fusex</t>
  </si>
  <si>
    <t>Mini</t>
  </si>
  <si>
    <t>0 satellite</t>
  </si>
  <si>
    <t>1 satellite</t>
  </si>
  <si>
    <t>http://creativecommons.org/licenses/by-sa/3.0/</t>
  </si>
  <si>
    <t>VL4</t>
  </si>
  <si>
    <t>Vsortie de rampe (&gt; 18 m/s)</t>
  </si>
  <si>
    <t>10 &lt; finesse &lt; 20</t>
  </si>
  <si>
    <t>15 &lt; Cn &lt; 30</t>
  </si>
  <si>
    <t>30 &lt; Ms x Cn &lt; 100</t>
  </si>
  <si>
    <t>RC1</t>
  </si>
  <si>
    <t>5 &lt; Vc &lt; 15 m/s</t>
  </si>
  <si>
    <t>RC2</t>
  </si>
  <si>
    <t>Temps de retard ralentisseur</t>
  </si>
  <si>
    <t>RC5</t>
  </si>
  <si>
    <t>Portée balistique (m)</t>
  </si>
  <si>
    <t>Temps de vol avec parachute (s)</t>
  </si>
  <si>
    <t>Culmination</t>
  </si>
  <si>
    <t>Accélération max (m/s²)</t>
  </si>
  <si>
    <t>Vmax (m/s)</t>
  </si>
  <si>
    <t>Altitude (m)</t>
  </si>
  <si>
    <t>Temps (s)</t>
  </si>
  <si>
    <t>Vitesse (m/s)</t>
  </si>
  <si>
    <t>Inclinaison</t>
  </si>
  <si>
    <t>Longueur totale</t>
  </si>
  <si>
    <t>Longueur rampe</t>
  </si>
  <si>
    <t>Epaisseur ailerons</t>
  </si>
  <si>
    <t>Nombre ailerons</t>
  </si>
  <si>
    <t>Type d'ogive</t>
  </si>
  <si>
    <t>Longueur ogive "l"</t>
  </si>
  <si>
    <t>Haut du propu "Prop"</t>
  </si>
  <si>
    <t>Diamètre "D"</t>
  </si>
  <si>
    <t>Position ailerons "L"</t>
  </si>
  <si>
    <t>M</t>
  </si>
  <si>
    <t>Microsoft Excel 2003 ou +</t>
  </si>
  <si>
    <t>s</t>
  </si>
  <si>
    <t>m/s</t>
  </si>
  <si>
    <t>°</t>
  </si>
  <si>
    <t>Transition A</t>
  </si>
  <si>
    <t>Transition B</t>
  </si>
  <si>
    <t>Jaune</t>
  </si>
  <si>
    <t>conique</t>
  </si>
  <si>
    <t>ogive</t>
  </si>
  <si>
    <t>parabole</t>
  </si>
  <si>
    <t>env pt4</t>
  </si>
  <si>
    <t>flèche pt2</t>
  </si>
  <si>
    <t>saumon pt3</t>
  </si>
  <si>
    <t>flèche milieu</t>
  </si>
  <si>
    <t>env milieu</t>
  </si>
  <si>
    <t>saumon milieu</t>
  </si>
  <si>
    <t>empl milieu</t>
  </si>
  <si>
    <t>empl pt4</t>
  </si>
  <si>
    <t>MS milieu</t>
  </si>
  <si>
    <t>MS Xcp</t>
  </si>
  <si>
    <t>1s</t>
  </si>
  <si>
    <t>t/T</t>
  </si>
  <si>
    <t>z/Z</t>
  </si>
  <si>
    <t>vertical</t>
  </si>
  <si>
    <t>horizontal</t>
  </si>
  <si>
    <t>flèches</t>
  </si>
  <si>
    <t>StabTraj</t>
  </si>
  <si>
    <t>StabTraj V3.0</t>
  </si>
  <si>
    <t>Trajecto</t>
  </si>
  <si>
    <t>µ-propu</t>
  </si>
  <si>
    <t>Minif</t>
  </si>
  <si>
    <t xml:space="preserve"> </t>
  </si>
  <si>
    <t>Événements</t>
  </si>
  <si>
    <t>Sous-échantillon 1Hz</t>
  </si>
  <si>
    <t>pos_x</t>
  </si>
  <si>
    <t>pos_z</t>
  </si>
  <si>
    <t>pos_xz</t>
  </si>
  <si>
    <t>vit_x</t>
  </si>
  <si>
    <t>vit_z</t>
  </si>
  <si>
    <t>vit_xz</t>
  </si>
  <si>
    <t>acc_x</t>
  </si>
  <si>
    <t>acc_z</t>
  </si>
  <si>
    <t>acc_xz</t>
  </si>
  <si>
    <t>Donneés au format des fiches de contrôles Fusex :</t>
  </si>
  <si>
    <t>Diamètre max</t>
  </si>
  <si>
    <t>Envergure totale</t>
  </si>
  <si>
    <t>sans</t>
  </si>
  <si>
    <t>vide</t>
  </si>
  <si>
    <t>plein</t>
  </si>
  <si>
    <t>Masse</t>
  </si>
  <si>
    <t>STAB 1</t>
  </si>
  <si>
    <t>STAB 2</t>
  </si>
  <si>
    <t>STAB 3</t>
  </si>
  <si>
    <t>STAB 4</t>
  </si>
  <si>
    <t>STAB 5</t>
  </si>
  <si>
    <t>Vsortie de rampe (&gt; 20 m/s)</t>
  </si>
  <si>
    <t>10 &lt; finesse &lt; 35</t>
  </si>
  <si>
    <t>15 &lt; Portance &lt; 40</t>
  </si>
  <si>
    <t>2*D &lt; Ms &lt; 6*D</t>
  </si>
  <si>
    <t>40 &lt; Ms x Cn &lt; 100</t>
  </si>
  <si>
    <t>Maître couple (m²)</t>
  </si>
  <si>
    <t>Site</t>
  </si>
  <si>
    <t>Temps balistique (s)</t>
  </si>
  <si>
    <t>Temps culmi (s)</t>
  </si>
  <si>
    <t>Altitude culmi (m)</t>
  </si>
  <si>
    <t>Vitesse culmi (m/s)</t>
  </si>
  <si>
    <t>CdG</t>
  </si>
  <si>
    <t>Diamètre max (40à200)</t>
  </si>
  <si>
    <t>Envergure totale &lt;720</t>
  </si>
  <si>
    <t>Masse &lt;15</t>
  </si>
  <si>
    <t>Pensez à modifier l'inclinaison pour avoir les 2 valeurs.</t>
  </si>
  <si>
    <t>Resist long aileron</t>
  </si>
  <si>
    <t>Resist transv aileron</t>
  </si>
  <si>
    <t>Compression 2.Acc.M</t>
  </si>
  <si>
    <t>N</t>
  </si>
  <si>
    <t>kg</t>
  </si>
  <si>
    <t>Surface aileron (m²)</t>
  </si>
  <si>
    <t>Masse aileron (kg)</t>
  </si>
  <si>
    <t>T dépotage +/-2s /appogée</t>
  </si>
  <si>
    <t>REC 2</t>
  </si>
  <si>
    <t>SEQ 5</t>
  </si>
  <si>
    <t>CR 1</t>
  </si>
  <si>
    <t>CR 2</t>
  </si>
  <si>
    <t>MEC 3</t>
  </si>
  <si>
    <t>Vitesse à l'ouverture m/s</t>
  </si>
  <si>
    <t>Surface parachute m²</t>
  </si>
  <si>
    <t xml:space="preserve">Choc à l'ouverture   N </t>
  </si>
  <si>
    <t>Choc à l'ouverture   kg</t>
  </si>
  <si>
    <t>Compression porte</t>
  </si>
  <si>
    <t>Masse au-dessus porte</t>
  </si>
  <si>
    <t>REC 8</t>
  </si>
  <si>
    <t>rad</t>
  </si>
  <si>
    <t>kg/s</t>
  </si>
  <si>
    <t>Méthodes d'intégration maison</t>
  </si>
  <si>
    <t>Wikipedia</t>
  </si>
  <si>
    <t>Pour se limiter à 1000 lignes, pas variable (les transitions sont-elles rigoureuses ?).</t>
  </si>
  <si>
    <t>Le Vol de la Fusée</t>
  </si>
  <si>
    <t>Beeman (2nd order, explicit variant)</t>
  </si>
  <si>
    <t>Newmark-beta (with γ=1/2 &amp; β=1/4) (2nd order)</t>
  </si>
  <si>
    <t>Spécificités de notre problème (2nd order mechanical ODE) :</t>
  </si>
  <si>
    <t>Verlet (2-stage 2nd order, symplectic, explicit)</t>
  </si>
  <si>
    <t>Trajec 2.x utililse un mélange douteux de différentes méthodes :</t>
  </si>
  <si>
    <t>Méthodes d'intégration explicites officielles</t>
  </si>
  <si>
    <t>On peut anticiper la Poussée (force qui varie le +) et la masse.</t>
  </si>
  <si>
    <t>L'Acc dépend de la vitesse (et peu de la position).</t>
  </si>
  <si>
    <t>Semi-implicit Euler (1st order, symplectic) [§ "Euler modifié" dans Le Vol de La Fusée]</t>
  </si>
  <si>
    <t>Explicit Euler (1st order, non-symplectic) [RK1]</t>
  </si>
  <si>
    <t>Velocity Verlet, Leapfrog variant (2nd order, symplectic, explicit)</t>
  </si>
  <si>
    <t>Midpoint, Modified Euler (2nd order, explicit) [§ "RK2" dans Le Vol de La Fusée]</t>
  </si>
  <si>
    <t>Heun, Improved Euler (2-stage 2nd-order, explicit, predictor-corrector) [Trapezoidal] [RK2]</t>
  </si>
  <si>
    <t>Les méthodes symplectic (conserve l'énergie) gardent-elles leur avantage quand la masse varie (ph propu) ?</t>
  </si>
  <si>
    <t>Sous Excel, on a les pas précédent (linear multistep possible), mais ordre élevé ou implicite sont à exclure.</t>
  </si>
  <si>
    <t>Multi{sub}step (RK), linear multi{previous}step (ADAMS), predictor-corrector, implicit …</t>
  </si>
  <si>
    <t>Dynamique de la fusée (repère sol)</t>
  </si>
  <si>
    <t>Brun/Orange…</t>
  </si>
  <si>
    <t>Rouge…</t>
  </si>
  <si>
    <t>Trajecto/StabTraj corrige l'erreur de Trajec sur Xn+1 en utilisant la vitesse moyenne :</t>
  </si>
  <si>
    <t>Idéalement, il serait préférable de tout calculer à n+0.5 (m, V, β, ρ).</t>
  </si>
  <si>
    <t>Checksum :</t>
  </si>
  <si>
    <t>M_éjecté</t>
  </si>
  <si>
    <t>M_burnout</t>
  </si>
  <si>
    <t>m_poudre</t>
  </si>
  <si>
    <t>Wapiti</t>
  </si>
  <si>
    <t>Cariacou</t>
  </si>
  <si>
    <t>H2O</t>
  </si>
  <si>
    <t>H2O 2.0L 400g 6bar</t>
  </si>
  <si>
    <t>H2O 2.0L 600g 6bar</t>
  </si>
  <si>
    <t>H2O 2.0L 800g 6bar</t>
  </si>
  <si>
    <t>H2O 2.0L 1000g 6bar</t>
  </si>
  <si>
    <t>ABACO</t>
  </si>
  <si>
    <t>Masse totale</t>
  </si>
  <si>
    <t>Traînée prop</t>
  </si>
  <si>
    <t>Traînée bal</t>
  </si>
  <si>
    <t>1/2.ρ.S.Cx</t>
  </si>
  <si>
    <t>M ph prop</t>
  </si>
  <si>
    <t>M ph bal</t>
  </si>
  <si>
    <t>alt_prop</t>
  </si>
  <si>
    <t>V_prop</t>
  </si>
  <si>
    <t>t_culmi</t>
  </si>
  <si>
    <t>D_var</t>
  </si>
  <si>
    <t>Q_var</t>
  </si>
  <si>
    <t>m_var</t>
  </si>
  <si>
    <t>m_prop</t>
  </si>
  <si>
    <t>m_bal</t>
  </si>
  <si>
    <t>a_prop</t>
  </si>
  <si>
    <t>b_prop</t>
  </si>
  <si>
    <t>b_bal</t>
  </si>
  <si>
    <t>Alt prop</t>
  </si>
  <si>
    <t>V max</t>
  </si>
  <si>
    <t>LibreOffice Calc 3.4 ou +</t>
  </si>
  <si>
    <t>alt_culmi</t>
  </si>
  <si>
    <t>x_triomphe</t>
  </si>
  <si>
    <t>z_triomphe</t>
  </si>
  <si>
    <t>Arc de triomphe</t>
  </si>
  <si>
    <t>z_Eiffel</t>
  </si>
  <si>
    <t>x_Eiffel</t>
  </si>
  <si>
    <t>Tour Eiffel</t>
  </si>
  <si>
    <t>H2O 1.5L 300g 6bar</t>
  </si>
  <si>
    <t>H2O 1.5L 450g 6bar</t>
  </si>
  <si>
    <t>H2O 1.5L 600g 6bar</t>
  </si>
  <si>
    <t>H2O 1.5L 750g 6bar</t>
  </si>
  <si>
    <t>FUSEX</t>
  </si>
  <si>
    <t>MINIF PRO29-1G</t>
  </si>
  <si>
    <t>MINIF PRO24-3G</t>
  </si>
  <si>
    <t>MINIF PRO29-2G</t>
  </si>
  <si>
    <t>MINIF PRO24-1G</t>
  </si>
  <si>
    <t>Pro98-3G WT</t>
  </si>
  <si>
    <t>p24-1G 24E22</t>
  </si>
  <si>
    <t>p24-1G 26E31</t>
  </si>
  <si>
    <t>p24-3G 60F50</t>
  </si>
  <si>
    <t>p24-3G 68F79</t>
  </si>
  <si>
    <t>p24-3G 68F240</t>
  </si>
  <si>
    <t>p24-3G 73F30</t>
  </si>
  <si>
    <t>p24-3G 74F85</t>
  </si>
  <si>
    <t>p24-3G 75F51</t>
  </si>
  <si>
    <t>StabTraj V3.1</t>
  </si>
  <si>
    <t>StabTraj V3.2</t>
  </si>
  <si>
    <t>µ-propu C6-3 x2</t>
  </si>
  <si>
    <t>µ-propu C6-3 x3</t>
  </si>
  <si>
    <t>Propu : +RC &amp; +Tintin 2013 : 3 p24-1G, p24-3G 75F51 &amp; 60F50, Pro98-2G &amp; 3G WT</t>
  </si>
  <si>
    <t>Propu : +multi-µ-fu, -Wapiti, warning Cariacou, "Rufina"</t>
  </si>
  <si>
    <t>Donneés au format des fiches de lancement Fusex :</t>
  </si>
  <si>
    <t>Projet</t>
  </si>
  <si>
    <t>Chef de projet</t>
  </si>
  <si>
    <t>Date</t>
  </si>
  <si>
    <t>Moteur</t>
  </si>
  <si>
    <t>Virole</t>
  </si>
  <si>
    <t>MECANIQUE</t>
  </si>
  <si>
    <t xml:space="preserve">l = </t>
  </si>
  <si>
    <t xml:space="preserve">D = </t>
  </si>
  <si>
    <t>Dj =</t>
  </si>
  <si>
    <t xml:space="preserve">Dr = </t>
  </si>
  <si>
    <t xml:space="preserve">m = </t>
  </si>
  <si>
    <t>Epaisseur :</t>
  </si>
  <si>
    <t>Nb Aileron</t>
  </si>
  <si>
    <t>Type ogive</t>
  </si>
  <si>
    <t>ogivale</t>
  </si>
  <si>
    <t>parabolique</t>
  </si>
  <si>
    <t>X_plaque de poussée</t>
  </si>
  <si>
    <t>Masse fusée</t>
  </si>
  <si>
    <t>X_CdG</t>
  </si>
  <si>
    <t>Propu plein</t>
  </si>
  <si>
    <t>Sans propu</t>
  </si>
  <si>
    <t>Masse avec propu vide</t>
  </si>
  <si>
    <t>Simulation de vol</t>
  </si>
  <si>
    <t>Tenue mécanique</t>
  </si>
  <si>
    <t>masse d'un aileron</t>
  </si>
  <si>
    <t>superficie d'un aileron</t>
  </si>
  <si>
    <t>fleche acceptable(mm)</t>
  </si>
  <si>
    <t>compression</t>
  </si>
  <si>
    <t>Resistance longitudinale d'un aileron</t>
  </si>
  <si>
    <t>Resistance transversale d'un aileron</t>
  </si>
  <si>
    <t>Récupération</t>
  </si>
  <si>
    <t>Ralentisseur</t>
  </si>
  <si>
    <t>nombre de suspentes</t>
  </si>
  <si>
    <t>surface parachute</t>
  </si>
  <si>
    <t>force à tester totale</t>
  </si>
  <si>
    <t>force sur suspente</t>
  </si>
  <si>
    <t>Séparation latérale</t>
  </si>
  <si>
    <t>masse au dessus case para</t>
  </si>
  <si>
    <t>Force de compression</t>
  </si>
  <si>
    <t>MINIF PRO24-6G</t>
  </si>
  <si>
    <t>MINIF PRO38-1G</t>
  </si>
  <si>
    <t>p29-2G 84G88</t>
  </si>
  <si>
    <t>p29-2G 93G80</t>
  </si>
  <si>
    <t>p29-2G 110G250</t>
  </si>
  <si>
    <t>p29-2G 116G126</t>
  </si>
  <si>
    <t>p38-1G 137G58</t>
  </si>
  <si>
    <t>p38-1G 128G185</t>
  </si>
  <si>
    <t>p29-1G 41F36</t>
  </si>
  <si>
    <t>p29-1G 51F36</t>
  </si>
  <si>
    <t>p29-1G 55F29</t>
  </si>
  <si>
    <t>p29-1G 56F120</t>
  </si>
  <si>
    <t>p29-1G 57F59</t>
  </si>
  <si>
    <t>MINIF PRO29-3G</t>
  </si>
  <si>
    <t>p29-3G 125G131</t>
  </si>
  <si>
    <t>p38-1G 141G78</t>
  </si>
  <si>
    <t>MINIF PRO24-2G</t>
  </si>
  <si>
    <t>p24-2G 50E51</t>
  </si>
  <si>
    <t>p24-1G 53E70</t>
  </si>
  <si>
    <t>p29-3G 159G125</t>
  </si>
  <si>
    <t>Dépotage</t>
  </si>
  <si>
    <t>Combustion</t>
  </si>
  <si>
    <t>Sylvain Besson</t>
  </si>
  <si>
    <t>Minif Test</t>
  </si>
  <si>
    <t>Rocketry Challenge</t>
  </si>
  <si>
    <t>,Minif Tests</t>
  </si>
  <si>
    <t>MiniR</t>
  </si>
  <si>
    <t>MiniRN</t>
  </si>
  <si>
    <t>MiniN</t>
  </si>
  <si>
    <t>H20</t>
  </si>
  <si>
    <t>micro</t>
  </si>
  <si>
    <t>minif N</t>
  </si>
  <si>
    <t>Verification moteur</t>
  </si>
  <si>
    <t>Minif RC</t>
  </si>
  <si>
    <t>N/A</t>
  </si>
  <si>
    <t>T_para =</t>
  </si>
  <si>
    <t>-9</t>
  </si>
  <si>
    <t>-7</t>
  </si>
  <si>
    <t>-5</t>
  </si>
  <si>
    <t>-3</t>
  </si>
  <si>
    <t>-0</t>
  </si>
  <si>
    <t>Délais dépotage</t>
  </si>
  <si>
    <t>Propu : +ProX, Stabilito : séparation minif/RC, Trajecto : dépotage +rampe RC 3m</t>
  </si>
  <si>
    <t>StabTraj V3.3a</t>
  </si>
  <si>
    <t>p24-1G 25E75 (Rufina)</t>
  </si>
  <si>
    <t>Modification des alertes, +Effort subit par les parachutes</t>
  </si>
  <si>
    <t>Pour prendre en compte plsu de moteurs, il faut changer les variables "menu_type" et "liste"propu" dans le gestionnaire de noms.</t>
  </si>
  <si>
    <t>StabTraj V3.3e</t>
  </si>
  <si>
    <t>Efforts</t>
  </si>
  <si>
    <t>Xcp0</t>
  </si>
  <si>
    <t>sans propu</t>
  </si>
  <si>
    <t>Mono-empennage</t>
  </si>
  <si>
    <t>Bi-empennage</t>
  </si>
  <si>
    <t>Portée balistique &lt; 200 m</t>
  </si>
  <si>
    <t>Indication dépotage lanceur</t>
  </si>
  <si>
    <t>~0 m</t>
  </si>
  <si>
    <t>Données au format des fiches de contrôles minif :</t>
  </si>
  <si>
    <t xml:space="preserve">n = </t>
  </si>
  <si>
    <t xml:space="preserve">E = </t>
  </si>
  <si>
    <t xml:space="preserve">p = </t>
  </si>
  <si>
    <t>1,5.D &lt; Ms &lt; 6.D</t>
  </si>
  <si>
    <t xml:space="preserve">ailrons haut </t>
  </si>
  <si>
    <t>nombre</t>
  </si>
  <si>
    <t xml:space="preserve">ep = </t>
  </si>
  <si>
    <t>Fusée</t>
  </si>
  <si>
    <t>D</t>
  </si>
  <si>
    <t>L ogive</t>
  </si>
  <si>
    <t>L tot</t>
  </si>
  <si>
    <t>X prop</t>
  </si>
  <si>
    <t>Ailerons</t>
  </si>
  <si>
    <t>n</t>
  </si>
  <si>
    <t>p</t>
  </si>
  <si>
    <t>E</t>
  </si>
  <si>
    <t>X ail</t>
  </si>
  <si>
    <t>Bi empennage</t>
  </si>
  <si>
    <t>L</t>
  </si>
  <si>
    <t>D 1</t>
  </si>
  <si>
    <t>D 2</t>
  </si>
  <si>
    <t>X</t>
  </si>
  <si>
    <t>X cg (sans)</t>
  </si>
  <si>
    <t>(mm)</t>
  </si>
  <si>
    <t>Masse sans propu (kg)</t>
  </si>
  <si>
    <t>Couleur de la fusée</t>
  </si>
  <si>
    <t>Type d'éjection du para.</t>
  </si>
  <si>
    <t>Couleur du ralentisseur</t>
  </si>
  <si>
    <t>Surface ralentisseur (m²)</t>
  </si>
  <si>
    <t>Masse sans prop. (kg)</t>
  </si>
  <si>
    <t>Diamètre max (mm)</t>
  </si>
  <si>
    <t>Longeur de la rampe (m)</t>
  </si>
  <si>
    <t>Propulseur</t>
  </si>
  <si>
    <t>module rocket(){</t>
  </si>
  <si>
    <t>}</t>
  </si>
  <si>
    <t>//--------------------------------coiffe</t>
  </si>
  <si>
    <t>if (coiffe_type   == "conique"){</t>
  </si>
  <si>
    <t>//--------------------------------corps</t>
  </si>
  <si>
    <t>if (plusieur_diametres == false){</t>
  </si>
  <si>
    <t>} else {</t>
  </si>
  <si>
    <t>//--------------------------------ailerons</t>
  </si>
  <si>
    <t>aileron(coiffe_diametre, aileron_m_emplature,</t>
  </si>
  <si>
    <t xml:space="preserve"> aileron_position_bas);</t>
  </si>
  <si>
    <t>if (bi_empennage == true){</t>
  </si>
  <si>
    <t xml:space="preserve"> aileron_sup_nombre,</t>
  </si>
  <si>
    <t>rocket();</t>
  </si>
  <si>
    <t xml:space="preserve">	module aileron(diam, m, n, p, e, ep, nb, pos, masque = true){</t>
  </si>
  <si>
    <t xml:space="preserve"> 		depha =   masque ? 0 : 45 ;</t>
  </si>
  <si>
    <t xml:space="preserve">		for (angle = [0 : 360/nb : 360] ){</t>
  </si>
  <si>
    <t xml:space="preserve">			translate ([-diam*sin(angle+depha), diam*cos(angle+depha), pos-m]) {</t>
  </si>
  <si>
    <t xml:space="preserve">				rotate( [0, 0, angle+depha] ){</t>
  </si>
  <si>
    <t xml:space="preserve">	</t>
  </si>
  <si>
    <t xml:space="preserve">					polyhedron</t>
  </si>
  <si>
    <t xml:space="preserve">						(points = [</t>
  </si>
  <si>
    <t xml:space="preserve">							[+ep, 0, 0], [+ep, 0, m], [+ep, e, p+n],  [+ep, e, p],</t>
  </si>
  <si>
    <t xml:space="preserve">							[-ep, 0, 0], [-ep, 0, m], [-ep, e, p+n],  [-ep, e, p]</t>
  </si>
  <si>
    <t xml:space="preserve">							],</t>
  </si>
  <si>
    <t xml:space="preserve">						triangles = [</t>
  </si>
  <si>
    <t xml:space="preserve">							[0, 2, 1], [0, 2, 3], //carre +</t>
  </si>
  <si>
    <t xml:space="preserve">							[4, 6, 5], [4, 6, 7], //carre -</t>
  </si>
  <si>
    <t xml:space="preserve">							[0, 5, 1], [0, 5, 4],</t>
  </si>
  <si>
    <t xml:space="preserve">							[1, 6, 2], [1, 6, 5],</t>
  </si>
  <si>
    <t xml:space="preserve">							[2, 7, 3], [2, 7, 6],</t>
  </si>
  <si>
    <t xml:space="preserve">							[0, 7, 3], [0, 7, 4]</t>
  </si>
  <si>
    <t xml:space="preserve">							]</t>
  </si>
  <si>
    <t xml:space="preserve">						);</t>
  </si>
  <si>
    <t xml:space="preserve">				}</t>
  </si>
  <si>
    <t xml:space="preserve">			}</t>
  </si>
  <si>
    <t xml:space="preserve">		}</t>
  </si>
  <si>
    <t xml:space="preserve">	}	</t>
  </si>
  <si>
    <t xml:space="preserve">	module coiffe(diam, hauteur, resolution = 20.0){</t>
  </si>
  <si>
    <t xml:space="preserve">		pas = hauteur/resolution;</t>
  </si>
  <si>
    <t xml:space="preserve">		for (x = [0: pas : hauteur] ){</t>
  </si>
  <si>
    <t xml:space="preserve">			translate( [0, 0, x+pas] ){</t>
  </si>
  <si>
    <t xml:space="preserve">				cylinder(pas, pow(x, 1.0/2.0), pow(x+pas, 1.0/2.0), false);</t>
  </si>
  <si>
    <t xml:space="preserve">	}</t>
  </si>
  <si>
    <t xml:space="preserve">	cylinder(coiffe_hauteur, 0, coiffe_diametre, false);</t>
  </si>
  <si>
    <t xml:space="preserve">	translate ([0, 0, coiffe_hauteur]) {</t>
  </si>
  <si>
    <t xml:space="preserve">		cylinder(longeur_total-coiffe_hauteur, coiffe_diametre, coiffe_diametre, false);</t>
  </si>
  <si>
    <t xml:space="preserve">	//Premier cylindre</t>
  </si>
  <si>
    <t xml:space="preserve">		cylinder(diam_A_X_implantation-coiffe_hauteur, coiffe_diametre, coiffe_diametre, false);</t>
  </si>
  <si>
    <t xml:space="preserve">	//Premier chanvrin</t>
  </si>
  <si>
    <t xml:space="preserve">	translate ([0, 0, diam_A_X_implantation]) {</t>
  </si>
  <si>
    <t xml:space="preserve">		cylinder(diam_A_L_longeur, diam_A_D1_diametre, diam_A_D2_diametre, false);</t>
  </si>
  <si>
    <t xml:space="preserve">		</t>
  </si>
  <si>
    <t xml:space="preserve">	//Second cylindre</t>
  </si>
  <si>
    <t xml:space="preserve">	translate ([0, 0, diam_A_X_implantation+diam_A_L_longeur]) {</t>
  </si>
  <si>
    <t xml:space="preserve">		cylinder(diam_B_X_implantation-(diam_A_X_implantation+diam_A_L_longeur), diam_A_D2_diametre, diam_B_D1_diametre, false);</t>
  </si>
  <si>
    <t xml:space="preserve">	//Second chanvrin</t>
  </si>
  <si>
    <t xml:space="preserve">	translate ([0, 0, diam_B_X_implantation]) {</t>
  </si>
  <si>
    <t xml:space="preserve">		cylinder(diam_B_L_longeur, diam_B_D1_diametre, diam_B_D2_diametre, false);</t>
  </si>
  <si>
    <t xml:space="preserve">	//Troisieme cylindre</t>
  </si>
  <si>
    <t xml:space="preserve">	translate ([0, 0, diam_B_X_implantation + diam_B_L_longeur]) {</t>
  </si>
  <si>
    <t xml:space="preserve">		cylinder(longeur_total-(diam_B_X_implantation + diam_B_L_longeur), diam_B_D2_diametre, diam_B_D2_diametre, false);</t>
  </si>
  <si>
    <t xml:space="preserve">	 aileron_n_saumon, </t>
  </si>
  <si>
    <t xml:space="preserve">	 aileron_p_fleche,</t>
  </si>
  <si>
    <t xml:space="preserve">	 aileron_e_envergure,</t>
  </si>
  <si>
    <t xml:space="preserve">	 aileron_epaisseur,</t>
  </si>
  <si>
    <t xml:space="preserve">	 aileron_nombre,</t>
  </si>
  <si>
    <t xml:space="preserve">	aileron(coiffe_diametre, aileron_sup_m_emplature,</t>
  </si>
  <si>
    <t xml:space="preserve">	 aileron_sup_n_saumon,</t>
  </si>
  <si>
    <t xml:space="preserve">	 aileron_sup_p_fleche,</t>
  </si>
  <si>
    <t xml:space="preserve">	 aileron_sup_e_envergure,</t>
  </si>
  <si>
    <t xml:space="preserve">	 aileron_sup_epaisseur,</t>
  </si>
  <si>
    <t xml:space="preserve">	 aileron_sup_position_bas,</t>
  </si>
  <si>
    <t xml:space="preserve">	 aileron_sup_masque);</t>
  </si>
  <si>
    <t>p24-6G 140G145 PK</t>
  </si>
  <si>
    <t>p24-6G 139G107 DT</t>
  </si>
  <si>
    <t>p24-6G 142G117 WT</t>
  </si>
  <si>
    <t>Klima D9-7 x2</t>
  </si>
  <si>
    <t>Klima D9-7 x3</t>
  </si>
  <si>
    <t>Klima D9-7</t>
  </si>
  <si>
    <t>StabTraj V3.4.1</t>
  </si>
  <si>
    <t>Propu : +Klima D9</t>
  </si>
  <si>
    <t>p29-1G 56F31</t>
  </si>
  <si>
    <t xml:space="preserve"> 143G150 BS</t>
  </si>
  <si>
    <t>StabTraj V3.4.2</t>
  </si>
  <si>
    <t>Ajout propu</t>
  </si>
  <si>
    <t>Pandora (Pro24-6G BS)</t>
  </si>
  <si>
    <t>Barasinga (Pro54-5G C)</t>
  </si>
  <si>
    <t>Orignal (Pro75-3G C)</t>
  </si>
  <si>
    <t>Blastocerus (Pro98-6GXL RL)</t>
  </si>
  <si>
    <t>Pro54-5G WT</t>
  </si>
  <si>
    <t>Flavien DENIS</t>
  </si>
  <si>
    <t>Ajout Pro54-5G WT et Pro98-6G Green</t>
  </si>
  <si>
    <t>StabTraj V3.4.3</t>
  </si>
  <si>
    <t>Pro98-6G Green</t>
  </si>
  <si>
    <t>StabTraj V3.4.4</t>
  </si>
  <si>
    <t>Type de para</t>
  </si>
  <si>
    <t>Rond</t>
  </si>
  <si>
    <t>Croix</t>
  </si>
  <si>
    <t>Autre</t>
  </si>
  <si>
    <t>Unification Type Minif et RC + liste déroulante pour le type de parachute.</t>
  </si>
  <si>
    <t>Matricule</t>
  </si>
  <si>
    <t>Matriucle</t>
  </si>
  <si>
    <t>Corrections mineurs</t>
  </si>
  <si>
    <t>StabTraj V3.4.5</t>
  </si>
  <si>
    <t>v3.4.5</t>
  </si>
  <si>
    <t>L'AéroIPSA</t>
  </si>
  <si>
    <t>Conique (droite)</t>
  </si>
  <si>
    <t>Plusieurs diamètres.</t>
  </si>
  <si>
    <t>SP02-Alpha</t>
  </si>
  <si>
    <t>Minifusée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</si>
</sst>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3">
    <numFmt numFmtId="164" formatCode="General&quot; kg&quot;"/>
    <numFmt numFmtId="165" formatCode="0.0"/>
    <numFmt numFmtId="166" formatCode="0.000000&quot; m²&quot;"/>
    <numFmt numFmtId="167" formatCode="General&quot; m&quot;"/>
    <numFmt numFmtId="168" formatCode="General&quot; °&quot;"/>
    <numFmt numFmtId="169" formatCode="0.000"/>
    <numFmt numFmtId="170" formatCode="General&quot; s&quot;"/>
    <numFmt numFmtId="171" formatCode="General&quot; m²&quot;"/>
    <numFmt numFmtId="172" formatCode="0&quot; m/s&quot;"/>
    <numFmt numFmtId="173" formatCode="0&quot; s&quot;"/>
    <numFmt numFmtId="174" formatCode="General&quot; m/s&quot;"/>
    <numFmt numFmtId="175" formatCode="0&quot; m&quot;"/>
    <numFmt numFmtId="176" formatCode="General\ &quot;kg&quot;"/>
    <numFmt numFmtId="177" formatCode="General\ &quot;mm&quot;"/>
    <numFmt numFmtId="178" formatCode="0&quot; mm&quot;"/>
    <numFmt numFmtId="179" formatCode="General\ &quot;D&quot;"/>
    <numFmt numFmtId="180" formatCode="0.00&quot; D&quot;"/>
    <numFmt numFmtId="181" formatCode="0&quot;% L&quot;"/>
    <numFmt numFmtId="182" formatCode="General\°"/>
    <numFmt numFmtId="183" formatCode="0.#"/>
    <numFmt numFmtId="184" formatCode="0.0&quot; N.s&quot;"/>
    <numFmt numFmtId="185" formatCode="\±\ 0&quot; m&quot;"/>
    <numFmt numFmtId="186" formatCode="0.0&quot; s&quot;"/>
    <numFmt numFmtId="187" formatCode="0.0&quot; m/s&quot;"/>
    <numFmt numFmtId="188" formatCode="0&quot; m/s²&quot;"/>
    <numFmt numFmtId="189" formatCode="0.00&quot; m²&quot;"/>
    <numFmt numFmtId="190" formatCode="General\ &quot;g&quot;"/>
    <numFmt numFmtId="191" formatCode="#,##0.0\ [$ N]"/>
    <numFmt numFmtId="192" formatCode="#,##0.000\ [$KG]"/>
    <numFmt numFmtId="193" formatCode="0.0&quot; mm&quot;"/>
    <numFmt numFmtId="194" formatCode="General&quot; kg ±100%&quot;"/>
    <numFmt numFmtId="195" formatCode="0&quot; mm ±50%&quot;"/>
    <numFmt numFmtId="196" formatCode="General\ &quot;m/s²&quot;"/>
    <numFmt numFmtId="197" formatCode="&quot;Ø = &quot;0&quot; mm&quot;"/>
    <numFmt numFmtId="198" formatCode="#,##0\ [$ mm²]"/>
    <numFmt numFmtId="199" formatCode="#,#00\ [$ mm]"/>
    <numFmt numFmtId="200" formatCode="#,##0\ [$mm]"/>
    <numFmt numFmtId="201" formatCode="#,##0.00000\ [$ m²]"/>
    <numFmt numFmtId="202" formatCode="#,##0.0\ [$ kg]"/>
    <numFmt numFmtId="203" formatCode="0.00&quot; s&quot;"/>
    <numFmt numFmtId="204" formatCode="0.0&quot; N&quot;"/>
    <numFmt numFmtId="205" formatCode="0&quot; J&quot;"/>
    <numFmt numFmtId="206" formatCode="0&quot; G&quot;"/>
  </numFmts>
  <fonts count="52" x14ac:knownFonts="1">
    <font>
      <sz val="10"/>
      <name val="Arial"/>
      <family val="2"/>
    </font>
    <font>
      <sz val="10"/>
      <name val="Arial"/>
      <family val="2"/>
    </font>
    <font>
      <b/>
      <sz val="10"/>
      <name val="Arial"/>
      <family val="2"/>
    </font>
    <font>
      <b/>
      <sz val="20"/>
      <color indexed="9"/>
      <name val="Arial"/>
      <family val="2"/>
    </font>
    <font>
      <b/>
      <sz val="12"/>
      <name val="Times New Roman"/>
      <family val="1"/>
    </font>
    <font>
      <b/>
      <sz val="9"/>
      <name val="Arial"/>
      <family val="2"/>
    </font>
    <font>
      <b/>
      <u/>
      <sz val="10"/>
      <name val="Arial"/>
      <family val="2"/>
    </font>
    <font>
      <sz val="10"/>
      <color indexed="9"/>
      <name val="Arial"/>
      <family val="2"/>
    </font>
    <font>
      <sz val="8"/>
      <name val="Arial"/>
      <family val="2"/>
    </font>
    <font>
      <u/>
      <sz val="10"/>
      <name val="Arial"/>
      <family val="2"/>
    </font>
    <font>
      <u/>
      <sz val="10"/>
      <color indexed="12"/>
      <name val="Arial"/>
      <family val="2"/>
    </font>
    <font>
      <b/>
      <sz val="10"/>
      <color indexed="18"/>
      <name val="Arial"/>
      <family val="2"/>
    </font>
    <font>
      <b/>
      <sz val="10"/>
      <color indexed="58"/>
      <name val="Arial"/>
      <family val="2"/>
    </font>
    <font>
      <b/>
      <sz val="10"/>
      <color indexed="17"/>
      <name val="Arial"/>
      <family val="2"/>
    </font>
    <font>
      <b/>
      <sz val="10"/>
      <color indexed="23"/>
      <name val="Arial"/>
      <family val="2"/>
    </font>
    <font>
      <sz val="10"/>
      <name val="Arial"/>
      <family val="2"/>
    </font>
    <font>
      <b/>
      <sz val="10"/>
      <color indexed="10"/>
      <name val="Arial"/>
      <family val="2"/>
    </font>
    <font>
      <b/>
      <sz val="14"/>
      <color indexed="10"/>
      <name val="Arial"/>
      <family val="2"/>
    </font>
    <font>
      <sz val="8"/>
      <color indexed="8"/>
      <name val="Tahoma"/>
      <family val="2"/>
    </font>
    <font>
      <i/>
      <sz val="8"/>
      <color indexed="8"/>
      <name val="Tahoma"/>
      <family val="2"/>
    </font>
    <font>
      <b/>
      <sz val="8"/>
      <color indexed="8"/>
      <name val="Tahoma"/>
      <family val="2"/>
    </font>
    <font>
      <sz val="8"/>
      <color indexed="10"/>
      <name val="Tahoma"/>
      <family val="2"/>
    </font>
    <font>
      <i/>
      <sz val="8"/>
      <color indexed="10"/>
      <name val="Tahoma"/>
      <family val="2"/>
    </font>
    <font>
      <b/>
      <u/>
      <sz val="8"/>
      <color indexed="8"/>
      <name val="Tahoma"/>
      <family val="2"/>
    </font>
    <font>
      <b/>
      <sz val="8"/>
      <color indexed="16"/>
      <name val="Tahoma"/>
      <family val="2"/>
    </font>
    <font>
      <i/>
      <sz val="8"/>
      <color indexed="16"/>
      <name val="Tahoma"/>
      <family val="2"/>
    </font>
    <font>
      <strike/>
      <sz val="10"/>
      <name val="Arial"/>
      <family val="2"/>
    </font>
    <font>
      <b/>
      <i/>
      <sz val="8"/>
      <color indexed="8"/>
      <name val="Tahoma"/>
      <family val="2"/>
    </font>
    <font>
      <b/>
      <sz val="10"/>
      <color indexed="23"/>
      <name val="Arial"/>
      <family val="2"/>
    </font>
    <font>
      <b/>
      <sz val="6"/>
      <name val="Arial"/>
      <family val="2"/>
    </font>
    <font>
      <sz val="8"/>
      <color indexed="23"/>
      <name val="Arial"/>
      <family val="2"/>
    </font>
    <font>
      <b/>
      <sz val="10"/>
      <color indexed="23"/>
      <name val="Arial"/>
      <family val="2"/>
    </font>
    <font>
      <b/>
      <sz val="10"/>
      <color indexed="23"/>
      <name val="Arial"/>
      <family val="2"/>
    </font>
    <font>
      <sz val="10"/>
      <color indexed="23"/>
      <name val="Arial"/>
      <family val="2"/>
    </font>
    <font>
      <sz val="10"/>
      <color indexed="12"/>
      <name val="Arial"/>
      <family val="2"/>
    </font>
    <font>
      <b/>
      <sz val="12"/>
      <name val="Arial"/>
      <family val="2"/>
    </font>
    <font>
      <b/>
      <sz val="8"/>
      <name val="Arial"/>
      <family val="2"/>
    </font>
    <font>
      <sz val="8"/>
      <color indexed="12"/>
      <name val="Tahoma"/>
      <family val="2"/>
    </font>
    <font>
      <i/>
      <sz val="8"/>
      <color indexed="12"/>
      <name val="Tahoma"/>
      <family val="2"/>
    </font>
    <font>
      <sz val="8"/>
      <color indexed="81"/>
      <name val="Tahoma"/>
      <family val="2"/>
    </font>
    <font>
      <i/>
      <sz val="8"/>
      <color indexed="81"/>
      <name val="Tahoma"/>
      <family val="2"/>
    </font>
    <font>
      <b/>
      <sz val="10"/>
      <color indexed="53"/>
      <name val="Arial"/>
      <family val="2"/>
    </font>
    <font>
      <b/>
      <u/>
      <sz val="12"/>
      <name val="Arial"/>
      <family val="2"/>
    </font>
    <font>
      <b/>
      <i/>
      <sz val="10"/>
      <name val="Arial"/>
      <family val="2"/>
    </font>
    <font>
      <b/>
      <sz val="8"/>
      <color indexed="81"/>
      <name val="Tahoma"/>
      <family val="2"/>
    </font>
    <font>
      <b/>
      <sz val="10"/>
      <color rgb="FFFF0000"/>
      <name val="Arial"/>
      <family val="2"/>
    </font>
    <font>
      <b/>
      <sz val="10"/>
      <color rgb="FF808080"/>
      <name val="Arial"/>
      <family val="2"/>
    </font>
    <font>
      <sz val="10"/>
      <color rgb="FF808080"/>
      <name val="Arial"/>
      <family val="2"/>
    </font>
    <font>
      <sz val="8"/>
      <color rgb="FF808080"/>
      <name val="Arial"/>
      <family val="2"/>
    </font>
    <font>
      <sz val="8"/>
      <color theme="0"/>
      <name val="Arial"/>
      <family val="2"/>
    </font>
    <font>
      <sz val="10"/>
      <color rgb="FFFF0000"/>
      <name val="Arial"/>
      <family val="2"/>
    </font>
    <font>
      <b/>
      <sz val="10"/>
      <color theme="1"/>
      <name val="Arial"/>
      <family val="2"/>
    </font>
  </fonts>
  <fills count="35">
    <fill>
      <patternFill patternType="none"/>
    </fill>
    <fill>
      <patternFill patternType="gray125"/>
    </fill>
    <fill>
      <patternFill patternType="solid">
        <fgColor indexed="9"/>
        <bgColor indexed="26"/>
      </patternFill>
    </fill>
    <fill>
      <patternFill patternType="solid">
        <fgColor indexed="43"/>
        <bgColor indexed="42"/>
      </patternFill>
    </fill>
    <fill>
      <patternFill patternType="solid">
        <fgColor indexed="43"/>
        <bgColor indexed="64"/>
      </patternFill>
    </fill>
    <fill>
      <patternFill patternType="solid">
        <fgColor indexed="27"/>
        <bgColor indexed="64"/>
      </patternFill>
    </fill>
    <fill>
      <patternFill patternType="solid">
        <fgColor indexed="44"/>
        <bgColor indexed="64"/>
      </patternFill>
    </fill>
    <fill>
      <patternFill patternType="solid">
        <fgColor indexed="27"/>
        <bgColor indexed="42"/>
      </patternFill>
    </fill>
    <fill>
      <patternFill patternType="solid">
        <fgColor indexed="44"/>
        <bgColor indexed="27"/>
      </patternFill>
    </fill>
    <fill>
      <patternFill patternType="solid">
        <fgColor indexed="44"/>
        <bgColor indexed="22"/>
      </patternFill>
    </fill>
    <fill>
      <patternFill patternType="solid">
        <fgColor indexed="47"/>
        <bgColor indexed="64"/>
      </patternFill>
    </fill>
    <fill>
      <patternFill patternType="solid">
        <fgColor indexed="47"/>
        <bgColor indexed="27"/>
      </patternFill>
    </fill>
    <fill>
      <patternFill patternType="solid">
        <fgColor indexed="47"/>
        <bgColor indexed="44"/>
      </patternFill>
    </fill>
    <fill>
      <patternFill patternType="solid">
        <fgColor indexed="42"/>
        <bgColor indexed="42"/>
      </patternFill>
    </fill>
    <fill>
      <patternFill patternType="solid">
        <fgColor indexed="42"/>
        <bgColor indexed="64"/>
      </patternFill>
    </fill>
    <fill>
      <patternFill patternType="solid">
        <fgColor indexed="43"/>
        <bgColor indexed="44"/>
      </patternFill>
    </fill>
    <fill>
      <patternFill patternType="solid">
        <fgColor indexed="26"/>
        <bgColor indexed="41"/>
      </patternFill>
    </fill>
    <fill>
      <patternFill patternType="solid">
        <fgColor indexed="42"/>
        <bgColor indexed="41"/>
      </patternFill>
    </fill>
    <fill>
      <patternFill patternType="solid">
        <fgColor indexed="43"/>
        <bgColor indexed="41"/>
      </patternFill>
    </fill>
    <fill>
      <patternFill patternType="solid">
        <fgColor indexed="8"/>
        <bgColor indexed="64"/>
      </patternFill>
    </fill>
    <fill>
      <patternFill patternType="solid">
        <fgColor indexed="8"/>
        <bgColor indexed="58"/>
      </patternFill>
    </fill>
    <fill>
      <patternFill patternType="solid">
        <fgColor rgb="FFCCFFFF"/>
        <bgColor indexed="41"/>
      </patternFill>
    </fill>
    <fill>
      <patternFill patternType="solid">
        <fgColor rgb="FF99CCFF"/>
        <bgColor indexed="31"/>
      </patternFill>
    </fill>
    <fill>
      <patternFill patternType="solid">
        <fgColor rgb="FFCCFFFF"/>
        <bgColor indexed="42"/>
      </patternFill>
    </fill>
    <fill>
      <patternFill patternType="solid">
        <fgColor rgb="FFCCFFCC"/>
        <bgColor indexed="42"/>
      </patternFill>
    </fill>
    <fill>
      <patternFill patternType="solid">
        <fgColor rgb="FFCCFFCC"/>
        <bgColor indexed="41"/>
      </patternFill>
    </fill>
    <fill>
      <patternFill patternType="solid">
        <fgColor rgb="FFFFCC99"/>
        <bgColor indexed="31"/>
      </patternFill>
    </fill>
    <fill>
      <patternFill patternType="solid">
        <fgColor rgb="FF99CCFF"/>
        <bgColor indexed="64"/>
      </patternFill>
    </fill>
    <fill>
      <patternFill patternType="solid">
        <fgColor rgb="FFFFCC99"/>
        <bgColor indexed="64"/>
      </patternFill>
    </fill>
    <fill>
      <patternFill patternType="solid">
        <fgColor rgb="FFCCFFCC"/>
        <bgColor indexed="64"/>
      </patternFill>
    </fill>
    <fill>
      <patternFill patternType="solid">
        <fgColor rgb="FFFFFF99"/>
        <bgColor indexed="64"/>
      </patternFill>
    </fill>
    <fill>
      <patternFill patternType="solid">
        <fgColor rgb="FFFFCC99"/>
        <bgColor indexed="42"/>
      </patternFill>
    </fill>
    <fill>
      <patternFill patternType="solid">
        <fgColor rgb="FFCCFFFF"/>
        <bgColor indexed="64"/>
      </patternFill>
    </fill>
    <fill>
      <patternFill patternType="solid">
        <fgColor rgb="FFFFFF99"/>
        <bgColor indexed="42"/>
      </patternFill>
    </fill>
    <fill>
      <patternFill patternType="solid">
        <fgColor theme="0" tint="-0.499984740745262"/>
        <bgColor indexed="64"/>
      </patternFill>
    </fill>
  </fills>
  <borders count="104">
    <border>
      <left/>
      <right/>
      <top/>
      <bottom/>
      <diagonal/>
    </border>
    <border>
      <left style="medium">
        <color indexed="8"/>
      </left>
      <right style="medium">
        <color indexed="8"/>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double">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8"/>
      </right>
      <top style="medium">
        <color indexed="8"/>
      </top>
      <bottom style="medium">
        <color indexed="8"/>
      </bottom>
      <diagonal/>
    </border>
    <border>
      <left style="hair">
        <color indexed="8"/>
      </left>
      <right style="hair">
        <color indexed="8"/>
      </right>
      <top style="hair">
        <color indexed="8"/>
      </top>
      <bottom style="hair">
        <color indexed="8"/>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23"/>
      </bottom>
      <diagonal/>
    </border>
    <border>
      <left style="thin">
        <color indexed="8"/>
      </left>
      <right style="thin">
        <color indexed="8"/>
      </right>
      <top style="thin">
        <color indexed="23"/>
      </top>
      <bottom style="thin">
        <color indexed="8"/>
      </bottom>
      <diagonal/>
    </border>
    <border>
      <left style="thin">
        <color indexed="8"/>
      </left>
      <right/>
      <top style="thin">
        <color indexed="8"/>
      </top>
      <bottom style="thin">
        <color indexed="8"/>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8"/>
      </right>
      <top style="thin">
        <color indexed="8"/>
      </top>
      <bottom style="thin">
        <color indexed="8"/>
      </bottom>
      <diagonal/>
    </border>
    <border>
      <left style="thick">
        <color indexed="11"/>
      </left>
      <right style="thick">
        <color indexed="11"/>
      </right>
      <top style="thick">
        <color indexed="11"/>
      </top>
      <bottom style="thick">
        <color indexed="11"/>
      </bottom>
      <diagonal/>
    </border>
    <border>
      <left style="thick">
        <color indexed="11"/>
      </left>
      <right style="thick">
        <color indexed="57"/>
      </right>
      <top style="thick">
        <color indexed="57"/>
      </top>
      <bottom style="thick">
        <color indexed="57"/>
      </bottom>
      <diagonal/>
    </border>
    <border>
      <left style="thick">
        <color indexed="57"/>
      </left>
      <right style="mediumDashed">
        <color indexed="10"/>
      </right>
      <top style="mediumDashed">
        <color indexed="10"/>
      </top>
      <bottom style="mediumDashed">
        <color indexed="10"/>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64"/>
      </bottom>
      <diagonal/>
    </border>
    <border>
      <left style="thin">
        <color indexed="8"/>
      </left>
      <right style="medium">
        <color indexed="8"/>
      </right>
      <top style="thin">
        <color indexed="8"/>
      </top>
      <bottom style="thin">
        <color indexed="64"/>
      </bottom>
      <diagonal/>
    </border>
    <border>
      <left style="medium">
        <color indexed="8"/>
      </left>
      <right style="thin">
        <color indexed="8"/>
      </right>
      <top/>
      <bottom style="thin">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style="thin">
        <color indexed="8"/>
      </top>
      <bottom/>
      <diagonal/>
    </border>
    <border>
      <left style="thin">
        <color indexed="8"/>
      </left>
      <right style="thin">
        <color indexed="8"/>
      </right>
      <top style="thin">
        <color indexed="8"/>
      </top>
      <bottom style="thin">
        <color indexed="64"/>
      </bottom>
      <diagonal/>
    </border>
    <border>
      <left style="medium">
        <color indexed="8"/>
      </left>
      <right style="medium">
        <color indexed="8"/>
      </right>
      <top/>
      <bottom style="thin">
        <color indexed="8"/>
      </bottom>
      <diagonal/>
    </border>
    <border>
      <left style="thin">
        <color indexed="8"/>
      </left>
      <right style="medium">
        <color indexed="8"/>
      </right>
      <top style="thin">
        <color indexed="8"/>
      </top>
      <bottom/>
      <diagonal/>
    </border>
    <border>
      <left style="thin">
        <color indexed="8"/>
      </left>
      <right style="thin">
        <color indexed="8"/>
      </right>
      <top style="thin">
        <color indexed="8"/>
      </top>
      <bottom/>
      <diagonal/>
    </border>
    <border>
      <left style="medium">
        <color indexed="8"/>
      </left>
      <right style="medium">
        <color indexed="8"/>
      </right>
      <top style="thin">
        <color indexed="8"/>
      </top>
      <bottom/>
      <diagonal/>
    </border>
    <border>
      <left style="medium">
        <color indexed="8"/>
      </left>
      <right/>
      <top style="thin">
        <color indexed="8"/>
      </top>
      <bottom/>
      <diagonal/>
    </border>
    <border>
      <left/>
      <right/>
      <top style="thin">
        <color indexed="8"/>
      </top>
      <bottom/>
      <diagonal/>
    </border>
    <border>
      <left/>
      <right style="medium">
        <color indexed="8"/>
      </right>
      <top style="thin">
        <color indexed="8"/>
      </top>
      <bottom/>
      <diagonal/>
    </border>
    <border>
      <left style="medium">
        <color indexed="8"/>
      </left>
      <right style="medium">
        <color indexed="8"/>
      </right>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style="medium">
        <color indexed="8"/>
      </left>
      <right/>
      <top/>
      <bottom/>
      <diagonal/>
    </border>
    <border>
      <left/>
      <right style="medium">
        <color indexed="8"/>
      </right>
      <top/>
      <bottom/>
      <diagonal/>
    </border>
    <border>
      <left/>
      <right style="thin">
        <color indexed="64"/>
      </right>
      <top style="thin">
        <color indexed="8"/>
      </top>
      <bottom/>
      <diagonal/>
    </border>
    <border>
      <left style="medium">
        <color indexed="64"/>
      </left>
      <right style="medium">
        <color indexed="64"/>
      </right>
      <top style="medium">
        <color indexed="64"/>
      </top>
      <bottom style="medium">
        <color indexed="64"/>
      </bottom>
      <diagonal/>
    </border>
    <border>
      <left/>
      <right/>
      <top style="medium">
        <color indexed="8"/>
      </top>
      <bottom style="medium">
        <color indexed="8"/>
      </bottom>
      <diagonal/>
    </border>
    <border>
      <left style="thin">
        <color indexed="8"/>
      </left>
      <right/>
      <top style="thin">
        <color indexed="8"/>
      </top>
      <bottom/>
      <diagonal/>
    </border>
    <border>
      <left style="thin">
        <color indexed="8"/>
      </left>
      <right/>
      <top/>
      <bottom style="thin">
        <color indexed="8"/>
      </bottom>
      <diagonal/>
    </border>
    <border>
      <left style="thin">
        <color indexed="8"/>
      </left>
      <right style="thin">
        <color indexed="8"/>
      </right>
      <top style="thin">
        <color indexed="64"/>
      </top>
      <bottom style="thin">
        <color indexed="8"/>
      </bottom>
      <diagonal/>
    </border>
    <border>
      <left style="thin">
        <color indexed="8"/>
      </left>
      <right style="thin">
        <color indexed="64"/>
      </right>
      <top style="thin">
        <color indexed="64"/>
      </top>
      <bottom style="thin">
        <color indexed="8"/>
      </bottom>
      <diagonal/>
    </border>
    <border>
      <left style="thin">
        <color indexed="8"/>
      </left>
      <right style="thin">
        <color indexed="64"/>
      </right>
      <top style="thin">
        <color indexed="8"/>
      </top>
      <bottom style="thin">
        <color indexed="8"/>
      </bottom>
      <diagonal/>
    </border>
    <border>
      <left style="thin">
        <color indexed="8"/>
      </left>
      <right style="thin">
        <color indexed="64"/>
      </right>
      <top style="thin">
        <color indexed="8"/>
      </top>
      <bottom style="thin">
        <color indexed="23"/>
      </bottom>
      <diagonal/>
    </border>
    <border>
      <left style="thin">
        <color indexed="8"/>
      </left>
      <right style="thin">
        <color indexed="64"/>
      </right>
      <top style="thin">
        <color indexed="8"/>
      </top>
      <bottom style="thin">
        <color indexed="64"/>
      </bottom>
      <diagonal/>
    </border>
    <border>
      <left/>
      <right style="thin">
        <color indexed="8"/>
      </right>
      <top style="thin">
        <color indexed="8"/>
      </top>
      <bottom style="thin">
        <color indexed="64"/>
      </bottom>
      <diagonal/>
    </border>
    <border>
      <left style="thin">
        <color indexed="8"/>
      </left>
      <right/>
      <top style="thin">
        <color indexed="8"/>
      </top>
      <bottom style="thin">
        <color indexed="64"/>
      </bottom>
      <diagonal/>
    </border>
    <border>
      <left style="thick">
        <color indexed="14"/>
      </left>
      <right style="thin">
        <color indexed="64"/>
      </right>
      <top style="thick">
        <color indexed="14"/>
      </top>
      <bottom style="thick">
        <color indexed="14"/>
      </bottom>
      <diagonal/>
    </border>
    <border>
      <left style="thin">
        <color indexed="64"/>
      </left>
      <right style="thick">
        <color indexed="14"/>
      </right>
      <top style="thick">
        <color indexed="14"/>
      </top>
      <bottom style="thick">
        <color indexed="14"/>
      </bottom>
      <diagonal/>
    </border>
    <border>
      <left style="thin">
        <color indexed="64"/>
      </left>
      <right style="double">
        <color indexed="64"/>
      </right>
      <top/>
      <bottom style="thin">
        <color indexed="64"/>
      </bottom>
      <diagonal/>
    </border>
    <border>
      <left style="thick">
        <color indexed="20"/>
      </left>
      <right/>
      <top style="thick">
        <color indexed="20"/>
      </top>
      <bottom style="thick">
        <color indexed="20"/>
      </bottom>
      <diagonal/>
    </border>
    <border>
      <left/>
      <right style="thick">
        <color indexed="20"/>
      </right>
      <top style="thick">
        <color indexed="20"/>
      </top>
      <bottom style="thick">
        <color indexed="20"/>
      </bottom>
      <diagonal/>
    </border>
    <border>
      <left style="thick">
        <color indexed="18"/>
      </left>
      <right/>
      <top style="thick">
        <color indexed="18"/>
      </top>
      <bottom style="thick">
        <color indexed="18"/>
      </bottom>
      <diagonal/>
    </border>
    <border>
      <left/>
      <right style="thick">
        <color indexed="18"/>
      </right>
      <top style="thick">
        <color indexed="18"/>
      </top>
      <bottom style="thick">
        <color indexed="18"/>
      </bottom>
      <diagonal/>
    </border>
    <border>
      <left/>
      <right style="double">
        <color indexed="64"/>
      </right>
      <top style="thin">
        <color indexed="64"/>
      </top>
      <bottom style="thin">
        <color indexed="64"/>
      </bottom>
      <diagonal/>
    </border>
    <border>
      <left/>
      <right/>
      <top style="thin">
        <color indexed="64"/>
      </top>
      <bottom style="thick">
        <color indexed="20"/>
      </bottom>
      <diagonal/>
    </border>
    <border>
      <left/>
      <right style="double">
        <color indexed="64"/>
      </right>
      <top/>
      <bottom style="thin">
        <color indexed="64"/>
      </bottom>
      <diagonal/>
    </border>
    <border>
      <left style="thin">
        <color indexed="8"/>
      </left>
      <right/>
      <top style="thin">
        <color indexed="23"/>
      </top>
      <bottom style="thin">
        <color indexed="8"/>
      </bottom>
      <diagonal/>
    </border>
    <border>
      <left/>
      <right style="thin">
        <color indexed="8"/>
      </right>
      <top style="thin">
        <color indexed="23"/>
      </top>
      <bottom style="thin">
        <color indexed="8"/>
      </bottom>
      <diagonal/>
    </border>
    <border>
      <left style="thin">
        <color indexed="8"/>
      </left>
      <right style="thin">
        <color indexed="8"/>
      </right>
      <top/>
      <bottom style="thin">
        <color indexed="8"/>
      </bottom>
      <diagonal/>
    </border>
    <border>
      <left style="thin">
        <color indexed="8"/>
      </left>
      <right/>
      <top style="thin">
        <color indexed="8"/>
      </top>
      <bottom style="thin">
        <color indexed="23"/>
      </bottom>
      <diagonal/>
    </border>
    <border>
      <left/>
      <right style="thin">
        <color indexed="8"/>
      </right>
      <top style="thin">
        <color indexed="8"/>
      </top>
      <bottom style="thin">
        <color indexed="23"/>
      </bottom>
      <diagonal/>
    </border>
    <border>
      <left style="thin">
        <color indexed="64"/>
      </left>
      <right style="thin">
        <color indexed="8"/>
      </right>
      <top style="thin">
        <color indexed="64"/>
      </top>
      <bottom style="thin">
        <color indexed="64"/>
      </bottom>
      <diagonal/>
    </border>
    <border>
      <left style="thin">
        <color indexed="8"/>
      </left>
      <right style="thin">
        <color indexed="64"/>
      </right>
      <top style="thin">
        <color indexed="64"/>
      </top>
      <bottom style="thin">
        <color indexed="64"/>
      </bottom>
      <diagonal/>
    </border>
    <border>
      <left style="thin">
        <color indexed="64"/>
      </left>
      <right style="double">
        <color indexed="8"/>
      </right>
      <top style="thin">
        <color indexed="64"/>
      </top>
      <bottom style="thin">
        <color indexed="64"/>
      </bottom>
      <diagonal/>
    </border>
    <border>
      <left/>
      <right style="thin">
        <color indexed="8"/>
      </right>
      <top style="thin">
        <color indexed="8"/>
      </top>
      <bottom/>
      <diagonal/>
    </border>
    <border>
      <left style="thin">
        <color indexed="64"/>
      </left>
      <right style="thin">
        <color indexed="8"/>
      </right>
      <top style="thin">
        <color indexed="64"/>
      </top>
      <bottom style="thin">
        <color indexed="8"/>
      </bottom>
      <diagonal/>
    </border>
    <border>
      <left style="thin">
        <color indexed="64"/>
      </left>
      <right style="thin">
        <color indexed="8"/>
      </right>
      <top style="thin">
        <color indexed="8"/>
      </top>
      <bottom style="thin">
        <color indexed="23"/>
      </bottom>
      <diagonal/>
    </border>
    <border>
      <left style="thin">
        <color indexed="64"/>
      </left>
      <right style="thin">
        <color indexed="8"/>
      </right>
      <top style="thin">
        <color indexed="8"/>
      </top>
      <bottom style="thin">
        <color indexed="8"/>
      </bottom>
      <diagonal/>
    </border>
    <border>
      <left style="thin">
        <color indexed="64"/>
      </left>
      <right/>
      <top style="thin">
        <color indexed="8"/>
      </top>
      <bottom style="thin">
        <color indexed="23"/>
      </bottom>
      <diagonal/>
    </border>
    <border>
      <left style="thin">
        <color indexed="64"/>
      </left>
      <right style="thin">
        <color indexed="8"/>
      </right>
      <top style="thin">
        <color indexed="8"/>
      </top>
      <bottom style="thin">
        <color indexed="64"/>
      </bottom>
      <diagonal/>
    </border>
    <border>
      <left style="medium">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hair">
        <color indexed="8"/>
      </left>
      <right style="hair">
        <color indexed="8"/>
      </right>
      <top style="hair">
        <color indexed="8"/>
      </top>
      <bottom/>
      <diagonal/>
    </border>
    <border>
      <left style="thin">
        <color indexed="8"/>
      </left>
      <right style="thin">
        <color indexed="8"/>
      </right>
      <top/>
      <bottom/>
      <diagonal/>
    </border>
  </borders>
  <cellStyleXfs count="3">
    <xf numFmtId="0" fontId="0" fillId="0" borderId="0"/>
    <xf numFmtId="0" fontId="10" fillId="0" borderId="0" applyNumberFormat="0" applyFill="0" applyBorder="0" applyAlignment="0" applyProtection="0"/>
    <xf numFmtId="0" fontId="1" fillId="0" borderId="0"/>
  </cellStyleXfs>
  <cellXfs count="683">
    <xf numFmtId="0" fontId="0" fillId="0" borderId="0" xfId="0"/>
    <xf numFmtId="0" fontId="0" fillId="0" borderId="0" xfId="0" applyAlignment="1">
      <alignment vertical="center"/>
    </xf>
    <xf numFmtId="0" fontId="2" fillId="0" borderId="0" xfId="0" applyFont="1"/>
    <xf numFmtId="0" fontId="2" fillId="0" borderId="0" xfId="0" applyFont="1" applyAlignment="1">
      <alignment horizontal="center" vertical="center"/>
    </xf>
    <xf numFmtId="0" fontId="2" fillId="0" borderId="0" xfId="0" applyFont="1" applyAlignment="1">
      <alignment vertical="center"/>
    </xf>
    <xf numFmtId="0" fontId="0" fillId="0" borderId="0" xfId="0" applyAlignment="1">
      <alignment horizontal="center" vertical="center"/>
    </xf>
    <xf numFmtId="0" fontId="2" fillId="0" borderId="0" xfId="0" applyFont="1" applyAlignment="1">
      <alignment horizontal="center"/>
    </xf>
    <xf numFmtId="2" fontId="0" fillId="0" borderId="0" xfId="0" applyNumberFormat="1" applyAlignment="1">
      <alignment horizontal="center"/>
    </xf>
    <xf numFmtId="2" fontId="7" fillId="0" borderId="0" xfId="0" applyNumberFormat="1" applyFont="1" applyAlignment="1">
      <alignment horizontal="center"/>
    </xf>
    <xf numFmtId="2" fontId="0" fillId="2" borderId="0" xfId="0" applyNumberFormat="1" applyFill="1" applyAlignment="1">
      <alignment horizontal="center"/>
    </xf>
    <xf numFmtId="0" fontId="7" fillId="0" borderId="0" xfId="0" applyFont="1" applyAlignment="1">
      <alignment horizontal="center"/>
    </xf>
    <xf numFmtId="0" fontId="7" fillId="0" borderId="1" xfId="0" applyFont="1" applyBorder="1" applyAlignment="1">
      <alignment horizontal="center"/>
    </xf>
    <xf numFmtId="0" fontId="0" fillId="0" borderId="0" xfId="0" applyAlignment="1">
      <alignment horizontal="center"/>
    </xf>
    <xf numFmtId="0" fontId="6" fillId="0" borderId="0" xfId="0" applyFont="1"/>
    <xf numFmtId="0" fontId="9" fillId="0" borderId="0" xfId="0" applyFont="1"/>
    <xf numFmtId="0" fontId="10" fillId="0" borderId="0" xfId="1" applyNumberFormat="1" applyFill="1" applyBorder="1" applyAlignment="1" applyProtection="1"/>
    <xf numFmtId="14" fontId="0" fillId="0" borderId="0" xfId="0" applyNumberFormat="1" applyAlignment="1">
      <alignment horizontal="left"/>
    </xf>
    <xf numFmtId="171" fontId="2" fillId="3" borderId="2" xfId="0" applyNumberFormat="1" applyFont="1" applyFill="1" applyBorder="1" applyAlignment="1" applyProtection="1">
      <alignment horizontal="center" vertical="center"/>
      <protection locked="0"/>
    </xf>
    <xf numFmtId="0" fontId="16" fillId="0" borderId="0" xfId="0" applyFont="1" applyAlignment="1">
      <alignment vertical="center"/>
    </xf>
    <xf numFmtId="0" fontId="2" fillId="0" borderId="3" xfId="2" applyFont="1" applyBorder="1"/>
    <xf numFmtId="0" fontId="2" fillId="0" borderId="4" xfId="2" applyFont="1" applyBorder="1"/>
    <xf numFmtId="0" fontId="2" fillId="0" borderId="4" xfId="2" applyFont="1" applyBorder="1" applyAlignment="1">
      <alignment horizontal="center"/>
    </xf>
    <xf numFmtId="0" fontId="15" fillId="0" borderId="4" xfId="2" applyFont="1" applyBorder="1" applyProtection="1">
      <protection hidden="1"/>
    </xf>
    <xf numFmtId="0" fontId="1" fillId="0" borderId="5" xfId="2" applyBorder="1"/>
    <xf numFmtId="0" fontId="2" fillId="0" borderId="0" xfId="2" applyFont="1"/>
    <xf numFmtId="0" fontId="2" fillId="0" borderId="6" xfId="2" applyFont="1" applyBorder="1"/>
    <xf numFmtId="0" fontId="15" fillId="0" borderId="0" xfId="2" applyFont="1" applyProtection="1">
      <protection hidden="1"/>
    </xf>
    <xf numFmtId="0" fontId="1" fillId="0" borderId="7" xfId="2" applyBorder="1"/>
    <xf numFmtId="0" fontId="4" fillId="0" borderId="0" xfId="2" applyFont="1"/>
    <xf numFmtId="0" fontId="2" fillId="0" borderId="7" xfId="2" applyFont="1" applyBorder="1"/>
    <xf numFmtId="0" fontId="2" fillId="0" borderId="0" xfId="2" applyFont="1" applyAlignment="1" applyProtection="1">
      <alignment horizontal="center"/>
      <protection hidden="1"/>
    </xf>
    <xf numFmtId="0" fontId="2" fillId="0" borderId="0" xfId="2" applyFont="1" applyAlignment="1">
      <alignment horizontal="center"/>
    </xf>
    <xf numFmtId="0" fontId="16" fillId="0" borderId="0" xfId="2" applyFont="1"/>
    <xf numFmtId="0" fontId="2" fillId="0" borderId="0" xfId="2" applyFont="1" applyProtection="1">
      <protection hidden="1"/>
    </xf>
    <xf numFmtId="0" fontId="15" fillId="4" borderId="8" xfId="2" applyFont="1" applyFill="1" applyBorder="1" applyAlignment="1" applyProtection="1">
      <alignment horizontal="center"/>
      <protection locked="0"/>
    </xf>
    <xf numFmtId="177" fontId="2" fillId="4" borderId="2" xfId="2" applyNumberFormat="1" applyFont="1" applyFill="1" applyBorder="1" applyAlignment="1" applyProtection="1">
      <alignment horizontal="center"/>
      <protection locked="0"/>
    </xf>
    <xf numFmtId="0" fontId="2" fillId="4" borderId="2" xfId="2" applyFont="1" applyFill="1" applyBorder="1" applyAlignment="1" applyProtection="1">
      <alignment horizontal="center"/>
      <protection locked="0"/>
    </xf>
    <xf numFmtId="0" fontId="16" fillId="0" borderId="0" xfId="2" applyFont="1" applyProtection="1">
      <protection hidden="1"/>
    </xf>
    <xf numFmtId="0" fontId="15" fillId="0" borderId="0" xfId="2" applyFont="1"/>
    <xf numFmtId="14" fontId="15" fillId="0" borderId="0" xfId="2" applyNumberFormat="1" applyFont="1" applyAlignment="1" applyProtection="1">
      <alignment horizontal="center"/>
      <protection hidden="1"/>
    </xf>
    <xf numFmtId="0" fontId="2" fillId="0" borderId="9" xfId="2" applyFont="1" applyBorder="1"/>
    <xf numFmtId="0" fontId="2" fillId="0" borderId="10" xfId="2" applyFont="1" applyBorder="1" applyAlignment="1" applyProtection="1">
      <alignment horizontal="center"/>
      <protection locked="0"/>
    </xf>
    <xf numFmtId="0" fontId="2" fillId="0" borderId="10" xfId="2" applyFont="1" applyBorder="1" applyProtection="1">
      <protection locked="0"/>
    </xf>
    <xf numFmtId="0" fontId="2" fillId="0" borderId="0" xfId="2" applyFont="1" applyProtection="1">
      <protection locked="0"/>
    </xf>
    <xf numFmtId="0" fontId="2" fillId="0" borderId="0" xfId="2" applyFont="1" applyAlignment="1" applyProtection="1">
      <alignment horizontal="center"/>
      <protection locked="0"/>
    </xf>
    <xf numFmtId="0" fontId="15" fillId="0" borderId="0" xfId="2" applyFont="1" applyAlignment="1" applyProtection="1">
      <alignment horizontal="center"/>
      <protection hidden="1"/>
    </xf>
    <xf numFmtId="1" fontId="15" fillId="0" borderId="0" xfId="2" applyNumberFormat="1" applyFont="1" applyAlignment="1" applyProtection="1">
      <alignment horizontal="center"/>
      <protection hidden="1"/>
    </xf>
    <xf numFmtId="0" fontId="0" fillId="0" borderId="0" xfId="0" applyAlignment="1">
      <alignment horizontal="left"/>
    </xf>
    <xf numFmtId="0" fontId="15" fillId="0" borderId="0" xfId="0" applyFont="1"/>
    <xf numFmtId="0" fontId="26" fillId="0" borderId="0" xfId="0" applyFont="1"/>
    <xf numFmtId="14" fontId="0" fillId="0" borderId="0" xfId="0" applyNumberFormat="1" applyAlignment="1">
      <alignment horizontal="center" vertical="center"/>
    </xf>
    <xf numFmtId="0" fontId="2" fillId="0" borderId="3" xfId="0" applyFont="1" applyBorder="1"/>
    <xf numFmtId="0" fontId="2" fillId="0" borderId="4" xfId="0" applyFont="1" applyBorder="1"/>
    <xf numFmtId="0" fontId="2" fillId="0" borderId="4" xfId="0" applyFont="1" applyBorder="1" applyAlignment="1">
      <alignment horizontal="center"/>
    </xf>
    <xf numFmtId="0" fontId="0" fillId="0" borderId="4" xfId="0" applyBorder="1" applyAlignment="1">
      <alignment vertical="center"/>
    </xf>
    <xf numFmtId="0" fontId="0" fillId="0" borderId="5" xfId="0" applyBorder="1" applyAlignment="1">
      <alignment vertical="center"/>
    </xf>
    <xf numFmtId="0" fontId="2" fillId="0" borderId="6" xfId="0" applyFont="1" applyBorder="1"/>
    <xf numFmtId="0" fontId="2" fillId="0" borderId="7" xfId="0" applyFont="1" applyBorder="1" applyAlignment="1">
      <alignment vertical="center"/>
    </xf>
    <xf numFmtId="0" fontId="0" fillId="0" borderId="7" xfId="0" applyBorder="1" applyAlignment="1">
      <alignment vertical="center"/>
    </xf>
    <xf numFmtId="0" fontId="0" fillId="0" borderId="6" xfId="0" applyBorder="1" applyAlignment="1">
      <alignment vertical="center"/>
    </xf>
    <xf numFmtId="0" fontId="0" fillId="0" borderId="9" xfId="0" applyBorder="1" applyAlignment="1">
      <alignment vertical="center"/>
    </xf>
    <xf numFmtId="0" fontId="0" fillId="0" borderId="10" xfId="0" applyBorder="1" applyAlignment="1" applyProtection="1">
      <alignment vertical="center"/>
      <protection locked="0"/>
    </xf>
    <xf numFmtId="0" fontId="0" fillId="0" borderId="0" xfId="0" applyAlignment="1" applyProtection="1">
      <alignment vertical="center"/>
      <protection hidden="1"/>
    </xf>
    <xf numFmtId="169" fontId="0" fillId="0" borderId="0" xfId="0" applyNumberFormat="1" applyAlignment="1" applyProtection="1">
      <alignment vertical="center"/>
      <protection hidden="1"/>
    </xf>
    <xf numFmtId="164" fontId="0" fillId="3" borderId="11" xfId="0" applyNumberFormat="1" applyFill="1" applyBorder="1" applyAlignment="1">
      <alignment horizontal="center"/>
    </xf>
    <xf numFmtId="178" fontId="0" fillId="3" borderId="11" xfId="0" applyNumberFormat="1" applyFill="1" applyBorder="1" applyAlignment="1">
      <alignment horizontal="center"/>
    </xf>
    <xf numFmtId="0" fontId="0" fillId="3" borderId="11" xfId="0" applyFill="1" applyBorder="1" applyAlignment="1">
      <alignment horizontal="center"/>
    </xf>
    <xf numFmtId="0" fontId="15" fillId="0" borderId="10" xfId="2" applyFont="1" applyBorder="1" applyProtection="1">
      <protection locked="0"/>
    </xf>
    <xf numFmtId="0" fontId="10" fillId="0" borderId="0" xfId="1"/>
    <xf numFmtId="0" fontId="2" fillId="0" borderId="12" xfId="0" applyFont="1" applyBorder="1" applyAlignment="1">
      <alignment horizontal="center" vertical="center"/>
    </xf>
    <xf numFmtId="0" fontId="2" fillId="0" borderId="12" xfId="0" applyFont="1" applyBorder="1" applyAlignment="1">
      <alignment horizontal="center"/>
    </xf>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165" fontId="0" fillId="0" borderId="0" xfId="0" applyNumberFormat="1" applyAlignment="1">
      <alignment horizontal="center"/>
    </xf>
    <xf numFmtId="0" fontId="0" fillId="0" borderId="9" xfId="0" applyBorder="1"/>
    <xf numFmtId="0" fontId="0" fillId="0" borderId="10" xfId="0" applyBorder="1"/>
    <xf numFmtId="0" fontId="0" fillId="0" borderId="13" xfId="0" applyBorder="1"/>
    <xf numFmtId="1" fontId="0" fillId="0" borderId="0" xfId="0" applyNumberFormat="1" applyAlignment="1">
      <alignment horizontal="center"/>
    </xf>
    <xf numFmtId="165" fontId="0" fillId="0" borderId="0" xfId="0" applyNumberFormat="1" applyAlignment="1">
      <alignment horizontal="center" vertical="center"/>
    </xf>
    <xf numFmtId="1" fontId="0" fillId="0" borderId="0" xfId="0" applyNumberFormat="1" applyAlignment="1">
      <alignment horizontal="center" vertical="center"/>
    </xf>
    <xf numFmtId="182" fontId="2" fillId="0" borderId="12" xfId="0" applyNumberFormat="1" applyFont="1" applyBorder="1" applyAlignment="1">
      <alignment horizontal="center"/>
    </xf>
    <xf numFmtId="1" fontId="2" fillId="0" borderId="12" xfId="0" applyNumberFormat="1" applyFont="1" applyBorder="1" applyAlignment="1">
      <alignment horizontal="center"/>
    </xf>
    <xf numFmtId="165" fontId="2" fillId="0" borderId="12" xfId="0" applyNumberFormat="1" applyFont="1" applyBorder="1" applyAlignment="1">
      <alignment horizontal="center" vertical="center"/>
    </xf>
    <xf numFmtId="165" fontId="2" fillId="0" borderId="12" xfId="0" applyNumberFormat="1" applyFont="1" applyBorder="1" applyAlignment="1">
      <alignment horizontal="center"/>
    </xf>
    <xf numFmtId="0" fontId="0" fillId="0" borderId="0" xfId="2" applyFont="1" applyAlignment="1" applyProtection="1">
      <alignment horizontal="center"/>
      <protection hidden="1"/>
    </xf>
    <xf numFmtId="0" fontId="8" fillId="0" borderId="4" xfId="2" applyFont="1" applyBorder="1"/>
    <xf numFmtId="0" fontId="8" fillId="0" borderId="0" xfId="2" applyFont="1"/>
    <xf numFmtId="0" fontId="8" fillId="0" borderId="0" xfId="2" applyFont="1" applyProtection="1">
      <protection hidden="1"/>
    </xf>
    <xf numFmtId="0" fontId="8" fillId="0" borderId="10" xfId="2" applyFont="1" applyBorder="1" applyProtection="1">
      <protection locked="0"/>
    </xf>
    <xf numFmtId="0" fontId="8" fillId="0" borderId="0" xfId="2" applyFont="1" applyAlignment="1" applyProtection="1">
      <alignment horizontal="center"/>
      <protection hidden="1"/>
    </xf>
    <xf numFmtId="1" fontId="8" fillId="0" borderId="0" xfId="2" applyNumberFormat="1" applyFont="1" applyAlignment="1" applyProtection="1">
      <alignment horizontal="center"/>
      <protection hidden="1"/>
    </xf>
    <xf numFmtId="0" fontId="31" fillId="0" borderId="0" xfId="2" applyFont="1"/>
    <xf numFmtId="0" fontId="0" fillId="0" borderId="0" xfId="0" applyProtection="1">
      <protection locked="0"/>
    </xf>
    <xf numFmtId="165" fontId="2" fillId="5" borderId="14" xfId="2" applyNumberFormat="1" applyFont="1" applyFill="1" applyBorder="1" applyAlignment="1">
      <alignment horizontal="center"/>
    </xf>
    <xf numFmtId="180" fontId="2" fillId="5" borderId="2" xfId="2" applyNumberFormat="1" applyFont="1" applyFill="1" applyBorder="1" applyAlignment="1">
      <alignment horizontal="center"/>
    </xf>
    <xf numFmtId="180" fontId="2" fillId="5" borderId="14" xfId="2" applyNumberFormat="1" applyFont="1" applyFill="1" applyBorder="1" applyAlignment="1">
      <alignment horizontal="center"/>
    </xf>
    <xf numFmtId="165" fontId="2" fillId="5" borderId="2" xfId="2" applyNumberFormat="1" applyFont="1" applyFill="1" applyBorder="1" applyAlignment="1">
      <alignment horizontal="center"/>
    </xf>
    <xf numFmtId="181" fontId="28" fillId="5" borderId="2" xfId="2" applyNumberFormat="1" applyFont="1" applyFill="1" applyBorder="1" applyAlignment="1">
      <alignment horizontal="center"/>
    </xf>
    <xf numFmtId="181" fontId="28" fillId="5" borderId="14" xfId="2" applyNumberFormat="1" applyFont="1" applyFill="1" applyBorder="1" applyAlignment="1">
      <alignment horizontal="center"/>
    </xf>
    <xf numFmtId="0" fontId="2" fillId="5" borderId="2" xfId="2" applyFont="1" applyFill="1" applyBorder="1" applyAlignment="1" applyProtection="1">
      <alignment horizontal="center"/>
      <protection hidden="1"/>
    </xf>
    <xf numFmtId="0" fontId="28" fillId="5" borderId="2" xfId="2" applyFont="1" applyFill="1" applyBorder="1" applyAlignment="1" applyProtection="1">
      <alignment horizontal="center"/>
      <protection hidden="1"/>
    </xf>
    <xf numFmtId="0" fontId="32" fillId="5" borderId="2" xfId="2" applyFont="1" applyFill="1" applyBorder="1" applyAlignment="1" applyProtection="1">
      <alignment horizontal="center"/>
      <protection hidden="1"/>
    </xf>
    <xf numFmtId="0" fontId="2" fillId="6" borderId="2" xfId="2" applyFont="1" applyFill="1" applyBorder="1" applyAlignment="1">
      <alignment horizontal="center"/>
    </xf>
    <xf numFmtId="0" fontId="28" fillId="6" borderId="2" xfId="2" applyFont="1" applyFill="1" applyBorder="1" applyAlignment="1">
      <alignment horizontal="center"/>
    </xf>
    <xf numFmtId="0" fontId="33" fillId="0" borderId="0" xfId="2" applyFont="1"/>
    <xf numFmtId="0" fontId="33" fillId="6" borderId="2" xfId="2" applyFont="1" applyFill="1" applyBorder="1" applyAlignment="1" applyProtection="1">
      <alignment horizontal="center"/>
      <protection hidden="1"/>
    </xf>
    <xf numFmtId="176" fontId="33" fillId="5" borderId="2" xfId="2" applyNumberFormat="1" applyFont="1" applyFill="1" applyBorder="1" applyAlignment="1" applyProtection="1">
      <alignment horizontal="center"/>
      <protection hidden="1"/>
    </xf>
    <xf numFmtId="0" fontId="33" fillId="5" borderId="2" xfId="2" applyFont="1" applyFill="1" applyBorder="1" applyAlignment="1">
      <alignment horizontal="center"/>
    </xf>
    <xf numFmtId="177" fontId="33" fillId="5" borderId="2" xfId="2" applyNumberFormat="1" applyFont="1" applyFill="1" applyBorder="1" applyAlignment="1" applyProtection="1">
      <alignment horizontal="center"/>
      <protection hidden="1"/>
    </xf>
    <xf numFmtId="176" fontId="33" fillId="5" borderId="2" xfId="2" applyNumberFormat="1" applyFont="1" applyFill="1" applyBorder="1" applyAlignment="1">
      <alignment horizontal="center"/>
    </xf>
    <xf numFmtId="178" fontId="33" fillId="5" borderId="2" xfId="2" applyNumberFormat="1" applyFont="1" applyFill="1" applyBorder="1" applyAlignment="1" applyProtection="1">
      <alignment horizontal="center"/>
      <protection hidden="1"/>
    </xf>
    <xf numFmtId="0" fontId="33" fillId="0" borderId="0" xfId="2" applyFont="1" applyProtection="1">
      <protection hidden="1"/>
    </xf>
    <xf numFmtId="2" fontId="0" fillId="7" borderId="15" xfId="0" applyNumberFormat="1" applyFill="1" applyBorder="1" applyAlignment="1">
      <alignment horizontal="center" vertical="center"/>
    </xf>
    <xf numFmtId="165" fontId="0" fillId="7" borderId="15" xfId="0" applyNumberFormat="1" applyFill="1" applyBorder="1" applyAlignment="1">
      <alignment horizontal="center" vertical="center"/>
    </xf>
    <xf numFmtId="1" fontId="2" fillId="7" borderId="15" xfId="0" applyNumberFormat="1" applyFont="1" applyFill="1" applyBorder="1" applyAlignment="1">
      <alignment horizontal="center" vertical="center"/>
    </xf>
    <xf numFmtId="165" fontId="2" fillId="7" borderId="15" xfId="0" applyNumberFormat="1" applyFont="1" applyFill="1" applyBorder="1" applyAlignment="1">
      <alignment horizontal="center" vertical="center"/>
    </xf>
    <xf numFmtId="1" fontId="0" fillId="7" borderId="15" xfId="0" applyNumberFormat="1" applyFill="1" applyBorder="1" applyAlignment="1">
      <alignment horizontal="center" vertical="center"/>
    </xf>
    <xf numFmtId="1" fontId="15" fillId="7" borderId="15" xfId="0" applyNumberFormat="1" applyFont="1" applyFill="1" applyBorder="1" applyAlignment="1">
      <alignment horizontal="center" vertical="center"/>
    </xf>
    <xf numFmtId="165" fontId="15" fillId="7" borderId="15" xfId="0" applyNumberFormat="1" applyFont="1" applyFill="1" applyBorder="1" applyAlignment="1">
      <alignment horizontal="center" vertical="center"/>
    </xf>
    <xf numFmtId="165" fontId="0" fillId="7" borderId="16" xfId="0" applyNumberFormat="1" applyFill="1" applyBorder="1" applyAlignment="1">
      <alignment horizontal="center" vertical="center"/>
    </xf>
    <xf numFmtId="1" fontId="2" fillId="7" borderId="16" xfId="0" applyNumberFormat="1" applyFont="1" applyFill="1" applyBorder="1" applyAlignment="1">
      <alignment horizontal="center" vertical="center"/>
    </xf>
    <xf numFmtId="165" fontId="15" fillId="7" borderId="16" xfId="0" applyNumberFormat="1" applyFont="1" applyFill="1" applyBorder="1" applyAlignment="1">
      <alignment horizontal="center" vertical="center"/>
    </xf>
    <xf numFmtId="1" fontId="2" fillId="7" borderId="17" xfId="0" applyNumberFormat="1" applyFont="1" applyFill="1" applyBorder="1" applyAlignment="1">
      <alignment horizontal="center" vertical="center"/>
    </xf>
    <xf numFmtId="1" fontId="0" fillId="7" borderId="17" xfId="0" applyNumberFormat="1" applyFill="1" applyBorder="1" applyAlignment="1">
      <alignment horizontal="center" vertical="center"/>
    </xf>
    <xf numFmtId="0" fontId="0" fillId="7" borderId="17" xfId="0" applyFill="1" applyBorder="1" applyAlignment="1">
      <alignment horizontal="center" vertical="center"/>
    </xf>
    <xf numFmtId="165" fontId="0" fillId="7" borderId="17" xfId="0" applyNumberFormat="1" applyFill="1" applyBorder="1" applyAlignment="1">
      <alignment horizontal="center" vertical="center"/>
    </xf>
    <xf numFmtId="1" fontId="15" fillId="7" borderId="16" xfId="0" applyNumberFormat="1" applyFont="1" applyFill="1" applyBorder="1" applyAlignment="1">
      <alignment horizontal="center" vertical="center"/>
    </xf>
    <xf numFmtId="1" fontId="15" fillId="7" borderId="17" xfId="0" applyNumberFormat="1" applyFont="1" applyFill="1" applyBorder="1" applyAlignment="1">
      <alignment horizontal="center" vertical="center"/>
    </xf>
    <xf numFmtId="165" fontId="2" fillId="7" borderId="17" xfId="0" applyNumberFormat="1" applyFont="1" applyFill="1" applyBorder="1" applyAlignment="1">
      <alignment horizontal="center" vertical="center"/>
    </xf>
    <xf numFmtId="173" fontId="2" fillId="7" borderId="2" xfId="0" applyNumberFormat="1" applyFont="1" applyFill="1" applyBorder="1" applyAlignment="1">
      <alignment horizontal="center" vertical="center"/>
    </xf>
    <xf numFmtId="0" fontId="2" fillId="8" borderId="18" xfId="0" applyFont="1" applyFill="1" applyBorder="1" applyAlignment="1" applyProtection="1">
      <alignment horizontal="center" vertical="center"/>
      <protection hidden="1"/>
    </xf>
    <xf numFmtId="0" fontId="2" fillId="9" borderId="15" xfId="0" applyFont="1" applyFill="1" applyBorder="1" applyAlignment="1" applyProtection="1">
      <alignment horizontal="center" vertical="center"/>
      <protection hidden="1"/>
    </xf>
    <xf numFmtId="0" fontId="5" fillId="9" borderId="15" xfId="0" applyFont="1" applyFill="1" applyBorder="1" applyAlignment="1" applyProtection="1">
      <alignment horizontal="center" vertical="center"/>
      <protection hidden="1"/>
    </xf>
    <xf numFmtId="0" fontId="0" fillId="9" borderId="15" xfId="0" applyFill="1" applyBorder="1" applyAlignment="1" applyProtection="1">
      <alignment horizontal="center" vertical="center"/>
      <protection hidden="1"/>
    </xf>
    <xf numFmtId="0" fontId="2" fillId="6" borderId="2" xfId="2" applyFont="1" applyFill="1" applyBorder="1" applyAlignment="1" applyProtection="1">
      <alignment horizontal="center"/>
      <protection hidden="1"/>
    </xf>
    <xf numFmtId="0" fontId="2" fillId="10" borderId="2" xfId="2" applyFont="1" applyFill="1" applyBorder="1" applyAlignment="1" applyProtection="1">
      <alignment horizontal="center" vertical="center"/>
      <protection hidden="1"/>
    </xf>
    <xf numFmtId="0" fontId="2" fillId="10" borderId="2" xfId="2" applyFont="1" applyFill="1" applyBorder="1" applyAlignment="1" applyProtection="1">
      <alignment horizontal="center"/>
      <protection hidden="1"/>
    </xf>
    <xf numFmtId="0" fontId="2" fillId="11" borderId="15" xfId="0" applyFont="1" applyFill="1" applyBorder="1" applyAlignment="1" applyProtection="1">
      <alignment horizontal="center" vertical="center"/>
      <protection hidden="1"/>
    </xf>
    <xf numFmtId="0" fontId="2" fillId="11" borderId="18" xfId="0" applyFont="1" applyFill="1" applyBorder="1" applyAlignment="1" applyProtection="1">
      <alignment horizontal="center" vertical="center"/>
      <protection hidden="1"/>
    </xf>
    <xf numFmtId="0" fontId="13" fillId="12" borderId="2" xfId="0" applyFont="1" applyFill="1" applyBorder="1" applyAlignment="1" applyProtection="1">
      <alignment horizontal="center"/>
      <protection hidden="1"/>
    </xf>
    <xf numFmtId="0" fontId="2" fillId="13" borderId="2" xfId="0" applyFont="1" applyFill="1" applyBorder="1" applyAlignment="1" applyProtection="1">
      <alignment horizontal="center" vertical="center"/>
      <protection locked="0"/>
    </xf>
    <xf numFmtId="174" fontId="2" fillId="13" borderId="2" xfId="0" applyNumberFormat="1" applyFont="1" applyFill="1" applyBorder="1" applyAlignment="1" applyProtection="1">
      <alignment horizontal="center" vertical="center"/>
      <protection locked="0"/>
    </xf>
    <xf numFmtId="178" fontId="14" fillId="14" borderId="2" xfId="2" applyNumberFormat="1" applyFont="1" applyFill="1" applyBorder="1" applyAlignment="1">
      <alignment horizontal="center"/>
    </xf>
    <xf numFmtId="1" fontId="30" fillId="14" borderId="2" xfId="2" applyNumberFormat="1" applyFont="1" applyFill="1" applyBorder="1" applyAlignment="1">
      <alignment horizontal="center"/>
    </xf>
    <xf numFmtId="0" fontId="2" fillId="10" borderId="2" xfId="2" applyFont="1" applyFill="1" applyBorder="1" applyAlignment="1">
      <alignment horizontal="center"/>
    </xf>
    <xf numFmtId="0" fontId="0" fillId="7" borderId="15" xfId="0" applyFill="1" applyBorder="1" applyAlignment="1">
      <alignment horizontal="center" vertical="center"/>
    </xf>
    <xf numFmtId="0" fontId="2" fillId="7" borderId="15" xfId="0" applyFont="1" applyFill="1" applyBorder="1" applyAlignment="1">
      <alignment horizontal="center" vertical="center"/>
    </xf>
    <xf numFmtId="0" fontId="0" fillId="13" borderId="15" xfId="0" applyFill="1" applyBorder="1" applyAlignment="1" applyProtection="1">
      <alignment horizontal="center" vertical="center"/>
      <protection locked="0"/>
    </xf>
    <xf numFmtId="185" fontId="2" fillId="7" borderId="2" xfId="0" applyNumberFormat="1" applyFont="1" applyFill="1" applyBorder="1" applyAlignment="1">
      <alignment horizontal="center" vertical="center"/>
    </xf>
    <xf numFmtId="186" fontId="0" fillId="7" borderId="16" xfId="0" applyNumberFormat="1" applyFill="1" applyBorder="1" applyAlignment="1">
      <alignment horizontal="center" vertical="center"/>
    </xf>
    <xf numFmtId="186" fontId="2" fillId="7" borderId="15" xfId="0" applyNumberFormat="1" applyFont="1" applyFill="1" applyBorder="1" applyAlignment="1">
      <alignment horizontal="center" vertical="center"/>
    </xf>
    <xf numFmtId="175" fontId="15" fillId="7" borderId="16" xfId="0" applyNumberFormat="1" applyFont="1" applyFill="1" applyBorder="1" applyAlignment="1">
      <alignment horizontal="center" vertical="center"/>
    </xf>
    <xf numFmtId="175" fontId="15" fillId="7" borderId="15" xfId="0" applyNumberFormat="1" applyFont="1" applyFill="1" applyBorder="1" applyAlignment="1">
      <alignment horizontal="center" vertical="center"/>
    </xf>
    <xf numFmtId="175" fontId="2" fillId="7" borderId="16" xfId="0" applyNumberFormat="1" applyFont="1" applyFill="1" applyBorder="1" applyAlignment="1">
      <alignment horizontal="center" vertical="center"/>
    </xf>
    <xf numFmtId="175" fontId="2" fillId="7" borderId="15" xfId="0" applyNumberFormat="1" applyFont="1" applyFill="1" applyBorder="1" applyAlignment="1">
      <alignment horizontal="center" vertical="center"/>
    </xf>
    <xf numFmtId="172" fontId="2" fillId="7" borderId="15" xfId="0" applyNumberFormat="1" applyFont="1" applyFill="1" applyBorder="1" applyAlignment="1">
      <alignment horizontal="center" vertical="center"/>
    </xf>
    <xf numFmtId="172" fontId="2" fillId="7" borderId="16" xfId="0" applyNumberFormat="1" applyFont="1" applyFill="1" applyBorder="1" applyAlignment="1">
      <alignment horizontal="center" vertical="center"/>
    </xf>
    <xf numFmtId="172" fontId="15" fillId="7" borderId="15" xfId="0" applyNumberFormat="1" applyFont="1" applyFill="1" applyBorder="1" applyAlignment="1">
      <alignment horizontal="center" vertical="center"/>
    </xf>
    <xf numFmtId="0" fontId="0" fillId="0" borderId="19" xfId="0" applyBorder="1" applyAlignment="1">
      <alignment vertical="center"/>
    </xf>
    <xf numFmtId="0" fontId="0" fillId="0" borderId="20" xfId="0" applyBorder="1" applyAlignment="1">
      <alignment vertical="center"/>
    </xf>
    <xf numFmtId="0" fontId="0" fillId="0" borderId="21" xfId="0" applyBorder="1" applyAlignment="1">
      <alignment vertical="center"/>
    </xf>
    <xf numFmtId="0" fontId="0" fillId="0" borderId="22" xfId="0" applyBorder="1" applyAlignment="1">
      <alignment vertical="center"/>
    </xf>
    <xf numFmtId="0" fontId="0" fillId="0" borderId="23" xfId="0" applyBorder="1" applyAlignment="1">
      <alignment vertical="center"/>
    </xf>
    <xf numFmtId="0" fontId="2" fillId="11" borderId="24" xfId="0" applyFont="1" applyFill="1" applyBorder="1" applyAlignment="1" applyProtection="1">
      <alignment horizontal="center" vertical="center"/>
      <protection hidden="1"/>
    </xf>
    <xf numFmtId="178" fontId="2" fillId="3" borderId="25" xfId="0" applyNumberFormat="1" applyFont="1" applyFill="1" applyBorder="1" applyAlignment="1" applyProtection="1">
      <alignment horizontal="center" vertical="center"/>
      <protection locked="0"/>
    </xf>
    <xf numFmtId="178" fontId="2" fillId="3" borderId="26" xfId="0" applyNumberFormat="1" applyFont="1" applyFill="1" applyBorder="1" applyAlignment="1" applyProtection="1">
      <alignment horizontal="center" vertical="center"/>
      <protection locked="0"/>
    </xf>
    <xf numFmtId="0" fontId="2" fillId="8" borderId="24" xfId="0" applyFont="1" applyFill="1" applyBorder="1" applyAlignment="1" applyProtection="1">
      <alignment horizontal="center" vertical="center"/>
      <protection hidden="1"/>
    </xf>
    <xf numFmtId="0" fontId="2" fillId="9" borderId="27" xfId="0" applyFont="1" applyFill="1" applyBorder="1" applyAlignment="1" applyProtection="1">
      <alignment horizontal="center" vertical="center"/>
      <protection hidden="1"/>
    </xf>
    <xf numFmtId="0" fontId="0" fillId="9" borderId="27" xfId="0" applyFill="1" applyBorder="1" applyAlignment="1" applyProtection="1">
      <alignment horizontal="center" vertical="center"/>
      <protection hidden="1"/>
    </xf>
    <xf numFmtId="0" fontId="2" fillId="0" borderId="21" xfId="0" applyFont="1" applyBorder="1" applyAlignment="1">
      <alignment vertical="center"/>
    </xf>
    <xf numFmtId="14" fontId="0" fillId="0" borderId="23" xfId="0" applyNumberFormat="1" applyBorder="1" applyAlignment="1">
      <alignment horizontal="center" vertical="center"/>
    </xf>
    <xf numFmtId="189" fontId="2" fillId="7" borderId="25" xfId="0" applyNumberFormat="1" applyFont="1" applyFill="1" applyBorder="1" applyAlignment="1">
      <alignment horizontal="center" vertical="center"/>
    </xf>
    <xf numFmtId="0" fontId="34" fillId="6" borderId="2" xfId="2" applyFont="1" applyFill="1" applyBorder="1" applyAlignment="1" applyProtection="1">
      <alignment horizontal="center"/>
      <protection hidden="1"/>
    </xf>
    <xf numFmtId="178" fontId="34" fillId="5" borderId="2" xfId="2" applyNumberFormat="1" applyFont="1" applyFill="1" applyBorder="1" applyAlignment="1">
      <alignment horizontal="center"/>
    </xf>
    <xf numFmtId="177" fontId="2" fillId="4" borderId="25" xfId="2" applyNumberFormat="1" applyFont="1" applyFill="1" applyBorder="1" applyAlignment="1" applyProtection="1">
      <alignment horizontal="center"/>
      <protection locked="0"/>
    </xf>
    <xf numFmtId="0" fontId="2" fillId="10" borderId="28" xfId="2" applyFont="1" applyFill="1" applyBorder="1" applyAlignment="1" applyProtection="1">
      <alignment horizontal="center"/>
      <protection hidden="1"/>
    </xf>
    <xf numFmtId="0" fontId="2" fillId="10" borderId="29" xfId="2" applyFont="1" applyFill="1" applyBorder="1" applyAlignment="1" applyProtection="1">
      <alignment horizontal="center"/>
      <protection hidden="1"/>
    </xf>
    <xf numFmtId="0" fontId="36" fillId="10" borderId="30" xfId="2" applyFont="1" applyFill="1" applyBorder="1" applyAlignment="1" applyProtection="1">
      <alignment horizontal="center"/>
      <protection hidden="1"/>
    </xf>
    <xf numFmtId="0" fontId="0" fillId="0" borderId="10" xfId="0" applyBorder="1" applyAlignment="1">
      <alignment vertical="center"/>
    </xf>
    <xf numFmtId="0" fontId="15" fillId="0" borderId="10" xfId="2" applyFont="1" applyBorder="1"/>
    <xf numFmtId="0" fontId="15" fillId="0" borderId="31" xfId="2" applyFont="1" applyBorder="1" applyAlignment="1" applyProtection="1">
      <alignment horizontal="center"/>
      <protection hidden="1"/>
    </xf>
    <xf numFmtId="0" fontId="15" fillId="0" borderId="32" xfId="2" applyFont="1" applyBorder="1" applyAlignment="1">
      <alignment horizontal="center"/>
    </xf>
    <xf numFmtId="0" fontId="15" fillId="0" borderId="19" xfId="2" applyFont="1" applyBorder="1" applyAlignment="1" applyProtection="1">
      <alignment horizontal="center"/>
      <protection hidden="1"/>
    </xf>
    <xf numFmtId="0" fontId="15" fillId="0" borderId="20" xfId="2" applyFont="1" applyBorder="1" applyAlignment="1">
      <alignment horizontal="center"/>
    </xf>
    <xf numFmtId="0" fontId="15" fillId="0" borderId="21" xfId="2" applyFont="1" applyBorder="1" applyAlignment="1" applyProtection="1">
      <alignment horizontal="center"/>
      <protection hidden="1"/>
    </xf>
    <xf numFmtId="0" fontId="15" fillId="0" borderId="23" xfId="2" applyFont="1" applyBorder="1" applyAlignment="1">
      <alignment horizontal="center"/>
    </xf>
    <xf numFmtId="0" fontId="15" fillId="0" borderId="20" xfId="2" applyFont="1" applyBorder="1" applyAlignment="1" applyProtection="1">
      <alignment horizontal="center"/>
      <protection hidden="1"/>
    </xf>
    <xf numFmtId="0" fontId="15" fillId="0" borderId="23" xfId="2" applyFont="1" applyBorder="1" applyAlignment="1" applyProtection="1">
      <alignment horizontal="center"/>
      <protection hidden="1"/>
    </xf>
    <xf numFmtId="2" fontId="15" fillId="0" borderId="31" xfId="2" applyNumberFormat="1" applyFont="1" applyBorder="1" applyAlignment="1" applyProtection="1">
      <alignment horizontal="center"/>
      <protection hidden="1"/>
    </xf>
    <xf numFmtId="0" fontId="0" fillId="0" borderId="31" xfId="2" applyFont="1" applyBorder="1" applyAlignment="1" applyProtection="1">
      <alignment horizontal="center"/>
      <protection hidden="1"/>
    </xf>
    <xf numFmtId="0" fontId="0" fillId="0" borderId="33" xfId="2" applyFont="1" applyBorder="1" applyAlignment="1" applyProtection="1">
      <alignment horizontal="center"/>
      <protection hidden="1"/>
    </xf>
    <xf numFmtId="0" fontId="0" fillId="0" borderId="32" xfId="2" applyFont="1" applyBorder="1" applyAlignment="1" applyProtection="1">
      <alignment horizontal="center"/>
      <protection hidden="1"/>
    </xf>
    <xf numFmtId="0" fontId="0" fillId="0" borderId="19" xfId="2" applyFont="1" applyBorder="1" applyAlignment="1" applyProtection="1">
      <alignment horizontal="center"/>
      <protection hidden="1"/>
    </xf>
    <xf numFmtId="0" fontId="15" fillId="0" borderId="22" xfId="2" applyFont="1" applyBorder="1" applyAlignment="1" applyProtection="1">
      <alignment horizontal="center"/>
      <protection hidden="1"/>
    </xf>
    <xf numFmtId="1" fontId="15" fillId="0" borderId="33" xfId="2" applyNumberFormat="1" applyFont="1" applyBorder="1" applyAlignment="1" applyProtection="1">
      <alignment horizontal="center"/>
      <protection hidden="1"/>
    </xf>
    <xf numFmtId="1" fontId="8" fillId="0" borderId="32" xfId="2" applyNumberFormat="1" applyFont="1" applyBorder="1" applyAlignment="1" applyProtection="1">
      <alignment horizontal="center"/>
      <protection hidden="1"/>
    </xf>
    <xf numFmtId="1" fontId="8" fillId="0" borderId="20" xfId="2" applyNumberFormat="1" applyFont="1" applyBorder="1" applyAlignment="1" applyProtection="1">
      <alignment horizontal="center"/>
      <protection hidden="1"/>
    </xf>
    <xf numFmtId="1" fontId="15" fillId="0" borderId="22" xfId="2" applyNumberFormat="1" applyFont="1" applyBorder="1" applyAlignment="1" applyProtection="1">
      <alignment horizontal="center"/>
      <protection hidden="1"/>
    </xf>
    <xf numFmtId="1" fontId="8" fillId="0" borderId="23" xfId="2" applyNumberFormat="1" applyFont="1" applyBorder="1" applyAlignment="1" applyProtection="1">
      <alignment horizontal="center"/>
      <protection hidden="1"/>
    </xf>
    <xf numFmtId="0" fontId="15" fillId="0" borderId="33" xfId="2" applyFont="1" applyBorder="1" applyAlignment="1" applyProtection="1">
      <alignment horizontal="center"/>
      <protection hidden="1"/>
    </xf>
    <xf numFmtId="2" fontId="15" fillId="0" borderId="33" xfId="2" applyNumberFormat="1" applyFont="1" applyBorder="1" applyAlignment="1" applyProtection="1">
      <alignment horizontal="center"/>
      <protection hidden="1"/>
    </xf>
    <xf numFmtId="0" fontId="8" fillId="0" borderId="32" xfId="2" applyFont="1" applyBorder="1" applyAlignment="1" applyProtection="1">
      <alignment horizontal="center"/>
      <protection hidden="1"/>
    </xf>
    <xf numFmtId="0" fontId="8" fillId="0" borderId="20" xfId="2" applyFont="1" applyBorder="1" applyAlignment="1" applyProtection="1">
      <alignment horizontal="center"/>
      <protection hidden="1"/>
    </xf>
    <xf numFmtId="0" fontId="8" fillId="0" borderId="23" xfId="2" applyFont="1" applyBorder="1" applyAlignment="1" applyProtection="1">
      <alignment horizontal="center"/>
      <protection hidden="1"/>
    </xf>
    <xf numFmtId="1" fontId="15" fillId="0" borderId="32" xfId="2" applyNumberFormat="1" applyFont="1" applyBorder="1" applyAlignment="1" applyProtection="1">
      <alignment horizontal="center"/>
      <protection hidden="1"/>
    </xf>
    <xf numFmtId="1" fontId="15" fillId="0" borderId="20" xfId="2" applyNumberFormat="1" applyFont="1" applyBorder="1" applyAlignment="1" applyProtection="1">
      <alignment horizontal="center"/>
      <protection hidden="1"/>
    </xf>
    <xf numFmtId="1" fontId="15" fillId="0" borderId="23" xfId="2" applyNumberFormat="1" applyFont="1" applyBorder="1" applyAlignment="1" applyProtection="1">
      <alignment horizontal="center"/>
      <protection hidden="1"/>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21" xfId="2" applyFont="1" applyBorder="1" applyAlignment="1" applyProtection="1">
      <alignment horizontal="center"/>
      <protection hidden="1"/>
    </xf>
    <xf numFmtId="165" fontId="0" fillId="0" borderId="19" xfId="0" applyNumberFormat="1" applyBorder="1" applyAlignment="1">
      <alignment horizontal="center" vertical="center"/>
    </xf>
    <xf numFmtId="1" fontId="0" fillId="0" borderId="20" xfId="0" applyNumberFormat="1" applyBorder="1" applyAlignment="1">
      <alignment horizontal="center" vertical="center"/>
    </xf>
    <xf numFmtId="165" fontId="0" fillId="0" borderId="21" xfId="0" applyNumberFormat="1" applyBorder="1" applyAlignment="1">
      <alignment horizontal="center" vertical="center"/>
    </xf>
    <xf numFmtId="1" fontId="0" fillId="0" borderId="23" xfId="0" applyNumberFormat="1" applyBorder="1" applyAlignment="1">
      <alignment horizontal="center" vertical="center"/>
    </xf>
    <xf numFmtId="1" fontId="0" fillId="0" borderId="19" xfId="0" applyNumberFormat="1" applyBorder="1" applyAlignment="1">
      <alignment horizontal="center" vertical="center"/>
    </xf>
    <xf numFmtId="1" fontId="0" fillId="0" borderId="21" xfId="0" applyNumberFormat="1" applyBorder="1" applyAlignment="1">
      <alignment horizontal="center" vertical="center"/>
    </xf>
    <xf numFmtId="0" fontId="0" fillId="0" borderId="23" xfId="0" applyBorder="1" applyAlignment="1">
      <alignment horizontal="center" vertical="center"/>
    </xf>
    <xf numFmtId="0" fontId="14" fillId="15" borderId="8" xfId="0" applyFont="1" applyFill="1" applyBorder="1" applyAlignment="1" applyProtection="1">
      <alignment horizontal="center"/>
      <protection locked="0"/>
    </xf>
    <xf numFmtId="0" fontId="0" fillId="0" borderId="0" xfId="0" applyAlignment="1">
      <alignment horizontal="right" vertical="center"/>
    </xf>
    <xf numFmtId="190" fontId="2" fillId="4" borderId="2" xfId="2" applyNumberFormat="1" applyFont="1" applyFill="1" applyBorder="1" applyAlignment="1" applyProtection="1">
      <alignment horizontal="center"/>
      <protection locked="0"/>
    </xf>
    <xf numFmtId="0" fontId="0" fillId="0" borderId="0" xfId="2" applyFont="1"/>
    <xf numFmtId="0" fontId="30" fillId="6" borderId="2" xfId="2" applyFont="1" applyFill="1" applyBorder="1" applyAlignment="1" applyProtection="1">
      <alignment horizontal="center"/>
      <protection hidden="1"/>
    </xf>
    <xf numFmtId="189" fontId="2" fillId="3" borderId="2" xfId="0" applyNumberFormat="1" applyFont="1" applyFill="1" applyBorder="1" applyAlignment="1" applyProtection="1">
      <alignment horizontal="center" vertical="center"/>
      <protection locked="0"/>
    </xf>
    <xf numFmtId="0" fontId="0" fillId="0" borderId="0" xfId="0" applyAlignment="1">
      <alignment horizontal="right"/>
    </xf>
    <xf numFmtId="0" fontId="2" fillId="11" borderId="18" xfId="1" applyFont="1" applyFill="1" applyBorder="1" applyAlignment="1" applyProtection="1">
      <alignment horizontal="center" vertical="center"/>
      <protection hidden="1"/>
    </xf>
    <xf numFmtId="0" fontId="0" fillId="0" borderId="33" xfId="0" applyBorder="1" applyAlignment="1">
      <alignment horizontal="center" vertical="center"/>
    </xf>
    <xf numFmtId="0" fontId="0" fillId="0" borderId="21" xfId="0" applyBorder="1" applyAlignment="1">
      <alignment horizontal="center" vertical="center"/>
    </xf>
    <xf numFmtId="1" fontId="0" fillId="0" borderId="22" xfId="0" applyNumberFormat="1" applyBorder="1" applyAlignment="1">
      <alignment horizontal="center" vertical="center"/>
    </xf>
    <xf numFmtId="0" fontId="0" fillId="0" borderId="19" xfId="0" applyBorder="1" applyAlignment="1">
      <alignment horizontal="center" vertical="center"/>
    </xf>
    <xf numFmtId="0" fontId="0" fillId="0" borderId="31" xfId="0" applyBorder="1" applyAlignment="1">
      <alignment vertical="center"/>
    </xf>
    <xf numFmtId="0" fontId="0" fillId="0" borderId="32" xfId="0" applyBorder="1" applyAlignment="1">
      <alignment horizontal="left" vertical="center"/>
    </xf>
    <xf numFmtId="0" fontId="0" fillId="0" borderId="20" xfId="0" applyBorder="1" applyAlignment="1">
      <alignment horizontal="left" vertical="center"/>
    </xf>
    <xf numFmtId="0" fontId="0" fillId="0" borderId="19" xfId="0" applyBorder="1" applyAlignment="1">
      <alignment horizontal="right" vertical="center"/>
    </xf>
    <xf numFmtId="2" fontId="0" fillId="0" borderId="20" xfId="0" applyNumberFormat="1" applyBorder="1" applyAlignment="1">
      <alignment horizontal="center" vertical="center"/>
    </xf>
    <xf numFmtId="0" fontId="0" fillId="0" borderId="21" xfId="0" applyBorder="1" applyAlignment="1">
      <alignment horizontal="right" vertical="center"/>
    </xf>
    <xf numFmtId="2" fontId="0" fillId="0" borderId="23" xfId="0" applyNumberFormat="1" applyBorder="1" applyAlignment="1">
      <alignment horizontal="center" vertical="center"/>
    </xf>
    <xf numFmtId="0" fontId="0" fillId="0" borderId="31" xfId="0" applyBorder="1" applyAlignment="1">
      <alignment horizontal="right" vertical="center"/>
    </xf>
    <xf numFmtId="2" fontId="0" fillId="0" borderId="32" xfId="0" applyNumberFormat="1" applyBorder="1" applyAlignment="1">
      <alignment horizontal="center" vertical="center"/>
    </xf>
    <xf numFmtId="0" fontId="2" fillId="0" borderId="20" xfId="0" applyFont="1" applyBorder="1" applyAlignment="1">
      <alignment horizontal="center" vertical="center"/>
    </xf>
    <xf numFmtId="1" fontId="2" fillId="0" borderId="0" xfId="0" applyNumberFormat="1" applyFont="1" applyAlignment="1">
      <alignment horizontal="center"/>
    </xf>
    <xf numFmtId="0" fontId="2" fillId="0" borderId="32" xfId="0" applyFont="1" applyBorder="1" applyAlignment="1">
      <alignment horizontal="center"/>
    </xf>
    <xf numFmtId="0" fontId="2" fillId="0" borderId="20" xfId="0" applyFont="1" applyBorder="1" applyAlignment="1">
      <alignment horizontal="center"/>
    </xf>
    <xf numFmtId="1" fontId="2" fillId="0" borderId="23" xfId="0" applyNumberFormat="1" applyFont="1" applyBorder="1" applyAlignment="1">
      <alignment horizontal="center"/>
    </xf>
    <xf numFmtId="0" fontId="2" fillId="0" borderId="33" xfId="0" applyFont="1" applyBorder="1" applyAlignment="1">
      <alignment horizontal="center"/>
    </xf>
    <xf numFmtId="165" fontId="2" fillId="0" borderId="0" xfId="0" applyNumberFormat="1" applyFont="1" applyAlignment="1">
      <alignment horizontal="center" vertical="center"/>
    </xf>
    <xf numFmtId="165" fontId="2" fillId="0" borderId="0" xfId="0" applyNumberFormat="1" applyFont="1" applyAlignment="1">
      <alignment horizontal="center"/>
    </xf>
    <xf numFmtId="0" fontId="2" fillId="0" borderId="33" xfId="0" applyFont="1" applyBorder="1"/>
    <xf numFmtId="165" fontId="2" fillId="0" borderId="33" xfId="0" applyNumberFormat="1" applyFont="1" applyBorder="1" applyAlignment="1">
      <alignment horizontal="center" vertical="center"/>
    </xf>
    <xf numFmtId="165" fontId="2" fillId="0" borderId="32" xfId="0" applyNumberFormat="1" applyFont="1" applyBorder="1" applyAlignment="1">
      <alignment horizontal="center" vertical="center"/>
    </xf>
    <xf numFmtId="0" fontId="2" fillId="0" borderId="20" xfId="0" applyFont="1" applyBorder="1"/>
    <xf numFmtId="165" fontId="2" fillId="0" borderId="20" xfId="0" applyNumberFormat="1" applyFont="1" applyBorder="1" applyAlignment="1">
      <alignment horizontal="center" vertical="center"/>
    </xf>
    <xf numFmtId="165" fontId="2" fillId="0" borderId="20" xfId="0" applyNumberFormat="1" applyFont="1" applyBorder="1" applyAlignment="1">
      <alignment horizontal="center"/>
    </xf>
    <xf numFmtId="0" fontId="2" fillId="0" borderId="22" xfId="0" applyFont="1" applyBorder="1"/>
    <xf numFmtId="165" fontId="2" fillId="0" borderId="22" xfId="0" applyNumberFormat="1" applyFont="1" applyBorder="1" applyAlignment="1">
      <alignment horizontal="center" vertical="center"/>
    </xf>
    <xf numFmtId="165" fontId="2" fillId="0" borderId="23" xfId="0" applyNumberFormat="1" applyFont="1" applyBorder="1" applyAlignment="1">
      <alignment horizontal="center" vertical="center"/>
    </xf>
    <xf numFmtId="165" fontId="0" fillId="0" borderId="0" xfId="0" applyNumberFormat="1" applyAlignment="1">
      <alignment horizontal="left"/>
    </xf>
    <xf numFmtId="0" fontId="2" fillId="4" borderId="0" xfId="0" applyFont="1" applyFill="1" applyAlignment="1" applyProtection="1">
      <alignment horizontal="center" vertical="center"/>
      <protection locked="0"/>
    </xf>
    <xf numFmtId="0" fontId="2" fillId="0" borderId="23" xfId="0" applyFont="1" applyBorder="1" applyAlignment="1">
      <alignment horizontal="center"/>
    </xf>
    <xf numFmtId="0" fontId="0" fillId="0" borderId="33" xfId="0" applyBorder="1" applyAlignment="1">
      <alignment horizontal="center"/>
    </xf>
    <xf numFmtId="0" fontId="0" fillId="0" borderId="32" xfId="0" applyBorder="1" applyAlignment="1">
      <alignment horizontal="center"/>
    </xf>
    <xf numFmtId="1" fontId="2" fillId="0" borderId="22" xfId="0" applyNumberFormat="1" applyFont="1" applyBorder="1" applyAlignment="1">
      <alignment horizontal="center"/>
    </xf>
    <xf numFmtId="165" fontId="2" fillId="0" borderId="23" xfId="0" applyNumberFormat="1" applyFont="1" applyBorder="1" applyAlignment="1">
      <alignment horizontal="center"/>
    </xf>
    <xf numFmtId="0" fontId="0" fillId="0" borderId="33" xfId="0" applyBorder="1"/>
    <xf numFmtId="0" fontId="0" fillId="0" borderId="32" xfId="0" applyBorder="1"/>
    <xf numFmtId="0" fontId="0" fillId="0" borderId="20" xfId="0" applyBorder="1"/>
    <xf numFmtId="0" fontId="2" fillId="4" borderId="20" xfId="0" applyFont="1" applyFill="1" applyBorder="1" applyAlignment="1" applyProtection="1">
      <alignment horizontal="center" vertical="center"/>
      <protection locked="0"/>
    </xf>
    <xf numFmtId="0" fontId="0" fillId="0" borderId="21" xfId="0" applyBorder="1"/>
    <xf numFmtId="0" fontId="0" fillId="0" borderId="22" xfId="0" applyBorder="1"/>
    <xf numFmtId="0" fontId="0" fillId="0" borderId="23" xfId="0" applyBorder="1"/>
    <xf numFmtId="0" fontId="29" fillId="0" borderId="20" xfId="0" applyFont="1" applyBorder="1" applyAlignment="1">
      <alignment horizontal="left"/>
    </xf>
    <xf numFmtId="0" fontId="2" fillId="0" borderId="0" xfId="0" applyFont="1" applyAlignment="1">
      <alignment horizontal="right"/>
    </xf>
    <xf numFmtId="0" fontId="2" fillId="0" borderId="22" xfId="0" applyFont="1" applyBorder="1" applyAlignment="1">
      <alignment horizontal="center"/>
    </xf>
    <xf numFmtId="0" fontId="2" fillId="0" borderId="31" xfId="0" applyFont="1" applyBorder="1" applyAlignment="1">
      <alignment horizontal="center"/>
    </xf>
    <xf numFmtId="0" fontId="2" fillId="0" borderId="19" xfId="0" applyFont="1" applyBorder="1" applyAlignment="1">
      <alignment horizontal="center"/>
    </xf>
    <xf numFmtId="0" fontId="2" fillId="0" borderId="21" xfId="0" applyFont="1" applyBorder="1" applyAlignment="1">
      <alignment horizontal="center"/>
    </xf>
    <xf numFmtId="0" fontId="2" fillId="0" borderId="19" xfId="0" applyFont="1" applyBorder="1" applyAlignment="1">
      <alignment horizontal="center" vertical="center"/>
    </xf>
    <xf numFmtId="0" fontId="2" fillId="4" borderId="23" xfId="0" applyFont="1" applyFill="1" applyBorder="1" applyAlignment="1" applyProtection="1">
      <alignment horizontal="center" vertical="center"/>
      <protection locked="0"/>
    </xf>
    <xf numFmtId="1" fontId="2" fillId="0" borderId="20" xfId="0" applyNumberFormat="1" applyFont="1" applyBorder="1" applyAlignment="1">
      <alignment horizontal="center"/>
    </xf>
    <xf numFmtId="165" fontId="2" fillId="0" borderId="22" xfId="0" applyNumberFormat="1" applyFont="1" applyBorder="1" applyAlignment="1">
      <alignment horizontal="center"/>
    </xf>
    <xf numFmtId="0" fontId="2" fillId="0" borderId="34" xfId="0" applyFont="1" applyBorder="1" applyAlignment="1">
      <alignment horizontal="center"/>
    </xf>
    <xf numFmtId="1" fontId="2" fillId="0" borderId="0" xfId="0" applyNumberFormat="1" applyFont="1" applyAlignment="1">
      <alignment horizontal="center" vertical="center"/>
    </xf>
    <xf numFmtId="1" fontId="2" fillId="0" borderId="20" xfId="0" applyNumberFormat="1" applyFont="1" applyBorder="1" applyAlignment="1">
      <alignment horizontal="center" vertical="center"/>
    </xf>
    <xf numFmtId="0" fontId="2" fillId="0" borderId="35" xfId="0" applyFont="1" applyBorder="1"/>
    <xf numFmtId="1" fontId="2" fillId="0" borderId="35" xfId="0" applyNumberFormat="1" applyFont="1" applyBorder="1" applyAlignment="1">
      <alignment horizontal="center"/>
    </xf>
    <xf numFmtId="0" fontId="2" fillId="0" borderId="35" xfId="0" applyFont="1" applyBorder="1" applyAlignment="1">
      <alignment horizontal="center"/>
    </xf>
    <xf numFmtId="0" fontId="2" fillId="4" borderId="32" xfId="0" applyFont="1" applyFill="1" applyBorder="1" applyAlignment="1" applyProtection="1">
      <alignment horizontal="center" vertical="center"/>
      <protection locked="0"/>
    </xf>
    <xf numFmtId="0" fontId="2" fillId="0" borderId="23" xfId="0" applyFont="1" applyBorder="1"/>
    <xf numFmtId="0" fontId="30" fillId="0" borderId="13" xfId="0" applyFont="1" applyBorder="1" applyAlignment="1">
      <alignment horizontal="right" vertical="center"/>
    </xf>
    <xf numFmtId="0" fontId="30" fillId="0" borderId="13" xfId="2" applyFont="1" applyBorder="1" applyAlignment="1">
      <alignment horizontal="right"/>
    </xf>
    <xf numFmtId="2" fontId="0" fillId="16" borderId="31" xfId="0" applyNumberFormat="1" applyFill="1" applyBorder="1" applyAlignment="1">
      <alignment horizontal="center"/>
    </xf>
    <xf numFmtId="2" fontId="0" fillId="16" borderId="33" xfId="0" applyNumberFormat="1" applyFill="1" applyBorder="1" applyAlignment="1">
      <alignment horizontal="center"/>
    </xf>
    <xf numFmtId="2" fontId="0" fillId="16" borderId="32" xfId="0" applyNumberFormat="1" applyFill="1" applyBorder="1" applyAlignment="1">
      <alignment horizontal="center"/>
    </xf>
    <xf numFmtId="0" fontId="0" fillId="16" borderId="31" xfId="0" applyFill="1" applyBorder="1" applyAlignment="1">
      <alignment horizontal="center"/>
    </xf>
    <xf numFmtId="0" fontId="0" fillId="16" borderId="33" xfId="0" applyFill="1" applyBorder="1" applyAlignment="1">
      <alignment horizontal="center"/>
    </xf>
    <xf numFmtId="0" fontId="0" fillId="16" borderId="32" xfId="0" applyFill="1" applyBorder="1" applyAlignment="1">
      <alignment horizontal="center"/>
    </xf>
    <xf numFmtId="2" fontId="0" fillId="0" borderId="0" xfId="0" applyNumberFormat="1"/>
    <xf numFmtId="2" fontId="0" fillId="0" borderId="0" xfId="0" applyNumberFormat="1" applyAlignment="1">
      <alignment horizontal="left"/>
    </xf>
    <xf numFmtId="2" fontId="9" fillId="0" borderId="0" xfId="0" applyNumberFormat="1" applyFont="1" applyAlignment="1">
      <alignment horizontal="left"/>
    </xf>
    <xf numFmtId="2" fontId="10" fillId="0" borderId="0" xfId="1" applyNumberFormat="1" applyAlignment="1">
      <alignment horizontal="left"/>
    </xf>
    <xf numFmtId="2" fontId="10" fillId="0" borderId="0" xfId="1" applyNumberFormat="1" applyAlignment="1">
      <alignment horizontal="center"/>
    </xf>
    <xf numFmtId="2" fontId="0" fillId="0" borderId="0" xfId="0" quotePrefix="1" applyNumberFormat="1" applyAlignment="1">
      <alignment horizontal="center"/>
    </xf>
    <xf numFmtId="2" fontId="0" fillId="21" borderId="20" xfId="0" applyNumberFormat="1" applyFill="1" applyBorder="1" applyAlignment="1">
      <alignment horizontal="center"/>
    </xf>
    <xf numFmtId="2" fontId="0" fillId="21" borderId="23" xfId="0" applyNumberFormat="1" applyFill="1" applyBorder="1" applyAlignment="1">
      <alignment horizontal="center"/>
    </xf>
    <xf numFmtId="2" fontId="0" fillId="21" borderId="19" xfId="0" applyNumberFormat="1" applyFill="1" applyBorder="1" applyAlignment="1">
      <alignment horizontal="center"/>
    </xf>
    <xf numFmtId="2" fontId="0" fillId="21" borderId="0" xfId="0" applyNumberFormat="1" applyFill="1" applyAlignment="1">
      <alignment horizontal="center"/>
    </xf>
    <xf numFmtId="2" fontId="0" fillId="21" borderId="21" xfId="0" applyNumberFormat="1" applyFill="1" applyBorder="1" applyAlignment="1">
      <alignment horizontal="center"/>
    </xf>
    <xf numFmtId="2" fontId="0" fillId="21" borderId="22" xfId="0" applyNumberFormat="1" applyFill="1" applyBorder="1" applyAlignment="1">
      <alignment horizontal="center"/>
    </xf>
    <xf numFmtId="1" fontId="0" fillId="21" borderId="19" xfId="0" applyNumberFormat="1" applyFill="1" applyBorder="1" applyAlignment="1">
      <alignment horizontal="center"/>
    </xf>
    <xf numFmtId="2" fontId="0" fillId="21" borderId="26" xfId="0" applyNumberFormat="1" applyFill="1" applyBorder="1" applyAlignment="1">
      <alignment horizontal="center"/>
    </xf>
    <xf numFmtId="1" fontId="0" fillId="21" borderId="21" xfId="0" applyNumberFormat="1" applyFill="1" applyBorder="1" applyAlignment="1">
      <alignment horizontal="center"/>
    </xf>
    <xf numFmtId="2" fontId="0" fillId="21" borderId="25" xfId="0" applyNumberFormat="1" applyFill="1" applyBorder="1" applyAlignment="1">
      <alignment horizontal="center"/>
    </xf>
    <xf numFmtId="0" fontId="0" fillId="21" borderId="19" xfId="0" applyFill="1" applyBorder="1"/>
    <xf numFmtId="0" fontId="0" fillId="21" borderId="0" xfId="0" applyFill="1"/>
    <xf numFmtId="0" fontId="0" fillId="21" borderId="20" xfId="0" applyFill="1" applyBorder="1" applyAlignment="1">
      <alignment horizontal="center"/>
    </xf>
    <xf numFmtId="0" fontId="0" fillId="21" borderId="21" xfId="0" applyFill="1" applyBorder="1"/>
    <xf numFmtId="0" fontId="0" fillId="21" borderId="22" xfId="0" applyFill="1" applyBorder="1"/>
    <xf numFmtId="0" fontId="0" fillId="21" borderId="23" xfId="0" applyFill="1" applyBorder="1" applyAlignment="1">
      <alignment horizontal="center"/>
    </xf>
    <xf numFmtId="1" fontId="0" fillId="21" borderId="31" xfId="0" applyNumberFormat="1" applyFill="1" applyBorder="1" applyAlignment="1">
      <alignment horizontal="center"/>
    </xf>
    <xf numFmtId="1" fontId="0" fillId="21" borderId="33" xfId="0" applyNumberFormat="1" applyFill="1" applyBorder="1" applyAlignment="1">
      <alignment horizontal="center"/>
    </xf>
    <xf numFmtId="1" fontId="0" fillId="21" borderId="32" xfId="0" applyNumberFormat="1" applyFill="1" applyBorder="1" applyAlignment="1">
      <alignment horizontal="center"/>
    </xf>
    <xf numFmtId="1" fontId="0" fillId="21" borderId="0" xfId="0" applyNumberFormat="1" applyFill="1" applyAlignment="1">
      <alignment horizontal="center"/>
    </xf>
    <xf numFmtId="1" fontId="0" fillId="21" borderId="20" xfId="0" applyNumberFormat="1" applyFill="1" applyBorder="1" applyAlignment="1">
      <alignment horizontal="center"/>
    </xf>
    <xf numFmtId="1" fontId="0" fillId="21" borderId="22" xfId="0" applyNumberFormat="1" applyFill="1" applyBorder="1" applyAlignment="1">
      <alignment horizontal="center"/>
    </xf>
    <xf numFmtId="1" fontId="0" fillId="21" borderId="23" xfId="0" applyNumberFormat="1" applyFill="1" applyBorder="1" applyAlignment="1">
      <alignment horizontal="center"/>
    </xf>
    <xf numFmtId="2" fontId="0" fillId="21" borderId="32" xfId="0" applyNumberFormat="1" applyFill="1" applyBorder="1" applyAlignment="1">
      <alignment horizontal="center"/>
    </xf>
    <xf numFmtId="2" fontId="0" fillId="21" borderId="24" xfId="0" applyNumberFormat="1" applyFill="1" applyBorder="1" applyAlignment="1">
      <alignment horizontal="center"/>
    </xf>
    <xf numFmtId="2" fontId="0" fillId="21" borderId="31" xfId="0" applyNumberFormat="1" applyFill="1" applyBorder="1" applyAlignment="1">
      <alignment horizontal="center"/>
    </xf>
    <xf numFmtId="0" fontId="0" fillId="22" borderId="36" xfId="0" applyFill="1" applyBorder="1" applyAlignment="1">
      <alignment horizontal="center"/>
    </xf>
    <xf numFmtId="0" fontId="0" fillId="22" borderId="37" xfId="0" applyFill="1" applyBorder="1" applyAlignment="1">
      <alignment horizontal="center"/>
    </xf>
    <xf numFmtId="0" fontId="0" fillId="22" borderId="38" xfId="0" applyFill="1" applyBorder="1" applyAlignment="1">
      <alignment horizontal="center"/>
    </xf>
    <xf numFmtId="0" fontId="0" fillId="22" borderId="39" xfId="0" applyFill="1" applyBorder="1" applyAlignment="1">
      <alignment horizontal="center"/>
    </xf>
    <xf numFmtId="0" fontId="0" fillId="22" borderId="40" xfId="0" applyFill="1" applyBorder="1" applyAlignment="1">
      <alignment horizontal="center"/>
    </xf>
    <xf numFmtId="0" fontId="0" fillId="22" borderId="41" xfId="0" applyFill="1" applyBorder="1" applyAlignment="1">
      <alignment horizontal="center"/>
    </xf>
    <xf numFmtId="0" fontId="0" fillId="22" borderId="42" xfId="0" applyFill="1" applyBorder="1" applyAlignment="1">
      <alignment horizontal="center"/>
    </xf>
    <xf numFmtId="0" fontId="0" fillId="22" borderId="43" xfId="0" applyFill="1" applyBorder="1" applyAlignment="1">
      <alignment horizontal="center"/>
    </xf>
    <xf numFmtId="0" fontId="0" fillId="22" borderId="44" xfId="0" applyFill="1" applyBorder="1" applyAlignment="1">
      <alignment horizontal="center"/>
    </xf>
    <xf numFmtId="0" fontId="0" fillId="22" borderId="45" xfId="0" applyFill="1" applyBorder="1" applyAlignment="1">
      <alignment horizontal="center"/>
    </xf>
    <xf numFmtId="0" fontId="0" fillId="22" borderId="46" xfId="0" applyFill="1" applyBorder="1" applyAlignment="1">
      <alignment horizontal="center"/>
    </xf>
    <xf numFmtId="0" fontId="0" fillId="22" borderId="47" xfId="0" applyFill="1" applyBorder="1" applyAlignment="1">
      <alignment horizontal="center"/>
    </xf>
    <xf numFmtId="0" fontId="0" fillId="22" borderId="48" xfId="0" applyFill="1" applyBorder="1" applyAlignment="1">
      <alignment horizontal="center"/>
    </xf>
    <xf numFmtId="0" fontId="0" fillId="22" borderId="49" xfId="0" applyFill="1" applyBorder="1" applyAlignment="1">
      <alignment horizontal="center"/>
    </xf>
    <xf numFmtId="0" fontId="0" fillId="22" borderId="50" xfId="0" applyFill="1" applyBorder="1" applyAlignment="1">
      <alignment horizontal="center"/>
    </xf>
    <xf numFmtId="0" fontId="8" fillId="22" borderId="36" xfId="0" applyFont="1" applyFill="1" applyBorder="1" applyAlignment="1">
      <alignment horizontal="center"/>
    </xf>
    <xf numFmtId="0" fontId="15" fillId="22" borderId="37" xfId="0" applyFont="1" applyFill="1" applyBorder="1" applyAlignment="1">
      <alignment horizontal="center"/>
    </xf>
    <xf numFmtId="2" fontId="0" fillId="23" borderId="19" xfId="0" applyNumberFormat="1" applyFill="1" applyBorder="1" applyAlignment="1">
      <alignment horizontal="center"/>
    </xf>
    <xf numFmtId="2" fontId="0" fillId="23" borderId="21" xfId="0" applyNumberFormat="1" applyFill="1" applyBorder="1" applyAlignment="1">
      <alignment horizontal="center"/>
    </xf>
    <xf numFmtId="2" fontId="0" fillId="24" borderId="32" xfId="0" applyNumberFormat="1" applyFill="1" applyBorder="1" applyAlignment="1">
      <alignment horizontal="center"/>
    </xf>
    <xf numFmtId="2" fontId="0" fillId="24" borderId="31" xfId="0" applyNumberFormat="1" applyFill="1" applyBorder="1" applyAlignment="1">
      <alignment horizontal="center"/>
    </xf>
    <xf numFmtId="2" fontId="0" fillId="24" borderId="33" xfId="0" applyNumberFormat="1" applyFill="1" applyBorder="1" applyAlignment="1">
      <alignment horizontal="center"/>
    </xf>
    <xf numFmtId="0" fontId="0" fillId="25" borderId="51" xfId="0" applyFill="1" applyBorder="1" applyAlignment="1">
      <alignment horizontal="center"/>
    </xf>
    <xf numFmtId="184" fontId="0" fillId="25" borderId="11" xfId="0" applyNumberFormat="1" applyFill="1" applyBorder="1" applyAlignment="1">
      <alignment horizontal="center"/>
    </xf>
    <xf numFmtId="173" fontId="0" fillId="25" borderId="11" xfId="0" applyNumberFormat="1" applyFill="1" applyBorder="1" applyAlignment="1">
      <alignment horizontal="center"/>
    </xf>
    <xf numFmtId="164" fontId="0" fillId="24" borderId="11" xfId="0" applyNumberFormat="1" applyFill="1" applyBorder="1" applyAlignment="1">
      <alignment horizontal="center"/>
    </xf>
    <xf numFmtId="164" fontId="0" fillId="25" borderId="11" xfId="0" applyNumberFormat="1" applyFill="1" applyBorder="1" applyAlignment="1">
      <alignment horizontal="center"/>
    </xf>
    <xf numFmtId="178" fontId="0" fillId="24" borderId="11" xfId="0" applyNumberFormat="1" applyFill="1" applyBorder="1" applyAlignment="1">
      <alignment horizontal="center"/>
    </xf>
    <xf numFmtId="0" fontId="0" fillId="24" borderId="11" xfId="0" applyFill="1" applyBorder="1" applyAlignment="1">
      <alignment horizontal="center"/>
    </xf>
    <xf numFmtId="0" fontId="0" fillId="25" borderId="52" xfId="0" applyFill="1" applyBorder="1" applyAlignment="1">
      <alignment horizontal="center"/>
    </xf>
    <xf numFmtId="0" fontId="0" fillId="25" borderId="53" xfId="0" applyFill="1" applyBorder="1" applyAlignment="1">
      <alignment horizontal="center"/>
    </xf>
    <xf numFmtId="0" fontId="2" fillId="26" borderId="52" xfId="0" applyFont="1" applyFill="1" applyBorder="1" applyAlignment="1">
      <alignment horizontal="center"/>
    </xf>
    <xf numFmtId="0" fontId="0" fillId="26" borderId="54" xfId="0" applyFill="1" applyBorder="1" applyAlignment="1">
      <alignment horizontal="center"/>
    </xf>
    <xf numFmtId="0" fontId="0" fillId="26" borderId="53" xfId="0" applyFill="1" applyBorder="1" applyAlignment="1">
      <alignment horizontal="center"/>
    </xf>
    <xf numFmtId="0" fontId="0" fillId="25" borderId="55" xfId="0" applyFill="1" applyBorder="1" applyAlignment="1">
      <alignment horizontal="center"/>
    </xf>
    <xf numFmtId="0" fontId="0" fillId="25" borderId="56" xfId="0" applyFill="1" applyBorder="1" applyAlignment="1">
      <alignment horizontal="center"/>
    </xf>
    <xf numFmtId="0" fontId="0" fillId="25" borderId="57" xfId="0" applyFill="1" applyBorder="1" applyAlignment="1">
      <alignment horizontal="center"/>
    </xf>
    <xf numFmtId="0" fontId="0" fillId="25" borderId="58" xfId="0" applyFill="1" applyBorder="1" applyAlignment="1">
      <alignment horizontal="center"/>
    </xf>
    <xf numFmtId="0" fontId="0" fillId="25" borderId="59" xfId="0" applyFill="1" applyBorder="1" applyAlignment="1">
      <alignment horizontal="center"/>
    </xf>
    <xf numFmtId="0" fontId="0" fillId="25" borderId="60" xfId="0" applyFill="1" applyBorder="1" applyAlignment="1">
      <alignment horizontal="center"/>
    </xf>
    <xf numFmtId="0" fontId="0" fillId="3" borderId="55" xfId="0" applyFill="1" applyBorder="1" applyAlignment="1">
      <alignment horizontal="center"/>
    </xf>
    <xf numFmtId="0" fontId="0" fillId="3" borderId="56" xfId="0" applyFill="1" applyBorder="1" applyAlignment="1">
      <alignment horizontal="center"/>
    </xf>
    <xf numFmtId="0" fontId="0" fillId="3" borderId="61" xfId="0" applyFill="1" applyBorder="1" applyAlignment="1">
      <alignment horizontal="center"/>
    </xf>
    <xf numFmtId="0" fontId="0" fillId="3" borderId="0" xfId="0" applyFill="1" applyAlignment="1">
      <alignment horizontal="center"/>
    </xf>
    <xf numFmtId="183" fontId="0" fillId="25" borderId="58" xfId="0" applyNumberFormat="1" applyFill="1" applyBorder="1" applyAlignment="1">
      <alignment horizontal="center"/>
    </xf>
    <xf numFmtId="183" fontId="0" fillId="25" borderId="59" xfId="0" applyNumberFormat="1" applyFill="1" applyBorder="1" applyAlignment="1">
      <alignment horizontal="center"/>
    </xf>
    <xf numFmtId="2" fontId="0" fillId="3" borderId="0" xfId="0" applyNumberFormat="1" applyFill="1" applyAlignment="1">
      <alignment horizontal="center"/>
    </xf>
    <xf numFmtId="169" fontId="0" fillId="3" borderId="56" xfId="0" applyNumberFormat="1" applyFill="1" applyBorder="1" applyAlignment="1">
      <alignment horizontal="center"/>
    </xf>
    <xf numFmtId="0" fontId="0" fillId="26" borderId="1" xfId="0" applyFill="1" applyBorder="1" applyAlignment="1">
      <alignment horizontal="center"/>
    </xf>
    <xf numFmtId="0" fontId="0" fillId="26" borderId="51" xfId="0" applyFill="1" applyBorder="1" applyAlignment="1">
      <alignment horizontal="center"/>
    </xf>
    <xf numFmtId="183" fontId="0" fillId="26" borderId="51" xfId="0" applyNumberFormat="1" applyFill="1" applyBorder="1" applyAlignment="1">
      <alignment horizontal="center"/>
    </xf>
    <xf numFmtId="0" fontId="0" fillId="24" borderId="57" xfId="0" applyFill="1" applyBorder="1" applyAlignment="1">
      <alignment horizontal="center"/>
    </xf>
    <xf numFmtId="0" fontId="0" fillId="24" borderId="62" xfId="0" applyFill="1" applyBorder="1" applyAlignment="1">
      <alignment horizontal="center"/>
    </xf>
    <xf numFmtId="183" fontId="0" fillId="25" borderId="60" xfId="0" applyNumberFormat="1" applyFill="1" applyBorder="1" applyAlignment="1">
      <alignment horizontal="center"/>
    </xf>
    <xf numFmtId="0" fontId="45" fillId="0" borderId="0" xfId="0" applyFont="1" applyAlignment="1">
      <alignment vertical="center"/>
    </xf>
    <xf numFmtId="0" fontId="46" fillId="0" borderId="0" xfId="2" applyFont="1"/>
    <xf numFmtId="0" fontId="46" fillId="27" borderId="2" xfId="2" applyFont="1" applyFill="1" applyBorder="1" applyAlignment="1" applyProtection="1">
      <alignment horizontal="center"/>
      <protection hidden="1"/>
    </xf>
    <xf numFmtId="177" fontId="47" fillId="5" borderId="2" xfId="2" applyNumberFormat="1" applyFont="1" applyFill="1" applyBorder="1" applyAlignment="1" applyProtection="1">
      <alignment horizontal="center"/>
      <protection hidden="1"/>
    </xf>
    <xf numFmtId="0" fontId="45" fillId="0" borderId="0" xfId="2" applyFont="1"/>
    <xf numFmtId="0" fontId="48" fillId="0" borderId="10" xfId="2" applyFont="1" applyBorder="1" applyAlignment="1">
      <alignment horizontal="right"/>
    </xf>
    <xf numFmtId="0" fontId="46" fillId="0" borderId="10" xfId="2" applyFont="1" applyBorder="1"/>
    <xf numFmtId="0" fontId="49" fillId="0" borderId="10" xfId="2" applyFont="1" applyBorder="1" applyAlignment="1">
      <alignment horizontal="left"/>
    </xf>
    <xf numFmtId="0" fontId="48" fillId="0" borderId="10" xfId="2" applyFont="1" applyBorder="1"/>
    <xf numFmtId="0" fontId="48" fillId="0" borderId="7" xfId="0" applyFont="1" applyBorder="1" applyAlignment="1">
      <alignment horizontal="right" vertical="center"/>
    </xf>
    <xf numFmtId="0" fontId="49" fillId="0" borderId="7" xfId="0" applyFont="1" applyBorder="1" applyAlignment="1">
      <alignment horizontal="right" vertical="center"/>
    </xf>
    <xf numFmtId="166" fontId="0" fillId="0" borderId="7" xfId="0" applyNumberFormat="1" applyBorder="1" applyAlignment="1">
      <alignment horizontal="right" vertical="center"/>
    </xf>
    <xf numFmtId="193" fontId="0" fillId="3" borderId="11" xfId="0" applyNumberFormat="1" applyFill="1" applyBorder="1" applyAlignment="1">
      <alignment horizontal="center"/>
    </xf>
    <xf numFmtId="0" fontId="0" fillId="28" borderId="24" xfId="0" applyFill="1" applyBorder="1" applyAlignment="1">
      <alignment horizontal="center"/>
    </xf>
    <xf numFmtId="0" fontId="0" fillId="29" borderId="26" xfId="0" applyFill="1" applyBorder="1" applyAlignment="1">
      <alignment horizontal="center"/>
    </xf>
    <xf numFmtId="186" fontId="0" fillId="25" borderId="11" xfId="0" applyNumberFormat="1" applyFill="1" applyBorder="1" applyAlignment="1">
      <alignment horizontal="center"/>
    </xf>
    <xf numFmtId="176" fontId="33" fillId="5" borderId="24" xfId="2" applyNumberFormat="1" applyFont="1" applyFill="1" applyBorder="1" applyAlignment="1" applyProtection="1">
      <alignment horizontal="center"/>
      <protection hidden="1"/>
    </xf>
    <xf numFmtId="176" fontId="33" fillId="5" borderId="26" xfId="2" applyNumberFormat="1" applyFont="1" applyFill="1" applyBorder="1" applyAlignment="1" applyProtection="1">
      <alignment horizontal="center"/>
      <protection hidden="1"/>
    </xf>
    <xf numFmtId="176" fontId="33" fillId="5" borderId="25" xfId="2" applyNumberFormat="1" applyFont="1" applyFill="1" applyBorder="1" applyAlignment="1" applyProtection="1">
      <alignment horizontal="center"/>
      <protection hidden="1"/>
    </xf>
    <xf numFmtId="0" fontId="33" fillId="5" borderId="63" xfId="2" applyFont="1" applyFill="1" applyBorder="1" applyAlignment="1">
      <alignment horizontal="center"/>
    </xf>
    <xf numFmtId="0" fontId="33" fillId="5" borderId="20" xfId="2" applyFont="1" applyFill="1" applyBorder="1" applyAlignment="1">
      <alignment horizontal="center"/>
    </xf>
    <xf numFmtId="0" fontId="33" fillId="5" borderId="23" xfId="2" applyFont="1" applyFill="1" applyBorder="1" applyAlignment="1">
      <alignment horizontal="center"/>
    </xf>
    <xf numFmtId="176" fontId="33" fillId="5" borderId="63" xfId="2" applyNumberFormat="1" applyFont="1" applyFill="1" applyBorder="1" applyAlignment="1">
      <alignment horizontal="center"/>
    </xf>
    <xf numFmtId="196" fontId="33" fillId="5" borderId="63" xfId="2" applyNumberFormat="1" applyFont="1" applyFill="1" applyBorder="1" applyAlignment="1">
      <alignment horizontal="center"/>
    </xf>
    <xf numFmtId="196" fontId="33" fillId="5" borderId="20" xfId="2" applyNumberFormat="1" applyFont="1" applyFill="1" applyBorder="1" applyAlignment="1">
      <alignment horizontal="center"/>
    </xf>
    <xf numFmtId="196" fontId="33" fillId="5" borderId="23" xfId="2" applyNumberFormat="1" applyFont="1" applyFill="1" applyBorder="1" applyAlignment="1">
      <alignment horizontal="center"/>
    </xf>
    <xf numFmtId="174" fontId="33" fillId="5" borderId="63" xfId="2" applyNumberFormat="1" applyFont="1" applyFill="1" applyBorder="1" applyAlignment="1">
      <alignment horizontal="center"/>
    </xf>
    <xf numFmtId="174" fontId="33" fillId="5" borderId="20" xfId="2" applyNumberFormat="1" applyFont="1" applyFill="1" applyBorder="1" applyAlignment="1">
      <alignment horizontal="center"/>
    </xf>
    <xf numFmtId="174" fontId="33" fillId="5" borderId="23" xfId="2" applyNumberFormat="1" applyFont="1" applyFill="1" applyBorder="1" applyAlignment="1">
      <alignment horizontal="center"/>
    </xf>
    <xf numFmtId="167" fontId="33" fillId="5" borderId="63" xfId="2" applyNumberFormat="1" applyFont="1" applyFill="1" applyBorder="1" applyAlignment="1">
      <alignment horizontal="center"/>
    </xf>
    <xf numFmtId="167" fontId="33" fillId="5" borderId="20" xfId="2" applyNumberFormat="1" applyFont="1" applyFill="1" applyBorder="1" applyAlignment="1">
      <alignment horizontal="center"/>
    </xf>
    <xf numFmtId="167" fontId="33" fillId="5" borderId="23" xfId="2" applyNumberFormat="1" applyFont="1" applyFill="1" applyBorder="1" applyAlignment="1">
      <alignment horizontal="center"/>
    </xf>
    <xf numFmtId="170" fontId="33" fillId="5" borderId="63" xfId="2" applyNumberFormat="1" applyFont="1" applyFill="1" applyBorder="1" applyAlignment="1">
      <alignment horizontal="center"/>
    </xf>
    <xf numFmtId="170" fontId="33" fillId="5" borderId="20" xfId="2" applyNumberFormat="1" applyFont="1" applyFill="1" applyBorder="1" applyAlignment="1">
      <alignment horizontal="center"/>
    </xf>
    <xf numFmtId="170" fontId="33" fillId="5" borderId="23" xfId="2" applyNumberFormat="1" applyFont="1" applyFill="1" applyBorder="1" applyAlignment="1">
      <alignment horizontal="center"/>
    </xf>
    <xf numFmtId="0" fontId="2" fillId="9" borderId="2" xfId="0" applyFont="1" applyFill="1" applyBorder="1" applyAlignment="1" applyProtection="1">
      <alignment horizontal="center" vertical="center"/>
      <protection hidden="1"/>
    </xf>
    <xf numFmtId="0" fontId="0" fillId="9" borderId="2" xfId="0" applyFill="1" applyBorder="1" applyAlignment="1" applyProtection="1">
      <alignment horizontal="center" vertical="center"/>
      <protection hidden="1"/>
    </xf>
    <xf numFmtId="0" fontId="0" fillId="0" borderId="22" xfId="0" applyBorder="1" applyAlignment="1">
      <alignment horizontal="center" vertical="center"/>
    </xf>
    <xf numFmtId="0" fontId="8" fillId="0" borderId="33" xfId="0" applyFont="1" applyBorder="1" applyAlignment="1">
      <alignment horizontal="center" vertical="center"/>
    </xf>
    <xf numFmtId="0" fontId="8" fillId="0" borderId="32" xfId="0" applyFont="1" applyBorder="1" applyAlignment="1">
      <alignment horizontal="center" vertical="center"/>
    </xf>
    <xf numFmtId="187" fontId="2" fillId="7" borderId="2" xfId="0" applyNumberFormat="1" applyFont="1" applyFill="1" applyBorder="1" applyAlignment="1">
      <alignment horizontal="center" vertical="center"/>
    </xf>
    <xf numFmtId="197" fontId="33" fillId="5" borderId="24" xfId="2" applyNumberFormat="1" applyFont="1" applyFill="1" applyBorder="1" applyAlignment="1">
      <alignment horizontal="center"/>
    </xf>
    <xf numFmtId="197" fontId="33" fillId="5" borderId="26" xfId="2" applyNumberFormat="1" applyFont="1" applyFill="1" applyBorder="1" applyAlignment="1">
      <alignment horizontal="center"/>
    </xf>
    <xf numFmtId="197" fontId="33" fillId="5" borderId="25" xfId="2" applyNumberFormat="1" applyFont="1" applyFill="1" applyBorder="1" applyAlignment="1">
      <alignment horizontal="center"/>
    </xf>
    <xf numFmtId="0" fontId="45" fillId="0" borderId="0" xfId="2" applyFont="1" applyAlignment="1" applyProtection="1">
      <alignment horizontal="right"/>
      <protection hidden="1"/>
    </xf>
    <xf numFmtId="0" fontId="2" fillId="0" borderId="31" xfId="0" applyFont="1" applyBorder="1"/>
    <xf numFmtId="0" fontId="2" fillId="0" borderId="32" xfId="0" applyFont="1" applyBorder="1"/>
    <xf numFmtId="0" fontId="2" fillId="0" borderId="21" xfId="0" applyFont="1" applyBorder="1"/>
    <xf numFmtId="0" fontId="2" fillId="0" borderId="19" xfId="0" applyFont="1" applyBorder="1" applyAlignment="1">
      <alignment horizontal="left"/>
    </xf>
    <xf numFmtId="14" fontId="2" fillId="0" borderId="23" xfId="0" applyNumberFormat="1" applyFont="1" applyBorder="1" applyAlignment="1">
      <alignment horizontal="center"/>
    </xf>
    <xf numFmtId="0" fontId="15" fillId="0" borderId="0" xfId="0" applyFont="1" applyAlignment="1">
      <alignment horizontal="right"/>
    </xf>
    <xf numFmtId="0" fontId="42" fillId="0" borderId="0" xfId="0" applyFont="1" applyAlignment="1">
      <alignment horizontal="center"/>
    </xf>
    <xf numFmtId="0" fontId="15" fillId="0" borderId="0" xfId="0" applyFont="1" applyAlignment="1">
      <alignment horizontal="center"/>
    </xf>
    <xf numFmtId="0" fontId="2" fillId="0" borderId="19" xfId="0" applyFont="1" applyBorder="1"/>
    <xf numFmtId="0" fontId="2" fillId="0" borderId="34" xfId="0" applyFont="1" applyBorder="1"/>
    <xf numFmtId="0" fontId="2" fillId="0" borderId="14" xfId="0" applyFont="1" applyBorder="1" applyAlignment="1">
      <alignment horizontal="center"/>
    </xf>
    <xf numFmtId="0" fontId="15" fillId="0" borderId="2" xfId="0" applyFont="1" applyBorder="1" applyAlignment="1">
      <alignment horizontal="center"/>
    </xf>
    <xf numFmtId="0" fontId="15" fillId="0" borderId="64" xfId="0" applyFont="1" applyBorder="1" applyAlignment="1">
      <alignment horizontal="center"/>
    </xf>
    <xf numFmtId="201" fontId="15" fillId="0" borderId="0" xfId="0" applyNumberFormat="1" applyFont="1"/>
    <xf numFmtId="191" fontId="0" fillId="0" borderId="0" xfId="0" applyNumberFormat="1"/>
    <xf numFmtId="192" fontId="0" fillId="0" borderId="0" xfId="0" applyNumberFormat="1"/>
    <xf numFmtId="0" fontId="43" fillId="0" borderId="0" xfId="0" applyFont="1"/>
    <xf numFmtId="192" fontId="2" fillId="30" borderId="32" xfId="0" applyNumberFormat="1" applyFont="1" applyFill="1" applyBorder="1" applyProtection="1">
      <protection locked="0"/>
    </xf>
    <xf numFmtId="198" fontId="2" fillId="0" borderId="23" xfId="0" applyNumberFormat="1" applyFont="1" applyBorder="1"/>
    <xf numFmtId="0" fontId="42" fillId="0" borderId="0" xfId="0" applyFont="1"/>
    <xf numFmtId="3" fontId="2" fillId="30" borderId="32" xfId="0" applyNumberFormat="1" applyFont="1" applyFill="1" applyBorder="1" applyAlignment="1">
      <alignment horizontal="center"/>
    </xf>
    <xf numFmtId="191" fontId="2" fillId="0" borderId="33" xfId="0" applyNumberFormat="1" applyFont="1" applyBorder="1" applyAlignment="1">
      <alignment horizontal="center"/>
    </xf>
    <xf numFmtId="192" fontId="2" fillId="0" borderId="32" xfId="0" applyNumberFormat="1" applyFont="1" applyBorder="1" applyAlignment="1">
      <alignment horizontal="center"/>
    </xf>
    <xf numFmtId="191" fontId="2" fillId="0" borderId="22" xfId="0" applyNumberFormat="1" applyFont="1" applyBorder="1" applyAlignment="1">
      <alignment horizontal="center"/>
    </xf>
    <xf numFmtId="192" fontId="2" fillId="0" borderId="23" xfId="0" applyNumberFormat="1" applyFont="1" applyBorder="1" applyAlignment="1">
      <alignment horizontal="center"/>
    </xf>
    <xf numFmtId="192" fontId="2" fillId="30" borderId="32" xfId="0" applyNumberFormat="1" applyFont="1" applyFill="1" applyBorder="1" applyAlignment="1" applyProtection="1">
      <alignment horizontal="center"/>
      <protection locked="0"/>
    </xf>
    <xf numFmtId="202" fontId="2" fillId="0" borderId="23" xfId="0" applyNumberFormat="1" applyFont="1" applyBorder="1" applyAlignment="1">
      <alignment horizontal="center"/>
    </xf>
    <xf numFmtId="201" fontId="2" fillId="0" borderId="23" xfId="0" applyNumberFormat="1" applyFont="1" applyBorder="1" applyAlignment="1">
      <alignment horizontal="center"/>
    </xf>
    <xf numFmtId="199" fontId="2" fillId="0" borderId="33" xfId="0" applyNumberFormat="1" applyFont="1" applyBorder="1" applyAlignment="1">
      <alignment horizontal="center"/>
    </xf>
    <xf numFmtId="200" fontId="2" fillId="0" borderId="32" xfId="0" applyNumberFormat="1" applyFont="1" applyBorder="1" applyAlignment="1">
      <alignment horizontal="center"/>
    </xf>
    <xf numFmtId="191" fontId="2" fillId="0" borderId="0" xfId="0" applyNumberFormat="1" applyFont="1" applyAlignment="1">
      <alignment horizontal="center"/>
    </xf>
    <xf numFmtId="192" fontId="2" fillId="0" borderId="20" xfId="0" applyNumberFormat="1" applyFont="1" applyBorder="1" applyAlignment="1">
      <alignment horizontal="center"/>
    </xf>
    <xf numFmtId="0" fontId="15" fillId="0" borderId="10" xfId="0" applyFont="1" applyBorder="1"/>
    <xf numFmtId="0" fontId="0" fillId="29" borderId="20" xfId="0" applyFill="1" applyBorder="1" applyAlignment="1">
      <alignment horizontal="center"/>
    </xf>
    <xf numFmtId="0" fontId="0" fillId="31" borderId="65" xfId="0" applyFill="1" applyBorder="1" applyAlignment="1">
      <alignment horizontal="center"/>
    </xf>
    <xf numFmtId="186" fontId="0" fillId="24" borderId="11" xfId="0" applyNumberFormat="1" applyFill="1" applyBorder="1" applyAlignment="1">
      <alignment horizontal="center"/>
    </xf>
    <xf numFmtId="203" fontId="0" fillId="24" borderId="11" xfId="0" applyNumberFormat="1" applyFill="1" applyBorder="1" applyAlignment="1">
      <alignment horizontal="center"/>
    </xf>
    <xf numFmtId="0" fontId="2" fillId="11" borderId="66" xfId="0" applyFont="1" applyFill="1" applyBorder="1" applyAlignment="1" applyProtection="1">
      <alignment horizontal="center" vertical="center"/>
      <protection hidden="1"/>
    </xf>
    <xf numFmtId="164" fontId="2" fillId="17" borderId="24" xfId="0" applyNumberFormat="1" applyFont="1" applyFill="1" applyBorder="1" applyAlignment="1">
      <alignment horizontal="center" vertical="center"/>
    </xf>
    <xf numFmtId="0" fontId="2" fillId="11" borderId="67" xfId="0" applyFont="1" applyFill="1" applyBorder="1" applyAlignment="1" applyProtection="1">
      <alignment horizontal="center" vertical="center"/>
      <protection hidden="1"/>
    </xf>
    <xf numFmtId="0" fontId="2" fillId="28" borderId="2" xfId="0" applyFont="1" applyFill="1" applyBorder="1" applyAlignment="1">
      <alignment horizontal="center" vertical="center"/>
    </xf>
    <xf numFmtId="0" fontId="0" fillId="30" borderId="0" xfId="0" applyFill="1"/>
    <xf numFmtId="0" fontId="0" fillId="30" borderId="0" xfId="0" applyFill="1" applyAlignment="1">
      <alignment horizontal="center"/>
    </xf>
    <xf numFmtId="0" fontId="0" fillId="0" borderId="0" xfId="0" applyAlignment="1" applyProtection="1">
      <alignment horizontal="center"/>
      <protection locked="0"/>
    </xf>
    <xf numFmtId="0" fontId="0" fillId="29" borderId="25" xfId="0" applyFill="1" applyBorder="1" applyAlignment="1">
      <alignment horizontal="center"/>
    </xf>
    <xf numFmtId="0" fontId="1" fillId="0" borderId="0" xfId="2" applyProtection="1">
      <protection locked="0"/>
    </xf>
    <xf numFmtId="0" fontId="1" fillId="0" borderId="0" xfId="2"/>
    <xf numFmtId="0" fontId="36" fillId="0" borderId="0" xfId="2" applyFont="1"/>
    <xf numFmtId="186" fontId="0" fillId="0" borderId="0" xfId="0" applyNumberFormat="1" applyAlignment="1">
      <alignment vertical="center"/>
    </xf>
    <xf numFmtId="0" fontId="0" fillId="0" borderId="0" xfId="0" quotePrefix="1" applyAlignment="1">
      <alignment horizontal="center" vertical="center"/>
    </xf>
    <xf numFmtId="170" fontId="0" fillId="0" borderId="0" xfId="0" applyNumberFormat="1" applyAlignment="1">
      <alignment horizontal="right" vertical="center"/>
    </xf>
    <xf numFmtId="164" fontId="2" fillId="18" borderId="24" xfId="0" applyNumberFormat="1" applyFont="1" applyFill="1" applyBorder="1" applyAlignment="1" applyProtection="1">
      <alignment horizontal="center" vertical="center"/>
      <protection locked="0"/>
    </xf>
    <xf numFmtId="0" fontId="10" fillId="0" borderId="0" xfId="1" applyAlignment="1" applyProtection="1">
      <alignment horizontal="left"/>
      <protection hidden="1"/>
    </xf>
    <xf numFmtId="166" fontId="50" fillId="0" borderId="0" xfId="0" applyNumberFormat="1" applyFont="1" applyAlignment="1">
      <alignment vertical="center"/>
    </xf>
    <xf numFmtId="0" fontId="2" fillId="0" borderId="0" xfId="0" applyFont="1" applyAlignment="1" applyProtection="1">
      <alignment horizontal="center" vertical="center"/>
      <protection hidden="1"/>
    </xf>
    <xf numFmtId="186" fontId="2" fillId="0" borderId="0" xfId="0" applyNumberFormat="1" applyFont="1" applyAlignment="1">
      <alignment horizontal="center" vertical="center"/>
    </xf>
    <xf numFmtId="204" fontId="2" fillId="32" borderId="2" xfId="0" applyNumberFormat="1" applyFont="1" applyFill="1" applyBorder="1" applyAlignment="1">
      <alignment horizontal="center" vertical="center"/>
    </xf>
    <xf numFmtId="175" fontId="0" fillId="7" borderId="46" xfId="0" applyNumberFormat="1" applyFill="1" applyBorder="1" applyAlignment="1">
      <alignment horizontal="center" vertical="center"/>
    </xf>
    <xf numFmtId="175" fontId="2" fillId="7" borderId="2" xfId="0" applyNumberFormat="1" applyFont="1" applyFill="1" applyBorder="1" applyAlignment="1">
      <alignment horizontal="center" vertical="center"/>
    </xf>
    <xf numFmtId="166" fontId="2" fillId="0" borderId="0" xfId="0" applyNumberFormat="1" applyFont="1" applyAlignment="1">
      <alignment horizontal="right" vertical="center"/>
    </xf>
    <xf numFmtId="0" fontId="2" fillId="9" borderId="46" xfId="0" applyFont="1" applyFill="1" applyBorder="1" applyAlignment="1" applyProtection="1">
      <alignment horizontal="center" vertical="center"/>
      <protection hidden="1"/>
    </xf>
    <xf numFmtId="0" fontId="5" fillId="9" borderId="46" xfId="0" applyFont="1" applyFill="1" applyBorder="1" applyAlignment="1" applyProtection="1">
      <alignment horizontal="center" vertical="center"/>
      <protection hidden="1"/>
    </xf>
    <xf numFmtId="2" fontId="0" fillId="7" borderId="68" xfId="0" applyNumberFormat="1" applyFill="1" applyBorder="1" applyAlignment="1">
      <alignment horizontal="center" vertical="center"/>
    </xf>
    <xf numFmtId="187" fontId="2" fillId="7" borderId="68" xfId="0" applyNumberFormat="1" applyFont="1" applyFill="1" applyBorder="1" applyAlignment="1">
      <alignment horizontal="center" vertical="center"/>
    </xf>
    <xf numFmtId="165" fontId="0" fillId="7" borderId="69" xfId="0" applyNumberFormat="1" applyFill="1" applyBorder="1" applyAlignment="1">
      <alignment horizontal="center" vertical="center"/>
    </xf>
    <xf numFmtId="188" fontId="2" fillId="7" borderId="70" xfId="0" applyNumberFormat="1" applyFont="1" applyFill="1" applyBorder="1" applyAlignment="1">
      <alignment horizontal="center" vertical="center"/>
    </xf>
    <xf numFmtId="165" fontId="0" fillId="7" borderId="71" xfId="0" applyNumberFormat="1" applyFill="1" applyBorder="1" applyAlignment="1">
      <alignment horizontal="center" vertical="center"/>
    </xf>
    <xf numFmtId="165" fontId="0" fillId="7" borderId="70" xfId="0" applyNumberFormat="1" applyFill="1" applyBorder="1" applyAlignment="1">
      <alignment horizontal="center" vertical="center"/>
    </xf>
    <xf numFmtId="186" fontId="0" fillId="7" borderId="43" xfId="0" applyNumberFormat="1" applyFill="1" applyBorder="1" applyAlignment="1">
      <alignment horizontal="center" vertical="center"/>
    </xf>
    <xf numFmtId="165" fontId="0" fillId="7" borderId="72" xfId="0" applyNumberFormat="1" applyFill="1" applyBorder="1" applyAlignment="1">
      <alignment horizontal="center" vertical="center"/>
    </xf>
    <xf numFmtId="166" fontId="2" fillId="27" borderId="14" xfId="0" applyNumberFormat="1" applyFont="1" applyFill="1" applyBorder="1" applyAlignment="1">
      <alignment horizontal="center" vertical="center"/>
    </xf>
    <xf numFmtId="0" fontId="0" fillId="32" borderId="2" xfId="0" applyFill="1" applyBorder="1" applyAlignment="1">
      <alignment vertical="center"/>
    </xf>
    <xf numFmtId="187" fontId="0" fillId="7" borderId="73" xfId="0" applyNumberFormat="1" applyFill="1" applyBorder="1" applyAlignment="1">
      <alignment horizontal="center" vertical="center"/>
    </xf>
    <xf numFmtId="205" fontId="0" fillId="32" borderId="2" xfId="0" applyNumberFormat="1" applyFill="1" applyBorder="1" applyAlignment="1">
      <alignment horizontal="center" vertical="center"/>
    </xf>
    <xf numFmtId="206" fontId="15" fillId="0" borderId="0" xfId="2" applyNumberFormat="1" applyFont="1" applyProtection="1">
      <protection hidden="1"/>
    </xf>
    <xf numFmtId="175" fontId="2" fillId="0" borderId="0" xfId="2" applyNumberFormat="1" applyFont="1" applyProtection="1">
      <protection locked="0"/>
    </xf>
    <xf numFmtId="186" fontId="2" fillId="30" borderId="2" xfId="0" applyNumberFormat="1" applyFont="1" applyFill="1" applyBorder="1" applyAlignment="1">
      <alignment horizontal="center" vertical="center"/>
    </xf>
    <xf numFmtId="177" fontId="2" fillId="0" borderId="0" xfId="2" applyNumberFormat="1" applyFont="1"/>
    <xf numFmtId="170" fontId="2" fillId="33" borderId="25" xfId="0" applyNumberFormat="1" applyFont="1" applyFill="1" applyBorder="1" applyAlignment="1" applyProtection="1">
      <alignment horizontal="center" vertical="center"/>
      <protection locked="0"/>
    </xf>
    <xf numFmtId="165" fontId="2" fillId="5" borderId="34" xfId="2" applyNumberFormat="1" applyFont="1" applyFill="1" applyBorder="1" applyAlignment="1">
      <alignment horizontal="center"/>
    </xf>
    <xf numFmtId="178" fontId="14" fillId="5" borderId="34" xfId="2" applyNumberFormat="1" applyFont="1" applyFill="1" applyBorder="1"/>
    <xf numFmtId="179" fontId="32" fillId="5" borderId="24" xfId="2" applyNumberFormat="1" applyFont="1" applyFill="1" applyBorder="1" applyAlignment="1" applyProtection="1">
      <alignment horizontal="center" vertical="center"/>
      <protection hidden="1"/>
    </xf>
    <xf numFmtId="0" fontId="32" fillId="5" borderId="24" xfId="2" applyFont="1" applyFill="1" applyBorder="1" applyAlignment="1" applyProtection="1">
      <alignment horizontal="center" vertical="center"/>
      <protection hidden="1"/>
    </xf>
    <xf numFmtId="2" fontId="15" fillId="0" borderId="19" xfId="2" applyNumberFormat="1" applyFont="1" applyBorder="1" applyAlignment="1" applyProtection="1">
      <alignment horizontal="center"/>
      <protection hidden="1"/>
    </xf>
    <xf numFmtId="2" fontId="15" fillId="0" borderId="20" xfId="2" applyNumberFormat="1" applyFont="1" applyBorder="1" applyAlignment="1" applyProtection="1">
      <alignment horizontal="center"/>
      <protection hidden="1"/>
    </xf>
    <xf numFmtId="2" fontId="15" fillId="0" borderId="0" xfId="2" applyNumberFormat="1" applyFont="1" applyAlignment="1" applyProtection="1">
      <alignment horizontal="center"/>
      <protection hidden="1"/>
    </xf>
    <xf numFmtId="0" fontId="2" fillId="6" borderId="24" xfId="2" applyFont="1" applyFill="1" applyBorder="1" applyAlignment="1">
      <alignment vertical="center"/>
    </xf>
    <xf numFmtId="0" fontId="2" fillId="6" borderId="24" xfId="2" applyFont="1" applyFill="1" applyBorder="1" applyAlignment="1">
      <alignment horizontal="center" vertical="center"/>
    </xf>
    <xf numFmtId="0" fontId="0" fillId="7" borderId="74" xfId="0" applyFill="1" applyBorder="1" applyAlignment="1">
      <alignment horizontal="center" vertical="center"/>
    </xf>
    <xf numFmtId="175" fontId="2" fillId="0" borderId="0" xfId="0" applyNumberFormat="1" applyFont="1" applyAlignment="1">
      <alignment horizontal="center" vertical="center"/>
    </xf>
    <xf numFmtId="0" fontId="2" fillId="0" borderId="22" xfId="0" applyFont="1" applyBorder="1" applyAlignment="1">
      <alignment horizontal="center" vertical="center"/>
    </xf>
    <xf numFmtId="182" fontId="2" fillId="0" borderId="0" xfId="0" applyNumberFormat="1" applyFont="1" applyAlignment="1">
      <alignment horizontal="center"/>
    </xf>
    <xf numFmtId="14" fontId="2" fillId="0" borderId="0" xfId="0" applyNumberFormat="1" applyFont="1" applyAlignment="1">
      <alignment horizontal="center"/>
    </xf>
    <xf numFmtId="0" fontId="0" fillId="0" borderId="64" xfId="0" applyBorder="1" applyAlignment="1">
      <alignment horizontal="center"/>
    </xf>
    <xf numFmtId="0" fontId="0" fillId="0" borderId="2" xfId="0" applyBorder="1" applyAlignment="1">
      <alignment horizontal="center"/>
    </xf>
    <xf numFmtId="0" fontId="2" fillId="10" borderId="2" xfId="2" applyFont="1" applyFill="1" applyBorder="1" applyAlignment="1" applyProtection="1">
      <alignment horizontal="left"/>
      <protection hidden="1"/>
    </xf>
    <xf numFmtId="0" fontId="2" fillId="10" borderId="26" xfId="2" applyFont="1" applyFill="1" applyBorder="1" applyAlignment="1" applyProtection="1">
      <alignment horizontal="left"/>
      <protection hidden="1"/>
    </xf>
    <xf numFmtId="0" fontId="2" fillId="0" borderId="2" xfId="0" applyFont="1" applyBorder="1" applyAlignment="1">
      <alignment horizontal="center"/>
    </xf>
    <xf numFmtId="1" fontId="2" fillId="0" borderId="2" xfId="0" applyNumberFormat="1" applyFont="1" applyBorder="1" applyAlignment="1">
      <alignment horizontal="center"/>
    </xf>
    <xf numFmtId="0" fontId="2" fillId="0" borderId="2" xfId="0" applyFont="1" applyBorder="1" applyAlignment="1">
      <alignment horizontal="center" vertical="center"/>
    </xf>
    <xf numFmtId="175" fontId="2" fillId="0" borderId="2" xfId="0" applyNumberFormat="1" applyFont="1" applyBorder="1" applyAlignment="1">
      <alignment horizontal="center" vertical="center"/>
    </xf>
    <xf numFmtId="175" fontId="2" fillId="0" borderId="2" xfId="0" applyNumberFormat="1" applyFont="1" applyBorder="1" applyAlignment="1">
      <alignment horizontal="right" vertical="center"/>
    </xf>
    <xf numFmtId="0" fontId="0" fillId="0" borderId="20" xfId="0" applyBorder="1" applyAlignment="1">
      <alignment horizontal="center"/>
    </xf>
    <xf numFmtId="0" fontId="0" fillId="0" borderId="0" xfId="0" applyAlignment="1">
      <alignment horizontal="left" vertical="top"/>
    </xf>
    <xf numFmtId="0" fontId="0" fillId="3" borderId="4" xfId="0" applyFill="1" applyBorder="1" applyAlignment="1">
      <alignment horizontal="center"/>
    </xf>
    <xf numFmtId="0" fontId="51" fillId="11" borderId="67" xfId="0" applyFont="1" applyFill="1" applyBorder="1" applyAlignment="1" applyProtection="1">
      <alignment horizontal="center" vertical="center"/>
      <protection hidden="1"/>
    </xf>
    <xf numFmtId="0" fontId="0" fillId="34" borderId="2" xfId="0" applyFill="1" applyBorder="1" applyAlignment="1">
      <alignment vertical="center"/>
    </xf>
    <xf numFmtId="1" fontId="30" fillId="14" borderId="0" xfId="2" applyNumberFormat="1" applyFont="1" applyFill="1" applyAlignment="1">
      <alignment horizontal="center"/>
    </xf>
    <xf numFmtId="0" fontId="35" fillId="4" borderId="34" xfId="2" applyFont="1" applyFill="1" applyBorder="1" applyAlignment="1" applyProtection="1">
      <alignment horizontal="right" vertical="center"/>
      <protection locked="0"/>
    </xf>
    <xf numFmtId="0" fontId="35" fillId="30" borderId="14" xfId="2" applyFont="1" applyFill="1" applyBorder="1" applyAlignment="1" applyProtection="1">
      <alignment horizontal="left" vertical="center"/>
      <protection locked="0"/>
    </xf>
    <xf numFmtId="0" fontId="49" fillId="0" borderId="0" xfId="2" applyFont="1" applyProtection="1">
      <protection hidden="1"/>
    </xf>
    <xf numFmtId="0" fontId="17" fillId="5" borderId="31" xfId="2" applyFont="1" applyFill="1" applyBorder="1" applyAlignment="1">
      <alignment horizontal="center" vertical="center"/>
    </xf>
    <xf numFmtId="0" fontId="17" fillId="5" borderId="32" xfId="2" applyFont="1" applyFill="1" applyBorder="1" applyAlignment="1">
      <alignment horizontal="center" vertical="center"/>
    </xf>
    <xf numFmtId="0" fontId="17" fillId="5" borderId="21" xfId="2" applyFont="1" applyFill="1" applyBorder="1" applyAlignment="1">
      <alignment horizontal="center" vertical="center"/>
    </xf>
    <xf numFmtId="0" fontId="17" fillId="5" borderId="23" xfId="2" applyFont="1" applyFill="1" applyBorder="1" applyAlignment="1">
      <alignment horizontal="center" vertical="center"/>
    </xf>
    <xf numFmtId="0" fontId="2" fillId="4" borderId="2" xfId="2" applyFont="1" applyFill="1" applyBorder="1" applyAlignment="1" applyProtection="1">
      <alignment horizontal="center"/>
      <protection locked="0"/>
    </xf>
    <xf numFmtId="0" fontId="2" fillId="4" borderId="8" xfId="2" applyFont="1" applyFill="1" applyBorder="1" applyAlignment="1" applyProtection="1">
      <alignment horizontal="center"/>
      <protection locked="0"/>
    </xf>
    <xf numFmtId="177" fontId="33" fillId="5" borderId="34" xfId="2" applyNumberFormat="1" applyFont="1" applyFill="1" applyBorder="1" applyAlignment="1" applyProtection="1">
      <alignment horizontal="center"/>
      <protection hidden="1"/>
    </xf>
    <xf numFmtId="177" fontId="33" fillId="5" borderId="14" xfId="2" applyNumberFormat="1" applyFont="1" applyFill="1" applyBorder="1" applyAlignment="1" applyProtection="1">
      <alignment horizontal="center"/>
      <protection hidden="1"/>
    </xf>
    <xf numFmtId="176" fontId="33" fillId="5" borderId="34" xfId="2" applyNumberFormat="1" applyFont="1" applyFill="1" applyBorder="1" applyAlignment="1" applyProtection="1">
      <alignment horizontal="center"/>
      <protection hidden="1"/>
    </xf>
    <xf numFmtId="176" fontId="33" fillId="5" borderId="14" xfId="2" applyNumberFormat="1" applyFont="1" applyFill="1" applyBorder="1" applyAlignment="1" applyProtection="1">
      <alignment horizontal="center"/>
      <protection hidden="1"/>
    </xf>
    <xf numFmtId="177" fontId="2" fillId="4" borderId="2" xfId="2" applyNumberFormat="1" applyFont="1" applyFill="1" applyBorder="1" applyAlignment="1" applyProtection="1">
      <alignment horizontal="center"/>
      <protection locked="0"/>
    </xf>
    <xf numFmtId="165" fontId="2" fillId="5" borderId="34" xfId="2" applyNumberFormat="1" applyFont="1" applyFill="1" applyBorder="1" applyAlignment="1">
      <alignment horizontal="center"/>
    </xf>
    <xf numFmtId="165" fontId="2" fillId="5" borderId="14" xfId="2" applyNumberFormat="1" applyFont="1" applyFill="1" applyBorder="1" applyAlignment="1">
      <alignment horizontal="center"/>
    </xf>
    <xf numFmtId="178" fontId="33" fillId="5" borderId="34" xfId="2" applyNumberFormat="1" applyFont="1" applyFill="1" applyBorder="1" applyAlignment="1">
      <alignment horizontal="center"/>
    </xf>
    <xf numFmtId="178" fontId="33" fillId="5" borderId="14" xfId="2" applyNumberFormat="1" applyFont="1" applyFill="1" applyBorder="1" applyAlignment="1">
      <alignment horizontal="center"/>
    </xf>
    <xf numFmtId="0" fontId="15" fillId="0" borderId="0" xfId="2" applyFont="1" applyAlignment="1" applyProtection="1">
      <alignment horizontal="center"/>
      <protection hidden="1"/>
    </xf>
    <xf numFmtId="0" fontId="30" fillId="6" borderId="34" xfId="2" applyFont="1" applyFill="1" applyBorder="1" applyAlignment="1" applyProtection="1">
      <alignment horizontal="center"/>
      <protection hidden="1"/>
    </xf>
    <xf numFmtId="0" fontId="30" fillId="6" borderId="14" xfId="2" applyFont="1" applyFill="1" applyBorder="1" applyAlignment="1" applyProtection="1">
      <alignment horizontal="center"/>
      <protection hidden="1"/>
    </xf>
    <xf numFmtId="0" fontId="2" fillId="10" borderId="2" xfId="2" applyFont="1" applyFill="1" applyBorder="1" applyAlignment="1" applyProtection="1">
      <alignment horizontal="center"/>
      <protection hidden="1"/>
    </xf>
    <xf numFmtId="0" fontId="33" fillId="6" borderId="2" xfId="2" applyFont="1" applyFill="1" applyBorder="1" applyAlignment="1">
      <alignment horizontal="center"/>
    </xf>
    <xf numFmtId="165" fontId="33" fillId="5" borderId="2" xfId="2" applyNumberFormat="1" applyFont="1" applyFill="1" applyBorder="1" applyAlignment="1">
      <alignment horizontal="center"/>
    </xf>
    <xf numFmtId="20" fontId="2" fillId="4" borderId="34" xfId="2" applyNumberFormat="1" applyFont="1" applyFill="1" applyBorder="1" applyAlignment="1" applyProtection="1">
      <alignment horizontal="center"/>
      <protection locked="0"/>
    </xf>
    <xf numFmtId="20" fontId="2" fillId="4" borderId="82" xfId="2" applyNumberFormat="1" applyFont="1" applyFill="1" applyBorder="1" applyAlignment="1" applyProtection="1">
      <alignment horizontal="center"/>
      <protection locked="0"/>
    </xf>
    <xf numFmtId="0" fontId="45" fillId="0" borderId="83" xfId="2" applyFont="1" applyBorder="1" applyAlignment="1">
      <alignment horizontal="center"/>
    </xf>
    <xf numFmtId="177" fontId="2" fillId="4" borderId="34" xfId="2" applyNumberFormat="1" applyFont="1" applyFill="1" applyBorder="1" applyAlignment="1" applyProtection="1">
      <alignment horizontal="center"/>
      <protection locked="0"/>
    </xf>
    <xf numFmtId="177" fontId="2" fillId="4" borderId="14" xfId="2" applyNumberFormat="1" applyFont="1" applyFill="1" applyBorder="1" applyAlignment="1" applyProtection="1">
      <alignment horizontal="center"/>
      <protection locked="0"/>
    </xf>
    <xf numFmtId="0" fontId="2" fillId="4" borderId="21" xfId="2" applyFont="1" applyFill="1" applyBorder="1" applyAlignment="1" applyProtection="1">
      <alignment horizontal="center"/>
      <protection locked="0"/>
    </xf>
    <xf numFmtId="0" fontId="2" fillId="4" borderId="84" xfId="2" applyFont="1" applyFill="1" applyBorder="1" applyAlignment="1" applyProtection="1">
      <alignment horizontal="center"/>
      <protection locked="0"/>
    </xf>
    <xf numFmtId="0" fontId="3" fillId="19" borderId="0" xfId="2" applyFont="1" applyFill="1" applyAlignment="1">
      <alignment horizontal="center"/>
    </xf>
    <xf numFmtId="0" fontId="2" fillId="0" borderId="0" xfId="2" applyFont="1" applyAlignment="1" applyProtection="1">
      <alignment horizontal="center"/>
      <protection hidden="1"/>
    </xf>
    <xf numFmtId="178" fontId="33" fillId="5" borderId="2" xfId="2" applyNumberFormat="1" applyFont="1" applyFill="1" applyBorder="1" applyAlignment="1">
      <alignment horizontal="center"/>
    </xf>
    <xf numFmtId="0" fontId="2" fillId="10" borderId="80" xfId="2" applyFont="1" applyFill="1" applyBorder="1" applyAlignment="1" applyProtection="1">
      <alignment horizontal="center"/>
      <protection hidden="1"/>
    </xf>
    <xf numFmtId="0" fontId="2" fillId="10" borderId="81" xfId="2" applyFont="1" applyFill="1" applyBorder="1" applyAlignment="1" applyProtection="1">
      <alignment horizontal="center"/>
      <protection hidden="1"/>
    </xf>
    <xf numFmtId="0" fontId="2" fillId="4" borderId="34" xfId="2" applyFont="1" applyFill="1" applyBorder="1" applyAlignment="1" applyProtection="1">
      <alignment horizontal="center"/>
      <protection locked="0"/>
    </xf>
    <xf numFmtId="0" fontId="2" fillId="4" borderId="82" xfId="2" applyFont="1" applyFill="1" applyBorder="1" applyAlignment="1" applyProtection="1">
      <alignment horizontal="center"/>
      <protection locked="0"/>
    </xf>
    <xf numFmtId="0" fontId="2" fillId="10" borderId="34" xfId="2" applyFont="1" applyFill="1" applyBorder="1" applyAlignment="1" applyProtection="1">
      <alignment horizontal="center"/>
      <protection hidden="1"/>
    </xf>
    <xf numFmtId="0" fontId="2" fillId="10" borderId="14" xfId="2" applyFont="1" applyFill="1" applyBorder="1" applyAlignment="1" applyProtection="1">
      <alignment horizontal="center"/>
      <protection hidden="1"/>
    </xf>
    <xf numFmtId="176" fontId="33" fillId="5" borderId="34" xfId="2" applyNumberFormat="1" applyFont="1" applyFill="1" applyBorder="1" applyAlignment="1">
      <alignment horizontal="center"/>
    </xf>
    <xf numFmtId="176" fontId="33" fillId="5" borderId="14" xfId="2" applyNumberFormat="1" applyFont="1" applyFill="1" applyBorder="1" applyAlignment="1">
      <alignment horizontal="center"/>
    </xf>
    <xf numFmtId="178" fontId="34" fillId="5" borderId="34" xfId="2" applyNumberFormat="1" applyFont="1" applyFill="1" applyBorder="1" applyAlignment="1">
      <alignment horizontal="center"/>
    </xf>
    <xf numFmtId="178" fontId="34" fillId="5" borderId="14" xfId="2" applyNumberFormat="1" applyFont="1" applyFill="1" applyBorder="1" applyAlignment="1">
      <alignment horizontal="center"/>
    </xf>
    <xf numFmtId="0" fontId="33" fillId="6" borderId="34" xfId="2" applyFont="1" applyFill="1" applyBorder="1" applyAlignment="1">
      <alignment horizontal="center"/>
    </xf>
    <xf numFmtId="0" fontId="33" fillId="6" borderId="14" xfId="2" applyFont="1" applyFill="1" applyBorder="1" applyAlignment="1">
      <alignment horizontal="center"/>
    </xf>
    <xf numFmtId="0" fontId="45" fillId="0" borderId="0" xfId="2" applyFont="1" applyAlignment="1">
      <alignment horizontal="center"/>
    </xf>
    <xf numFmtId="0" fontId="2" fillId="6" borderId="2" xfId="2" applyFont="1" applyFill="1" applyBorder="1" applyAlignment="1" applyProtection="1">
      <alignment horizontal="center"/>
      <protection hidden="1"/>
    </xf>
    <xf numFmtId="0" fontId="2" fillId="10" borderId="75" xfId="2" applyFont="1" applyFill="1" applyBorder="1" applyAlignment="1" applyProtection="1">
      <alignment horizontal="center"/>
      <protection hidden="1"/>
    </xf>
    <xf numFmtId="0" fontId="2" fillId="10" borderId="76" xfId="2" applyFont="1" applyFill="1" applyBorder="1" applyAlignment="1" applyProtection="1">
      <alignment horizontal="center"/>
      <protection hidden="1"/>
    </xf>
    <xf numFmtId="0" fontId="45" fillId="4" borderId="25" xfId="2" applyFont="1" applyFill="1" applyBorder="1" applyAlignment="1" applyProtection="1">
      <alignment horizontal="center"/>
      <protection locked="0"/>
    </xf>
    <xf numFmtId="0" fontId="45" fillId="4" borderId="77" xfId="2" applyFont="1" applyFill="1" applyBorder="1" applyAlignment="1" applyProtection="1">
      <alignment horizontal="center"/>
      <protection locked="0"/>
    </xf>
    <xf numFmtId="165" fontId="33" fillId="5" borderId="34" xfId="2" applyNumberFormat="1" applyFont="1" applyFill="1" applyBorder="1" applyAlignment="1">
      <alignment horizontal="center"/>
    </xf>
    <xf numFmtId="165" fontId="33" fillId="5" borderId="14" xfId="2" applyNumberFormat="1" applyFont="1" applyFill="1" applyBorder="1" applyAlignment="1">
      <alignment horizontal="center"/>
    </xf>
    <xf numFmtId="0" fontId="2" fillId="10" borderId="78" xfId="2" applyFont="1" applyFill="1" applyBorder="1" applyAlignment="1" applyProtection="1">
      <alignment horizontal="center"/>
      <protection hidden="1"/>
    </xf>
    <xf numFmtId="0" fontId="2" fillId="10" borderId="79" xfId="2" applyFont="1" applyFill="1" applyBorder="1" applyAlignment="1" applyProtection="1">
      <alignment horizontal="center"/>
      <protection hidden="1"/>
    </xf>
    <xf numFmtId="0" fontId="2" fillId="0" borderId="0" xfId="2" applyFont="1" applyAlignment="1">
      <alignment horizontal="center"/>
    </xf>
    <xf numFmtId="0" fontId="35" fillId="4" borderId="25" xfId="2" applyFont="1" applyFill="1" applyBorder="1" applyAlignment="1" applyProtection="1">
      <alignment horizontal="center" vertical="center"/>
      <protection locked="0"/>
    </xf>
    <xf numFmtId="0" fontId="35" fillId="4" borderId="2" xfId="2" applyFont="1" applyFill="1" applyBorder="1" applyAlignment="1" applyProtection="1">
      <alignment horizontal="center" vertical="center"/>
      <protection locked="0"/>
    </xf>
    <xf numFmtId="0" fontId="35" fillId="13" borderId="2" xfId="0" applyFont="1" applyFill="1" applyBorder="1" applyAlignment="1">
      <alignment horizontal="center"/>
    </xf>
    <xf numFmtId="0" fontId="45" fillId="0" borderId="0" xfId="0" applyFont="1" applyAlignment="1">
      <alignment horizontal="center" vertical="center"/>
    </xf>
    <xf numFmtId="0" fontId="3" fillId="20" borderId="0" xfId="0" applyFont="1" applyFill="1" applyAlignment="1">
      <alignment horizontal="center"/>
    </xf>
    <xf numFmtId="0" fontId="2" fillId="12" borderId="15" xfId="0" applyFont="1" applyFill="1" applyBorder="1" applyAlignment="1" applyProtection="1">
      <alignment horizontal="center"/>
      <protection hidden="1"/>
    </xf>
    <xf numFmtId="0" fontId="35" fillId="13" borderId="15" xfId="0" applyFont="1" applyFill="1" applyBorder="1" applyAlignment="1">
      <alignment horizontal="center"/>
    </xf>
    <xf numFmtId="0" fontId="35" fillId="13" borderId="46" xfId="0" applyFont="1" applyFill="1" applyBorder="1" applyAlignment="1">
      <alignment horizontal="center"/>
    </xf>
    <xf numFmtId="0" fontId="2" fillId="0" borderId="0" xfId="0" applyFont="1" applyAlignment="1">
      <alignment horizontal="center" vertical="center"/>
    </xf>
    <xf numFmtId="0" fontId="2" fillId="0" borderId="0" xfId="0" applyFont="1" applyAlignment="1" applyProtection="1">
      <alignment horizontal="center"/>
      <protection hidden="1"/>
    </xf>
    <xf numFmtId="0" fontId="2" fillId="4" borderId="34" xfId="2" applyFont="1" applyFill="1" applyBorder="1" applyAlignment="1" applyProtection="1">
      <alignment horizontal="center" vertical="center"/>
      <protection locked="0"/>
    </xf>
    <xf numFmtId="0" fontId="2" fillId="4" borderId="14" xfId="2" applyFont="1" applyFill="1" applyBorder="1" applyAlignment="1" applyProtection="1">
      <alignment horizontal="center" vertical="center"/>
      <protection locked="0"/>
    </xf>
    <xf numFmtId="0" fontId="14" fillId="8" borderId="98" xfId="0" applyFont="1" applyFill="1" applyBorder="1" applyAlignment="1" applyProtection="1">
      <alignment horizontal="center" vertical="center"/>
      <protection hidden="1"/>
    </xf>
    <xf numFmtId="0" fontId="14" fillId="8" borderId="43" xfId="0" applyFont="1" applyFill="1" applyBorder="1" applyAlignment="1" applyProtection="1">
      <alignment horizontal="center" vertical="center"/>
      <protection hidden="1"/>
    </xf>
    <xf numFmtId="0" fontId="2" fillId="10" borderId="2" xfId="2" applyFont="1" applyFill="1" applyBorder="1" applyAlignment="1" applyProtection="1">
      <alignment horizontal="center" vertical="center"/>
      <protection hidden="1"/>
    </xf>
    <xf numFmtId="0" fontId="0" fillId="0" borderId="31" xfId="0" applyBorder="1" applyAlignment="1">
      <alignment horizontal="center" vertical="center"/>
    </xf>
    <xf numFmtId="0" fontId="0" fillId="0" borderId="33" xfId="0" applyBorder="1" applyAlignment="1">
      <alignment horizontal="center" vertical="center"/>
    </xf>
    <xf numFmtId="0" fontId="0" fillId="0" borderId="32" xfId="0" applyBorder="1" applyAlignment="1">
      <alignment horizontal="center" vertical="center"/>
    </xf>
    <xf numFmtId="0" fontId="2" fillId="4" borderId="2" xfId="2" applyFont="1" applyFill="1" applyBorder="1" applyAlignment="1" applyProtection="1">
      <alignment horizontal="center" vertical="center"/>
      <protection locked="0"/>
    </xf>
    <xf numFmtId="0" fontId="2" fillId="12" borderId="66" xfId="0" applyFont="1" applyFill="1" applyBorder="1" applyAlignment="1" applyProtection="1">
      <alignment horizontal="center"/>
      <protection hidden="1"/>
    </xf>
    <xf numFmtId="0" fontId="2" fillId="12" borderId="93" xfId="0" applyFont="1" applyFill="1" applyBorder="1" applyAlignment="1" applyProtection="1">
      <alignment horizontal="center"/>
      <protection hidden="1"/>
    </xf>
    <xf numFmtId="0" fontId="11" fillId="8" borderId="94" xfId="0" applyFont="1" applyFill="1" applyBorder="1" applyAlignment="1" applyProtection="1">
      <alignment horizontal="center" vertical="center"/>
      <protection hidden="1"/>
    </xf>
    <xf numFmtId="0" fontId="11" fillId="8" borderId="68" xfId="0" applyFont="1" applyFill="1" applyBorder="1" applyAlignment="1" applyProtection="1">
      <alignment horizontal="center" vertical="center"/>
      <protection hidden="1"/>
    </xf>
    <xf numFmtId="0" fontId="12" fillId="8" borderId="95" xfId="0" applyFont="1" applyFill="1" applyBorder="1" applyAlignment="1" applyProtection="1">
      <alignment horizontal="center" vertical="center"/>
      <protection hidden="1"/>
    </xf>
    <xf numFmtId="0" fontId="12" fillId="8" borderId="16" xfId="0" applyFont="1" applyFill="1" applyBorder="1" applyAlignment="1" applyProtection="1">
      <alignment horizontal="center" vertical="center"/>
      <protection hidden="1"/>
    </xf>
    <xf numFmtId="0" fontId="11" fillId="8" borderId="96" xfId="0" applyFont="1" applyFill="1" applyBorder="1" applyAlignment="1" applyProtection="1">
      <alignment horizontal="center" vertical="center"/>
      <protection hidden="1"/>
    </xf>
    <xf numFmtId="0" fontId="11" fillId="8" borderId="15" xfId="0" applyFont="1" applyFill="1" applyBorder="1" applyAlignment="1" applyProtection="1">
      <alignment horizontal="center" vertical="center"/>
      <protection hidden="1"/>
    </xf>
    <xf numFmtId="0" fontId="41" fillId="8" borderId="97" xfId="0" applyFont="1" applyFill="1" applyBorder="1" applyAlignment="1" applyProtection="1">
      <alignment horizontal="center" vertical="center"/>
      <protection hidden="1"/>
    </xf>
    <xf numFmtId="0" fontId="41" fillId="8" borderId="89" xfId="0" applyFont="1" applyFill="1" applyBorder="1" applyAlignment="1" applyProtection="1">
      <alignment horizontal="center" vertical="center"/>
      <protection hidden="1"/>
    </xf>
    <xf numFmtId="0" fontId="2" fillId="13" borderId="90" xfId="0" applyFont="1" applyFill="1" applyBorder="1" applyAlignment="1" applyProtection="1">
      <alignment horizontal="center" vertical="center"/>
      <protection locked="0"/>
    </xf>
    <xf numFmtId="0" fontId="2" fillId="13" borderId="91" xfId="0" applyFont="1" applyFill="1" applyBorder="1" applyAlignment="1" applyProtection="1">
      <alignment horizontal="center" vertical="center"/>
      <protection locked="0"/>
    </xf>
    <xf numFmtId="164" fontId="2" fillId="13" borderId="103" xfId="0" applyNumberFormat="1" applyFont="1" applyFill="1" applyBorder="1" applyAlignment="1">
      <alignment horizontal="center" vertical="center"/>
    </xf>
    <xf numFmtId="168" fontId="2" fillId="13" borderId="15" xfId="0" applyNumberFormat="1" applyFont="1" applyFill="1" applyBorder="1" applyAlignment="1" applyProtection="1">
      <alignment horizontal="center" vertical="center"/>
      <protection locked="0"/>
    </xf>
    <xf numFmtId="167" fontId="2" fillId="13" borderId="15" xfId="0" applyNumberFormat="1" applyFont="1" applyFill="1" applyBorder="1" applyAlignment="1" applyProtection="1">
      <alignment horizontal="center" vertical="center"/>
      <protection locked="0"/>
    </xf>
    <xf numFmtId="0" fontId="2" fillId="13" borderId="92" xfId="0" applyFont="1" applyFill="1" applyBorder="1" applyAlignment="1">
      <alignment horizontal="center"/>
    </xf>
    <xf numFmtId="0" fontId="2" fillId="13" borderId="91" xfId="0" applyFont="1" applyFill="1" applyBorder="1" applyAlignment="1">
      <alignment horizontal="center"/>
    </xf>
    <xf numFmtId="166" fontId="2" fillId="17" borderId="46" xfId="0" applyNumberFormat="1" applyFont="1" applyFill="1" applyBorder="1" applyAlignment="1">
      <alignment horizontal="center" vertical="center"/>
    </xf>
    <xf numFmtId="0" fontId="41" fillId="8" borderId="85" xfId="0" applyFont="1" applyFill="1" applyBorder="1" applyAlignment="1" applyProtection="1">
      <alignment horizontal="center" vertical="center"/>
      <protection hidden="1"/>
    </xf>
    <xf numFmtId="0" fontId="41" fillId="8" borderId="86" xfId="0" applyFont="1" applyFill="1" applyBorder="1" applyAlignment="1" applyProtection="1">
      <alignment horizontal="center" vertical="center"/>
      <protection hidden="1"/>
    </xf>
    <xf numFmtId="0" fontId="2" fillId="8" borderId="87" xfId="0" applyFont="1" applyFill="1" applyBorder="1" applyAlignment="1" applyProtection="1">
      <alignment horizontal="center" vertical="center"/>
      <protection hidden="1"/>
    </xf>
    <xf numFmtId="0" fontId="41" fillId="8" borderId="88" xfId="0" applyFont="1" applyFill="1" applyBorder="1" applyAlignment="1" applyProtection="1">
      <alignment horizontal="center" vertical="center"/>
      <protection hidden="1"/>
    </xf>
    <xf numFmtId="0" fontId="14" fillId="8" borderId="15" xfId="0" applyFont="1" applyFill="1" applyBorder="1" applyAlignment="1" applyProtection="1">
      <alignment horizontal="center" vertical="center"/>
      <protection hidden="1"/>
    </xf>
    <xf numFmtId="0" fontId="12" fillId="8" borderId="17" xfId="0" applyFont="1" applyFill="1" applyBorder="1" applyAlignment="1" applyProtection="1">
      <alignment horizontal="center" vertical="center"/>
      <protection hidden="1"/>
    </xf>
    <xf numFmtId="0" fontId="0" fillId="0" borderId="33" xfId="0" applyBorder="1" applyAlignment="1">
      <alignment horizontal="center"/>
    </xf>
    <xf numFmtId="0" fontId="0" fillId="0" borderId="0" xfId="0" applyAlignment="1">
      <alignment horizontal="center"/>
    </xf>
    <xf numFmtId="0" fontId="0" fillId="0" borderId="0" xfId="0" applyAlignment="1" applyProtection="1">
      <alignment horizontal="center"/>
      <protection locked="0"/>
    </xf>
    <xf numFmtId="0" fontId="0" fillId="28" borderId="31" xfId="0" applyFill="1" applyBorder="1" applyAlignment="1">
      <alignment horizontal="center"/>
    </xf>
    <xf numFmtId="0" fontId="0" fillId="28" borderId="32" xfId="0" applyFill="1" applyBorder="1" applyAlignment="1">
      <alignment horizontal="center"/>
    </xf>
    <xf numFmtId="0" fontId="0" fillId="4" borderId="19" xfId="0" applyFill="1" applyBorder="1" applyAlignment="1" applyProtection="1">
      <alignment horizontal="center"/>
      <protection locked="0"/>
    </xf>
    <xf numFmtId="0" fontId="0" fillId="4" borderId="20" xfId="0" applyFill="1" applyBorder="1" applyAlignment="1" applyProtection="1">
      <alignment horizontal="center"/>
      <protection locked="0"/>
    </xf>
    <xf numFmtId="0" fontId="0" fillId="30" borderId="19" xfId="0" applyFill="1" applyBorder="1" applyAlignment="1">
      <alignment horizontal="center"/>
    </xf>
    <xf numFmtId="0" fontId="0" fillId="30" borderId="20" xfId="0" applyFill="1" applyBorder="1" applyAlignment="1">
      <alignment horizontal="center"/>
    </xf>
    <xf numFmtId="0" fontId="0" fillId="30" borderId="21" xfId="0" applyFill="1" applyBorder="1" applyAlignment="1" applyProtection="1">
      <alignment horizontal="center"/>
      <protection locked="0"/>
    </xf>
    <xf numFmtId="0" fontId="0" fillId="30" borderId="23" xfId="0" applyFill="1" applyBorder="1" applyAlignment="1" applyProtection="1">
      <alignment horizontal="center"/>
      <protection locked="0"/>
    </xf>
    <xf numFmtId="0" fontId="0" fillId="30" borderId="19" xfId="0" applyFill="1" applyBorder="1" applyAlignment="1" applyProtection="1">
      <alignment horizontal="center"/>
      <protection locked="0"/>
    </xf>
    <xf numFmtId="0" fontId="0" fillId="30" borderId="20" xfId="0" applyFill="1" applyBorder="1" applyAlignment="1" applyProtection="1">
      <alignment horizontal="center"/>
      <protection locked="0"/>
    </xf>
    <xf numFmtId="0" fontId="0" fillId="4" borderId="0" xfId="0" applyFill="1" applyAlignment="1" applyProtection="1">
      <alignment horizontal="center"/>
      <protection locked="0"/>
    </xf>
    <xf numFmtId="0" fontId="0" fillId="0" borderId="33" xfId="0" applyBorder="1" applyAlignment="1" applyProtection="1">
      <alignment horizontal="center"/>
      <protection locked="0"/>
    </xf>
    <xf numFmtId="0" fontId="0" fillId="30" borderId="21" xfId="0" applyFill="1" applyBorder="1" applyAlignment="1">
      <alignment horizontal="center"/>
    </xf>
    <xf numFmtId="0" fontId="0" fillId="30" borderId="23" xfId="0" applyFill="1" applyBorder="1" applyAlignment="1">
      <alignment horizontal="center"/>
    </xf>
    <xf numFmtId="2" fontId="0" fillId="22" borderId="53" xfId="0" applyNumberFormat="1" applyFill="1" applyBorder="1" applyAlignment="1">
      <alignment horizontal="center"/>
    </xf>
    <xf numFmtId="2" fontId="0" fillId="22" borderId="65" xfId="0" applyNumberFormat="1" applyFill="1" applyBorder="1" applyAlignment="1">
      <alignment horizontal="center"/>
    </xf>
    <xf numFmtId="2" fontId="0" fillId="22" borderId="11" xfId="0" applyNumberFormat="1" applyFill="1" applyBorder="1" applyAlignment="1">
      <alignment horizontal="center"/>
    </xf>
    <xf numFmtId="2" fontId="0" fillId="22" borderId="54" xfId="0" applyNumberFormat="1" applyFill="1" applyBorder="1" applyAlignment="1">
      <alignment horizontal="center"/>
    </xf>
    <xf numFmtId="0" fontId="0" fillId="22" borderId="99" xfId="0" applyFill="1" applyBorder="1" applyAlignment="1">
      <alignment horizontal="center"/>
    </xf>
    <xf numFmtId="0" fontId="0" fillId="22" borderId="100" xfId="0" applyFill="1" applyBorder="1" applyAlignment="1">
      <alignment horizontal="center"/>
    </xf>
    <xf numFmtId="0" fontId="0" fillId="22" borderId="101" xfId="0" applyFill="1" applyBorder="1" applyAlignment="1">
      <alignment horizontal="center"/>
    </xf>
    <xf numFmtId="2" fontId="0" fillId="22" borderId="52" xfId="0" applyNumberFormat="1" applyFill="1" applyBorder="1" applyAlignment="1">
      <alignment horizontal="center"/>
    </xf>
    <xf numFmtId="194" fontId="2" fillId="13" borderId="46" xfId="0" applyNumberFormat="1" applyFont="1" applyFill="1" applyBorder="1" applyAlignment="1">
      <alignment horizontal="center" vertical="center"/>
    </xf>
    <xf numFmtId="195" fontId="2" fillId="17" borderId="15" xfId="0" applyNumberFormat="1" applyFont="1" applyFill="1" applyBorder="1" applyAlignment="1">
      <alignment horizontal="center" vertical="center"/>
    </xf>
    <xf numFmtId="0" fontId="2" fillId="13" borderId="15" xfId="0" applyFont="1" applyFill="1" applyBorder="1" applyAlignment="1">
      <alignment horizontal="center" vertical="center"/>
    </xf>
    <xf numFmtId="0" fontId="2" fillId="13" borderId="46" xfId="0" applyFont="1" applyFill="1" applyBorder="1" applyAlignment="1">
      <alignment horizontal="center" vertical="center"/>
    </xf>
    <xf numFmtId="0" fontId="35" fillId="13" borderId="18" xfId="0" applyFont="1" applyFill="1" applyBorder="1" applyAlignment="1">
      <alignment horizontal="center"/>
    </xf>
    <xf numFmtId="0" fontId="35" fillId="13" borderId="27" xfId="0" applyFont="1" applyFill="1" applyBorder="1" applyAlignment="1">
      <alignment horizontal="center"/>
    </xf>
    <xf numFmtId="0" fontId="2" fillId="0" borderId="21" xfId="0" applyFont="1" applyBorder="1" applyAlignment="1">
      <alignment horizontal="left"/>
    </xf>
    <xf numFmtId="0" fontId="2" fillId="0" borderId="22" xfId="0" applyFont="1" applyBorder="1" applyAlignment="1">
      <alignment horizontal="left"/>
    </xf>
    <xf numFmtId="0" fontId="2" fillId="0" borderId="31" xfId="0" applyFont="1" applyBorder="1" applyAlignment="1">
      <alignment horizontal="left"/>
    </xf>
    <xf numFmtId="0" fontId="2" fillId="0" borderId="33" xfId="0" applyFont="1" applyBorder="1" applyAlignment="1">
      <alignment horizontal="left"/>
    </xf>
    <xf numFmtId="165" fontId="2" fillId="0" borderId="33" xfId="0" applyNumberFormat="1" applyFont="1" applyBorder="1" applyAlignment="1">
      <alignment horizontal="center" vertical="center"/>
    </xf>
    <xf numFmtId="165" fontId="2" fillId="0" borderId="32" xfId="0" applyNumberFormat="1" applyFont="1" applyBorder="1" applyAlignment="1">
      <alignment horizontal="center" vertical="center"/>
    </xf>
    <xf numFmtId="165" fontId="2" fillId="0" borderId="0" xfId="0" applyNumberFormat="1" applyFont="1" applyAlignment="1">
      <alignment horizontal="center" vertical="center"/>
    </xf>
    <xf numFmtId="165" fontId="2" fillId="0" borderId="20" xfId="0" applyNumberFormat="1" applyFont="1" applyBorder="1" applyAlignment="1">
      <alignment horizontal="center" vertical="center"/>
    </xf>
    <xf numFmtId="165" fontId="2" fillId="0" borderId="12" xfId="0" applyNumberFormat="1" applyFont="1" applyBorder="1" applyAlignment="1">
      <alignment horizontal="center" vertical="center"/>
    </xf>
    <xf numFmtId="0" fontId="2" fillId="0" borderId="102" xfId="0" applyFont="1" applyBorder="1" applyAlignment="1">
      <alignment horizontal="center" vertical="center"/>
    </xf>
    <xf numFmtId="0" fontId="2" fillId="0" borderId="12" xfId="0" applyFont="1" applyBorder="1" applyAlignment="1">
      <alignment horizontal="center" vertical="center"/>
    </xf>
    <xf numFmtId="1" fontId="2" fillId="0" borderId="12" xfId="0" applyNumberFormat="1" applyFont="1" applyBorder="1" applyAlignment="1">
      <alignment horizontal="center" vertical="center"/>
    </xf>
    <xf numFmtId="0" fontId="2" fillId="0" borderId="20" xfId="0" applyFont="1" applyBorder="1" applyAlignment="1">
      <alignment horizontal="center" vertical="center"/>
    </xf>
    <xf numFmtId="175" fontId="2" fillId="0" borderId="22" xfId="0" applyNumberFormat="1" applyFont="1" applyBorder="1" applyAlignment="1">
      <alignment horizontal="center" vertical="center"/>
    </xf>
    <xf numFmtId="175" fontId="2" fillId="0" borderId="23" xfId="0" applyNumberFormat="1" applyFont="1" applyBorder="1" applyAlignment="1">
      <alignment horizontal="center" vertical="center"/>
    </xf>
  </cellXfs>
  <cellStyles count="3">
    <cellStyle name="Lien hypertexte" xfId="1" builtinId="8"/>
    <cellStyle name="Normal" xfId="0" builtinId="0"/>
    <cellStyle name="Normal 2" xfId="2" xr:uid="{00000000-0005-0000-0000-000002000000}"/>
  </cellStyles>
  <dxfs count="54">
    <dxf>
      <font>
        <color theme="0"/>
      </font>
    </dxf>
    <dxf>
      <font>
        <color theme="0"/>
      </font>
    </dxf>
    <dxf>
      <font>
        <color theme="0"/>
      </font>
    </dxf>
    <dxf>
      <fill>
        <patternFill patternType="solid">
          <fgColor indexed="42"/>
          <bgColor rgb="FFFFFFCC"/>
        </patternFill>
      </fill>
    </dxf>
    <dxf>
      <fill>
        <patternFill patternType="solid">
          <fgColor indexed="31"/>
          <bgColor indexed="22"/>
        </patternFill>
      </fill>
    </dxf>
    <dxf>
      <fill>
        <patternFill patternType="solid">
          <fgColor indexed="27"/>
          <bgColor rgb="FFFFCCFF"/>
        </patternFill>
      </fill>
    </dxf>
    <dxf>
      <font>
        <color rgb="FFFF0000"/>
      </font>
    </dxf>
    <dxf>
      <font>
        <color rgb="FF808080"/>
      </font>
    </dxf>
    <dxf>
      <fill>
        <patternFill>
          <bgColor indexed="10"/>
        </patternFill>
      </fill>
    </dxf>
    <dxf>
      <fill>
        <patternFill patternType="solid">
          <fgColor indexed="53"/>
          <bgColor rgb="FFFF0000"/>
        </patternFill>
      </fill>
    </dxf>
    <dxf>
      <fill>
        <patternFill patternType="solid">
          <fgColor indexed="60"/>
          <bgColor indexed="10"/>
        </patternFill>
      </fill>
    </dxf>
    <dxf>
      <fill>
        <patternFill>
          <bgColor rgb="FFFF0000"/>
        </patternFill>
      </fill>
    </dxf>
    <dxf>
      <font>
        <color rgb="FFCCFFFF"/>
      </font>
    </dxf>
    <dxf>
      <font>
        <color rgb="FFCC6600"/>
      </font>
    </dxf>
    <dxf>
      <font>
        <color rgb="FFCC6600"/>
      </font>
    </dxf>
    <dxf>
      <fill>
        <patternFill>
          <bgColor rgb="FFFF0000"/>
        </patternFill>
      </fill>
    </dxf>
    <dxf>
      <font>
        <color theme="0"/>
      </font>
      <fill>
        <patternFill patternType="none">
          <bgColor indexed="65"/>
        </patternFill>
      </fill>
      <border>
        <left/>
        <right/>
        <top/>
        <bottom/>
      </border>
    </dxf>
    <dxf>
      <font>
        <color theme="0"/>
      </font>
      <fill>
        <patternFill patternType="none">
          <bgColor indexed="65"/>
        </patternFill>
      </fill>
      <border>
        <left/>
        <right/>
        <bottom/>
      </border>
    </dxf>
    <dxf>
      <font>
        <color rgb="FF99CCFF"/>
      </font>
    </dxf>
    <dxf>
      <fill>
        <patternFill>
          <bgColor indexed="10"/>
        </patternFill>
      </fill>
    </dxf>
    <dxf>
      <font>
        <color theme="0"/>
      </font>
      <fill>
        <patternFill>
          <bgColor theme="0"/>
        </patternFill>
      </fill>
      <border>
        <right/>
        <top/>
        <bottom/>
      </border>
    </dxf>
    <dxf>
      <font>
        <color indexed="9"/>
      </font>
      <fill>
        <patternFill patternType="solid">
          <bgColor indexed="9"/>
        </patternFill>
      </fill>
      <border>
        <left/>
        <right/>
        <top/>
        <bottom/>
      </border>
    </dxf>
    <dxf>
      <font>
        <color theme="0"/>
      </font>
      <fill>
        <patternFill>
          <bgColor theme="0"/>
        </patternFill>
      </fill>
      <border>
        <left/>
        <right/>
        <top/>
        <bottom/>
      </border>
    </dxf>
    <dxf>
      <font>
        <color theme="0"/>
      </font>
      <fill>
        <patternFill patternType="solid">
          <bgColor theme="0"/>
        </patternFill>
      </fill>
      <border>
        <right/>
        <bottom/>
      </border>
    </dxf>
    <dxf>
      <fill>
        <patternFill patternType="solid">
          <fgColor indexed="60"/>
          <bgColor indexed="10"/>
        </patternFill>
      </fill>
    </dxf>
    <dxf>
      <font>
        <color rgb="FFFFFF99"/>
        <name val="Cambria"/>
        <scheme val="none"/>
      </font>
    </dxf>
    <dxf>
      <font>
        <color rgb="FF808080"/>
      </font>
    </dxf>
    <dxf>
      <font>
        <color theme="0"/>
      </font>
      <fill>
        <patternFill>
          <bgColor theme="0"/>
        </patternFill>
      </fill>
      <border>
        <left/>
        <right/>
        <bottom/>
      </border>
    </dxf>
    <dxf>
      <font>
        <color rgb="FFFF0000"/>
      </font>
    </dxf>
    <dxf>
      <font>
        <color indexed="9"/>
      </font>
      <fill>
        <patternFill>
          <bgColor indexed="9"/>
        </patternFill>
      </fill>
      <border>
        <left/>
        <right/>
        <top/>
        <bottom/>
      </border>
    </dxf>
    <dxf>
      <font>
        <condense val="0"/>
        <extend val="0"/>
        <color indexed="9"/>
      </font>
      <fill>
        <patternFill patternType="none">
          <bgColor indexed="65"/>
        </patternFill>
      </fill>
      <border>
        <left/>
        <right/>
        <top/>
        <bottom/>
      </border>
    </dxf>
    <dxf>
      <font>
        <condense val="0"/>
        <extend val="0"/>
        <color indexed="9"/>
      </font>
      <fill>
        <patternFill patternType="none">
          <bgColor indexed="65"/>
        </patternFill>
      </fill>
      <border>
        <left/>
        <right/>
        <top/>
        <bottom/>
      </border>
    </dxf>
    <dxf>
      <font>
        <color theme="0"/>
      </font>
    </dxf>
    <dxf>
      <font>
        <color rgb="FFFF0000"/>
      </font>
    </dxf>
    <dxf>
      <font>
        <color rgb="FFFF0000"/>
      </font>
    </dxf>
    <dxf>
      <font>
        <color rgb="FFFF0000"/>
      </font>
    </dxf>
    <dxf>
      <font>
        <condense val="0"/>
        <extend val="0"/>
        <color indexed="11"/>
      </font>
    </dxf>
    <dxf>
      <font>
        <color rgb="FFFF0000"/>
      </font>
    </dxf>
    <dxf>
      <font>
        <color rgb="FFFF0000"/>
      </font>
    </dxf>
    <dxf>
      <font>
        <color rgb="FFFF0000"/>
      </font>
    </dxf>
    <dxf>
      <font>
        <color rgb="FFFF0000"/>
      </font>
    </dxf>
    <dxf>
      <font>
        <color theme="1"/>
      </font>
    </dxf>
    <dxf>
      <font>
        <color rgb="FFFFFF99"/>
      </font>
    </dxf>
    <dxf>
      <font>
        <color rgb="FFCC6600"/>
      </font>
    </dxf>
    <dxf>
      <font>
        <color rgb="FFCC6600"/>
      </font>
    </dxf>
    <dxf>
      <font>
        <color rgb="FFCC6600"/>
      </font>
    </dxf>
    <dxf>
      <font>
        <color rgb="FFCC6600"/>
      </font>
    </dxf>
    <dxf>
      <font>
        <color rgb="FFCC6600"/>
      </font>
    </dxf>
    <dxf>
      <font>
        <color theme="1"/>
      </font>
    </dxf>
    <dxf>
      <font>
        <color rgb="FFCC6600"/>
      </font>
    </dxf>
    <dxf>
      <font>
        <color rgb="FFCC6600"/>
      </font>
    </dxf>
    <dxf>
      <font>
        <color rgb="FFFF0000"/>
      </font>
    </dxf>
    <dxf>
      <font>
        <color rgb="FFCC6600"/>
      </font>
    </dxf>
    <dxf>
      <font>
        <color theme="0"/>
      </font>
      <fill>
        <patternFill patternType="none">
          <bgColor indexed="65"/>
        </patternFill>
      </fill>
      <border>
        <left/>
        <right/>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3CAFF"/>
      <rgbColor rgb="00993366"/>
      <rgbColor rgb="00E6E6E6"/>
      <rgbColor rgb="00CCFFFF"/>
      <rgbColor rgb="00660066"/>
      <rgbColor rgb="00FF8080"/>
      <rgbColor rgb="000066CC"/>
      <rgbColor rgb="00CCCCCC"/>
      <rgbColor rgb="00000080"/>
      <rgbColor rgb="00FF00FF"/>
      <rgbColor rgb="00FFFF00"/>
      <rgbColor rgb="0000FFFF"/>
      <rgbColor rgb="00800080"/>
      <rgbColor rgb="00800000"/>
      <rgbColor rgb="00008080"/>
      <rgbColor rgb="000000FF"/>
      <rgbColor rgb="0000CCFF"/>
      <rgbColor rgb="00D9D9D9"/>
      <rgbColor rgb="00CCFFCC"/>
      <rgbColor rgb="00FFFF99"/>
      <rgbColor rgb="0099CCFF"/>
      <rgbColor rgb="00FF99CC"/>
      <rgbColor rgb="00CC99FF"/>
      <rgbColor rgb="00FFCC99"/>
      <rgbColor rgb="003366FF"/>
      <rgbColor rgb="0033CCCC"/>
      <rgbColor rgb="0099CC00"/>
      <rgbColor rgb="00FFD320"/>
      <rgbColor rgb="00FF9900"/>
      <rgbColor rgb="00FF6600"/>
      <rgbColor rgb="00666699"/>
      <rgbColor rgb="00B3B3B3"/>
      <rgbColor rgb="0000458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70566137003713E-2"/>
          <c:y val="6.4690026954178192E-2"/>
          <c:w val="0.84871001627006748"/>
          <c:h val="0.90566037735849303"/>
        </c:manualLayout>
      </c:layout>
      <c:scatterChart>
        <c:scatterStyle val="lineMarker"/>
        <c:varyColors val="0"/>
        <c:ser>
          <c:idx val="0"/>
          <c:order val="0"/>
          <c:tx>
            <c:v>fuselage</c:v>
          </c:tx>
          <c:spPr>
            <a:ln w="25400">
              <a:solidFill>
                <a:srgbClr val="000080"/>
              </a:solidFill>
              <a:prstDash val="solid"/>
            </a:ln>
          </c:spPr>
          <c:marker>
            <c:symbol val="none"/>
          </c:marker>
          <c:xVal>
            <c:numRef>
              <c:f>Stabilito!$D$124:$D$131</c:f>
              <c:numCache>
                <c:formatCode>0</c:formatCode>
                <c:ptCount val="8"/>
                <c:pt idx="0">
                  <c:v>0</c:v>
                </c:pt>
                <c:pt idx="1">
                  <c:v>42</c:v>
                </c:pt>
                <c:pt idx="2">
                  <c:v>42</c:v>
                </c:pt>
                <c:pt idx="3">
                  <c:v>42</c:v>
                </c:pt>
                <c:pt idx="4">
                  <c:v>42</c:v>
                </c:pt>
                <c:pt idx="5">
                  <c:v>42</c:v>
                </c:pt>
                <c:pt idx="6">
                  <c:v>42</c:v>
                </c:pt>
                <c:pt idx="7">
                  <c:v>0</c:v>
                </c:pt>
              </c:numCache>
            </c:numRef>
          </c:xVal>
          <c:yVal>
            <c:numRef>
              <c:f>Stabilito!$C$124:$C$131</c:f>
              <c:numCache>
                <c:formatCode>0</c:formatCode>
                <c:ptCount val="8"/>
                <c:pt idx="0">
                  <c:v>-252</c:v>
                </c:pt>
                <c:pt idx="1">
                  <c:v>-252</c:v>
                </c:pt>
                <c:pt idx="2">
                  <c:v>-252</c:v>
                </c:pt>
                <c:pt idx="3">
                  <c:v>-252</c:v>
                </c:pt>
                <c:pt idx="4">
                  <c:v>-252</c:v>
                </c:pt>
                <c:pt idx="5">
                  <c:v>-252</c:v>
                </c:pt>
                <c:pt idx="6">
                  <c:v>-992</c:v>
                </c:pt>
                <c:pt idx="7">
                  <c:v>-992</c:v>
                </c:pt>
              </c:numCache>
            </c:numRef>
          </c:yVal>
          <c:smooth val="0"/>
          <c:extLst>
            <c:ext xmlns:c16="http://schemas.microsoft.com/office/drawing/2014/chart" uri="{C3380CC4-5D6E-409C-BE32-E72D297353CC}">
              <c16:uniqueId val="{00000000-F091-4909-B7A3-EF83D77F839F}"/>
            </c:ext>
          </c:extLst>
        </c:ser>
        <c:ser>
          <c:idx val="1"/>
          <c:order val="1"/>
          <c:tx>
            <c:v>aileron</c:v>
          </c:tx>
          <c:spPr>
            <a:ln w="25400">
              <a:solidFill>
                <a:srgbClr val="00FF00"/>
              </a:solidFill>
              <a:prstDash val="solid"/>
            </a:ln>
          </c:spPr>
          <c:marker>
            <c:symbol val="none"/>
          </c:marker>
          <c:xVal>
            <c:numRef>
              <c:f>Stabilito!$D$132:$D$136</c:f>
              <c:numCache>
                <c:formatCode>0</c:formatCode>
                <c:ptCount val="5"/>
                <c:pt idx="0">
                  <c:v>42</c:v>
                </c:pt>
                <c:pt idx="1">
                  <c:v>149</c:v>
                </c:pt>
                <c:pt idx="2">
                  <c:v>149</c:v>
                </c:pt>
                <c:pt idx="3">
                  <c:v>42</c:v>
                </c:pt>
                <c:pt idx="4">
                  <c:v>42</c:v>
                </c:pt>
              </c:numCache>
            </c:numRef>
          </c:xVal>
          <c:yVal>
            <c:numRef>
              <c:f>Stabilito!$C$132:$C$136</c:f>
              <c:numCache>
                <c:formatCode>0</c:formatCode>
                <c:ptCount val="5"/>
                <c:pt idx="0">
                  <c:v>-772</c:v>
                </c:pt>
                <c:pt idx="1">
                  <c:v>-892</c:v>
                </c:pt>
                <c:pt idx="2">
                  <c:v>-972</c:v>
                </c:pt>
                <c:pt idx="3">
                  <c:v>-942</c:v>
                </c:pt>
                <c:pt idx="4">
                  <c:v>-772</c:v>
                </c:pt>
              </c:numCache>
            </c:numRef>
          </c:yVal>
          <c:smooth val="0"/>
          <c:extLst>
            <c:ext xmlns:c16="http://schemas.microsoft.com/office/drawing/2014/chart" uri="{C3380CC4-5D6E-409C-BE32-E72D297353CC}">
              <c16:uniqueId val="{00000001-F091-4909-B7A3-EF83D77F839F}"/>
            </c:ext>
          </c:extLst>
        </c:ser>
        <c:ser>
          <c:idx val="2"/>
          <c:order val="2"/>
          <c:tx>
            <c:v>fuselage2</c:v>
          </c:tx>
          <c:spPr>
            <a:ln w="25400">
              <a:solidFill>
                <a:srgbClr val="000080"/>
              </a:solidFill>
              <a:prstDash val="solid"/>
            </a:ln>
          </c:spPr>
          <c:marker>
            <c:symbol val="none"/>
          </c:marker>
          <c:xVal>
            <c:numRef>
              <c:f>Stabilito!$E$124:$E$131</c:f>
              <c:numCache>
                <c:formatCode>0</c:formatCode>
                <c:ptCount val="8"/>
                <c:pt idx="0">
                  <c:v>0</c:v>
                </c:pt>
                <c:pt idx="1">
                  <c:v>-42</c:v>
                </c:pt>
                <c:pt idx="2">
                  <c:v>-42</c:v>
                </c:pt>
                <c:pt idx="3">
                  <c:v>-42</c:v>
                </c:pt>
                <c:pt idx="4">
                  <c:v>-42</c:v>
                </c:pt>
                <c:pt idx="5">
                  <c:v>-42</c:v>
                </c:pt>
                <c:pt idx="6">
                  <c:v>-42</c:v>
                </c:pt>
                <c:pt idx="7">
                  <c:v>0</c:v>
                </c:pt>
              </c:numCache>
            </c:numRef>
          </c:xVal>
          <c:yVal>
            <c:numRef>
              <c:f>Stabilito!$C$124:$C$131</c:f>
              <c:numCache>
                <c:formatCode>0</c:formatCode>
                <c:ptCount val="8"/>
                <c:pt idx="0">
                  <c:v>-252</c:v>
                </c:pt>
                <c:pt idx="1">
                  <c:v>-252</c:v>
                </c:pt>
                <c:pt idx="2">
                  <c:v>-252</c:v>
                </c:pt>
                <c:pt idx="3">
                  <c:v>-252</c:v>
                </c:pt>
                <c:pt idx="4">
                  <c:v>-252</c:v>
                </c:pt>
                <c:pt idx="5">
                  <c:v>-252</c:v>
                </c:pt>
                <c:pt idx="6">
                  <c:v>-992</c:v>
                </c:pt>
                <c:pt idx="7">
                  <c:v>-992</c:v>
                </c:pt>
              </c:numCache>
            </c:numRef>
          </c:yVal>
          <c:smooth val="0"/>
          <c:extLst>
            <c:ext xmlns:c16="http://schemas.microsoft.com/office/drawing/2014/chart" uri="{C3380CC4-5D6E-409C-BE32-E72D297353CC}">
              <c16:uniqueId val="{00000002-F091-4909-B7A3-EF83D77F839F}"/>
            </c:ext>
          </c:extLst>
        </c:ser>
        <c:ser>
          <c:idx val="3"/>
          <c:order val="3"/>
          <c:tx>
            <c:v>aileron2</c:v>
          </c:tx>
          <c:spPr>
            <a:ln w="25400">
              <a:solidFill>
                <a:srgbClr val="00FF00"/>
              </a:solidFill>
              <a:prstDash val="solid"/>
            </a:ln>
          </c:spPr>
          <c:marker>
            <c:symbol val="none"/>
          </c:marker>
          <c:xVal>
            <c:numRef>
              <c:f>Stabilito!$E$132:$E$136</c:f>
              <c:numCache>
                <c:formatCode>0</c:formatCode>
                <c:ptCount val="5"/>
                <c:pt idx="0">
                  <c:v>-42</c:v>
                </c:pt>
                <c:pt idx="1">
                  <c:v>-149</c:v>
                </c:pt>
                <c:pt idx="2">
                  <c:v>-149</c:v>
                </c:pt>
                <c:pt idx="3">
                  <c:v>-42</c:v>
                </c:pt>
                <c:pt idx="4">
                  <c:v>-42</c:v>
                </c:pt>
              </c:numCache>
            </c:numRef>
          </c:xVal>
          <c:yVal>
            <c:numRef>
              <c:f>Stabilito!$C$132:$C$136</c:f>
              <c:numCache>
                <c:formatCode>0</c:formatCode>
                <c:ptCount val="5"/>
                <c:pt idx="0">
                  <c:v>-772</c:v>
                </c:pt>
                <c:pt idx="1">
                  <c:v>-892</c:v>
                </c:pt>
                <c:pt idx="2">
                  <c:v>-972</c:v>
                </c:pt>
                <c:pt idx="3">
                  <c:v>-942</c:v>
                </c:pt>
                <c:pt idx="4">
                  <c:v>-772</c:v>
                </c:pt>
              </c:numCache>
            </c:numRef>
          </c:yVal>
          <c:smooth val="0"/>
          <c:extLst>
            <c:ext xmlns:c16="http://schemas.microsoft.com/office/drawing/2014/chart" uri="{C3380CC4-5D6E-409C-BE32-E72D297353CC}">
              <c16:uniqueId val="{00000003-F091-4909-B7A3-EF83D77F839F}"/>
            </c:ext>
          </c:extLst>
        </c:ser>
        <c:ser>
          <c:idx val="4"/>
          <c:order val="4"/>
          <c:tx>
            <c:strRef>
              <c:f>Stabilito!$B$13</c:f>
              <c:strCache>
                <c:ptCount val="1"/>
                <c:pt idx="0">
                  <c:v>Centre de Masse</c:v>
                </c:pt>
              </c:strCache>
            </c:strRef>
          </c:tx>
          <c:spPr>
            <a:ln w="25400">
              <a:solidFill>
                <a:srgbClr val="0000FF"/>
              </a:solidFill>
              <a:prstDash val="solid"/>
            </a:ln>
          </c:spPr>
          <c:marker>
            <c:symbol val="circle"/>
            <c:size val="5"/>
            <c:spPr>
              <a:solidFill>
                <a:srgbClr val="0000FF"/>
              </a:solidFill>
              <a:ln w="9525">
                <a:noFill/>
              </a:ln>
            </c:spPr>
          </c:marker>
          <c:dLbls>
            <c:dLbl>
              <c:idx val="1"/>
              <c:spPr>
                <a:noFill/>
                <a:ln w="25400">
                  <a:noFill/>
                </a:ln>
              </c:spPr>
              <c:txPr>
                <a:bodyPr/>
                <a:lstStyle/>
                <a:p>
                  <a:pPr>
                    <a:defRPr sz="800" b="0" i="0" u="none" strike="noStrike" baseline="0">
                      <a:solidFill>
                        <a:srgbClr val="0000FF"/>
                      </a:solidFill>
                      <a:latin typeface="Arial"/>
                      <a:ea typeface="Arial"/>
                      <a:cs typeface="Arial"/>
                    </a:defRPr>
                  </a:pPr>
                  <a:endParaRPr lang="fr-FR"/>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Stabilito!$D$149:$D$150</c:f>
              <c:numCache>
                <c:formatCode>0</c:formatCode>
                <c:ptCount val="2"/>
                <c:pt idx="0">
                  <c:v>0</c:v>
                </c:pt>
                <c:pt idx="1">
                  <c:v>0</c:v>
                </c:pt>
              </c:numCache>
            </c:numRef>
          </c:xVal>
          <c:yVal>
            <c:numRef>
              <c:f>Stabilito!$C$149:$C$150</c:f>
              <c:numCache>
                <c:formatCode>0</c:formatCode>
                <c:ptCount val="2"/>
                <c:pt idx="0">
                  <c:v>-528.01595314246072</c:v>
                </c:pt>
                <c:pt idx="1">
                  <c:v>-528</c:v>
                </c:pt>
              </c:numCache>
            </c:numRef>
          </c:yVal>
          <c:smooth val="0"/>
          <c:extLst>
            <c:ext xmlns:c16="http://schemas.microsoft.com/office/drawing/2014/chart" uri="{C3380CC4-5D6E-409C-BE32-E72D297353CC}">
              <c16:uniqueId val="{00000005-F091-4909-B7A3-EF83D77F839F}"/>
            </c:ext>
          </c:extLst>
        </c:ser>
        <c:ser>
          <c:idx val="5"/>
          <c:order val="5"/>
          <c:tx>
            <c:strRef>
              <c:f>Stabilito!$F$28</c:f>
              <c:strCache>
                <c:ptCount val="1"/>
                <c:pt idx="0">
                  <c:v>Portance</c:v>
                </c:pt>
              </c:strCache>
            </c:strRef>
          </c:tx>
          <c:spPr>
            <a:ln w="25400">
              <a:solidFill>
                <a:srgbClr val="800000"/>
              </a:solidFill>
              <a:prstDash val="solid"/>
            </a:ln>
          </c:spPr>
          <c:marker>
            <c:symbol val="diamond"/>
            <c:size val="5"/>
            <c:spPr>
              <a:solidFill>
                <a:srgbClr val="800000"/>
              </a:solidFill>
              <a:ln>
                <a:solidFill>
                  <a:srgbClr val="800000"/>
                </a:solidFill>
                <a:prstDash val="solid"/>
              </a:ln>
            </c:spPr>
          </c:marker>
          <c:dLbls>
            <c:dLbl>
              <c:idx val="1"/>
              <c:spPr>
                <a:noFill/>
                <a:ln w="25400">
                  <a:noFill/>
                </a:ln>
              </c:spPr>
              <c:txPr>
                <a:bodyPr/>
                <a:lstStyle/>
                <a:p>
                  <a:pPr>
                    <a:defRPr sz="800" b="0" i="0" u="none" strike="noStrike" baseline="0">
                      <a:solidFill>
                        <a:srgbClr val="800000"/>
                      </a:solidFill>
                      <a:latin typeface="Arial"/>
                      <a:ea typeface="Arial"/>
                      <a:cs typeface="Arial"/>
                    </a:defRPr>
                  </a:pPr>
                  <a:endParaRPr lang="fr-FR"/>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6-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Stabilito!$D$151:$D$154</c:f>
              <c:numCache>
                <c:formatCode>0</c:formatCode>
                <c:ptCount val="4"/>
                <c:pt idx="0">
                  <c:v>0</c:v>
                </c:pt>
                <c:pt idx="1">
                  <c:v>87.372101895940062</c:v>
                </c:pt>
                <c:pt idx="2">
                  <c:v>87.372101895940062</c:v>
                </c:pt>
                <c:pt idx="3">
                  <c:v>0</c:v>
                </c:pt>
              </c:numCache>
            </c:numRef>
          </c:xVal>
          <c:yVal>
            <c:numRef>
              <c:f>Stabilito!$C$151:$C$154</c:f>
              <c:numCache>
                <c:formatCode>0</c:formatCode>
                <c:ptCount val="4"/>
                <c:pt idx="0">
                  <c:v>-769.02762675440692</c:v>
                </c:pt>
                <c:pt idx="1">
                  <c:v>-769.02762675440692</c:v>
                </c:pt>
                <c:pt idx="2">
                  <c:v>-769.02762675440692</c:v>
                </c:pt>
                <c:pt idx="3">
                  <c:v>-769.02762675440692</c:v>
                </c:pt>
              </c:numCache>
            </c:numRef>
          </c:yVal>
          <c:smooth val="0"/>
          <c:extLst>
            <c:ext xmlns:c16="http://schemas.microsoft.com/office/drawing/2014/chart" uri="{C3380CC4-5D6E-409C-BE32-E72D297353CC}">
              <c16:uniqueId val="{00000007-F091-4909-B7A3-EF83D77F839F}"/>
            </c:ext>
          </c:extLst>
        </c:ser>
        <c:ser>
          <c:idx val="6"/>
          <c:order val="6"/>
          <c:tx>
            <c:v>canard</c:v>
          </c:tx>
          <c:spPr>
            <a:ln w="25400">
              <a:solidFill>
                <a:srgbClr val="008000"/>
              </a:solidFill>
              <a:prstDash val="solid"/>
            </a:ln>
          </c:spPr>
          <c:marker>
            <c:symbol val="none"/>
          </c:marker>
          <c:xVal>
            <c:numRef>
              <c:f>Stabilito!$D$158:$D$162</c:f>
              <c:numCache>
                <c:formatCode>0</c:formatCode>
                <c:ptCount val="5"/>
                <c:pt idx="0">
                  <c:v>0</c:v>
                </c:pt>
                <c:pt idx="1">
                  <c:v>0</c:v>
                </c:pt>
                <c:pt idx="2">
                  <c:v>0</c:v>
                </c:pt>
                <c:pt idx="3">
                  <c:v>0</c:v>
                </c:pt>
                <c:pt idx="4">
                  <c:v>0</c:v>
                </c:pt>
              </c:numCache>
            </c:numRef>
          </c:xVal>
          <c:yVal>
            <c:numRef>
              <c:f>Stabilito!$C$158:$C$162</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8-F091-4909-B7A3-EF83D77F839F}"/>
            </c:ext>
          </c:extLst>
        </c:ser>
        <c:ser>
          <c:idx val="7"/>
          <c:order val="7"/>
          <c:tx>
            <c:v>canard2</c:v>
          </c:tx>
          <c:spPr>
            <a:ln w="25400">
              <a:solidFill>
                <a:srgbClr val="008000"/>
              </a:solidFill>
              <a:prstDash val="solid"/>
            </a:ln>
          </c:spPr>
          <c:marker>
            <c:symbol val="none"/>
          </c:marker>
          <c:xVal>
            <c:numRef>
              <c:f>Stabilito!$E$158:$E$162</c:f>
              <c:numCache>
                <c:formatCode>0</c:formatCode>
                <c:ptCount val="5"/>
                <c:pt idx="0">
                  <c:v>0</c:v>
                </c:pt>
                <c:pt idx="1">
                  <c:v>0</c:v>
                </c:pt>
                <c:pt idx="2">
                  <c:v>0</c:v>
                </c:pt>
                <c:pt idx="3">
                  <c:v>0</c:v>
                </c:pt>
                <c:pt idx="4">
                  <c:v>0</c:v>
                </c:pt>
              </c:numCache>
            </c:numRef>
          </c:xVal>
          <c:yVal>
            <c:numRef>
              <c:f>Stabilito!$C$158:$C$162</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9-F091-4909-B7A3-EF83D77F839F}"/>
            </c:ext>
          </c:extLst>
        </c:ser>
        <c:ser>
          <c:idx val="8"/>
          <c:order val="8"/>
          <c:tx>
            <c:v>masquage</c:v>
          </c:tx>
          <c:spPr>
            <a:ln w="25400">
              <a:solidFill>
                <a:srgbClr val="FF0000"/>
              </a:solidFill>
              <a:prstDash val="sysDash"/>
            </a:ln>
          </c:spPr>
          <c:marker>
            <c:symbol val="none"/>
          </c:marker>
          <c:xVal>
            <c:numRef>
              <c:f>Stabilito!$D$163:$D$167</c:f>
              <c:numCache>
                <c:formatCode>0</c:formatCode>
                <c:ptCount val="5"/>
                <c:pt idx="0">
                  <c:v>0</c:v>
                </c:pt>
                <c:pt idx="1">
                  <c:v>0</c:v>
                </c:pt>
                <c:pt idx="2">
                  <c:v>0</c:v>
                </c:pt>
                <c:pt idx="3">
                  <c:v>0</c:v>
                </c:pt>
                <c:pt idx="4">
                  <c:v>0</c:v>
                </c:pt>
              </c:numCache>
            </c:numRef>
          </c:xVal>
          <c:yVal>
            <c:numRef>
              <c:f>Stabilito!$C$163:$C$167</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A-F091-4909-B7A3-EF83D77F839F}"/>
            </c:ext>
          </c:extLst>
        </c:ser>
        <c:ser>
          <c:idx val="9"/>
          <c:order val="9"/>
          <c:tx>
            <c:v>masquage2</c:v>
          </c:tx>
          <c:spPr>
            <a:ln w="25400">
              <a:solidFill>
                <a:srgbClr val="FF0000"/>
              </a:solidFill>
              <a:prstDash val="sysDash"/>
            </a:ln>
          </c:spPr>
          <c:marker>
            <c:symbol val="none"/>
          </c:marker>
          <c:xVal>
            <c:numRef>
              <c:f>Stabilito!$E$163:$E$167</c:f>
              <c:numCache>
                <c:formatCode>0</c:formatCode>
                <c:ptCount val="5"/>
                <c:pt idx="0">
                  <c:v>0</c:v>
                </c:pt>
                <c:pt idx="1">
                  <c:v>0</c:v>
                </c:pt>
                <c:pt idx="2">
                  <c:v>0</c:v>
                </c:pt>
                <c:pt idx="3">
                  <c:v>0</c:v>
                </c:pt>
                <c:pt idx="4">
                  <c:v>0</c:v>
                </c:pt>
              </c:numCache>
            </c:numRef>
          </c:xVal>
          <c:yVal>
            <c:numRef>
              <c:f>Stabilito!$C$163:$C$167</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B-F091-4909-B7A3-EF83D77F839F}"/>
            </c:ext>
          </c:extLst>
        </c:ser>
        <c:ser>
          <c:idx val="10"/>
          <c:order val="10"/>
          <c:tx>
            <c:v>cadre</c:v>
          </c:tx>
          <c:spPr>
            <a:ln w="12700">
              <a:solidFill>
                <a:srgbClr val="FFFFFF"/>
              </a:solidFill>
              <a:prstDash val="solid"/>
            </a:ln>
          </c:spPr>
          <c:marker>
            <c:symbol val="none"/>
          </c:marker>
          <c:xVal>
            <c:numRef>
              <c:f>Stabilito!$D$168:$D$169</c:f>
              <c:numCache>
                <c:formatCode>0</c:formatCode>
                <c:ptCount val="2"/>
                <c:pt idx="0">
                  <c:v>330.66666666666669</c:v>
                </c:pt>
                <c:pt idx="1">
                  <c:v>-330.66666666666669</c:v>
                </c:pt>
              </c:numCache>
            </c:numRef>
          </c:xVal>
          <c:yVal>
            <c:numRef>
              <c:f>Stabilito!$C$168:$C$169</c:f>
              <c:numCache>
                <c:formatCode>0</c:formatCode>
                <c:ptCount val="2"/>
                <c:pt idx="0">
                  <c:v>-1001.92</c:v>
                </c:pt>
                <c:pt idx="1">
                  <c:v>-1001.92</c:v>
                </c:pt>
              </c:numCache>
            </c:numRef>
          </c:yVal>
          <c:smooth val="0"/>
          <c:extLst>
            <c:ext xmlns:c16="http://schemas.microsoft.com/office/drawing/2014/chart" uri="{C3380CC4-5D6E-409C-BE32-E72D297353CC}">
              <c16:uniqueId val="{0000000C-F091-4909-B7A3-EF83D77F839F}"/>
            </c:ext>
          </c:extLst>
        </c:ser>
        <c:ser>
          <c:idx val="11"/>
          <c:order val="11"/>
          <c:tx>
            <c:v>Propu</c:v>
          </c:tx>
          <c:spPr>
            <a:ln w="25400">
              <a:solidFill>
                <a:srgbClr val="FF00FF"/>
              </a:solidFill>
              <a:prstDash val="solid"/>
            </a:ln>
          </c:spPr>
          <c:marker>
            <c:symbol val="none"/>
          </c:marker>
          <c:xVal>
            <c:numRef>
              <c:f>Stabilito!$D$170:$D$174</c:f>
              <c:numCache>
                <c:formatCode>0</c:formatCode>
                <c:ptCount val="5"/>
                <c:pt idx="0">
                  <c:v>0</c:v>
                </c:pt>
                <c:pt idx="1">
                  <c:v>0</c:v>
                </c:pt>
                <c:pt idx="2">
                  <c:v>0</c:v>
                </c:pt>
                <c:pt idx="3">
                  <c:v>0</c:v>
                </c:pt>
                <c:pt idx="4">
                  <c:v>0</c:v>
                </c:pt>
              </c:numCache>
            </c:numRef>
          </c:xVal>
          <c:yVal>
            <c:numRef>
              <c:f>Stabilito!$C$170:$C$174</c:f>
              <c:numCache>
                <c:formatCode>0</c:formatCode>
                <c:ptCount val="5"/>
                <c:pt idx="0">
                  <c:v>-942</c:v>
                </c:pt>
                <c:pt idx="1">
                  <c:v>-942</c:v>
                </c:pt>
                <c:pt idx="2">
                  <c:v>-942</c:v>
                </c:pt>
                <c:pt idx="3">
                  <c:v>-942</c:v>
                </c:pt>
                <c:pt idx="4">
                  <c:v>-942</c:v>
                </c:pt>
              </c:numCache>
            </c:numRef>
          </c:yVal>
          <c:smooth val="0"/>
          <c:extLst>
            <c:ext xmlns:c16="http://schemas.microsoft.com/office/drawing/2014/chart" uri="{C3380CC4-5D6E-409C-BE32-E72D297353CC}">
              <c16:uniqueId val="{0000000D-F091-4909-B7A3-EF83D77F839F}"/>
            </c:ext>
          </c:extLst>
        </c:ser>
        <c:ser>
          <c:idx val="12"/>
          <c:order val="12"/>
          <c:tx>
            <c:v>Cone</c:v>
          </c:tx>
          <c:spPr>
            <a:ln w="25400">
              <a:solidFill>
                <a:srgbClr val="800080"/>
              </a:solidFill>
              <a:prstDash val="solid"/>
            </a:ln>
          </c:spPr>
          <c:marker>
            <c:symbol val="none"/>
          </c:marker>
          <c:xVal>
            <c:numRef>
              <c:f>Stabilito!$D$175:$D$180</c:f>
              <c:numCache>
                <c:formatCode>0</c:formatCode>
                <c:ptCount val="6"/>
                <c:pt idx="0">
                  <c:v>0</c:v>
                </c:pt>
                <c:pt idx="1">
                  <c:v>4.2</c:v>
                </c:pt>
                <c:pt idx="2">
                  <c:v>10.5</c:v>
                </c:pt>
                <c:pt idx="3">
                  <c:v>21</c:v>
                </c:pt>
                <c:pt idx="4">
                  <c:v>31.5</c:v>
                </c:pt>
                <c:pt idx="5">
                  <c:v>42</c:v>
                </c:pt>
              </c:numCache>
            </c:numRef>
          </c:xVal>
          <c:yVal>
            <c:numRef>
              <c:f>Stabilito!$C$175:$C$180</c:f>
              <c:numCache>
                <c:formatCode>0</c:formatCode>
                <c:ptCount val="6"/>
                <c:pt idx="0">
                  <c:v>0</c:v>
                </c:pt>
                <c:pt idx="1">
                  <c:v>-25.200000000000003</c:v>
                </c:pt>
                <c:pt idx="2">
                  <c:v>-63</c:v>
                </c:pt>
                <c:pt idx="3">
                  <c:v>-126</c:v>
                </c:pt>
                <c:pt idx="4">
                  <c:v>-189</c:v>
                </c:pt>
                <c:pt idx="5">
                  <c:v>-252</c:v>
                </c:pt>
              </c:numCache>
            </c:numRef>
          </c:yVal>
          <c:smooth val="0"/>
          <c:extLst>
            <c:ext xmlns:c16="http://schemas.microsoft.com/office/drawing/2014/chart" uri="{C3380CC4-5D6E-409C-BE32-E72D297353CC}">
              <c16:uniqueId val="{0000000E-F091-4909-B7A3-EF83D77F839F}"/>
            </c:ext>
          </c:extLst>
        </c:ser>
        <c:ser>
          <c:idx val="13"/>
          <c:order val="13"/>
          <c:tx>
            <c:v>Cone1</c:v>
          </c:tx>
          <c:spPr>
            <a:ln w="25400">
              <a:solidFill>
                <a:srgbClr val="800080"/>
              </a:solidFill>
              <a:prstDash val="solid"/>
            </a:ln>
          </c:spPr>
          <c:marker>
            <c:symbol val="none"/>
          </c:marker>
          <c:xVal>
            <c:numRef>
              <c:f>Stabilito!$E$175:$E$180</c:f>
              <c:numCache>
                <c:formatCode>0</c:formatCode>
                <c:ptCount val="6"/>
                <c:pt idx="0">
                  <c:v>0</c:v>
                </c:pt>
                <c:pt idx="1">
                  <c:v>-4.2</c:v>
                </c:pt>
                <c:pt idx="2">
                  <c:v>-10.5</c:v>
                </c:pt>
                <c:pt idx="3">
                  <c:v>-21</c:v>
                </c:pt>
                <c:pt idx="4">
                  <c:v>-31.5</c:v>
                </c:pt>
                <c:pt idx="5">
                  <c:v>-42</c:v>
                </c:pt>
              </c:numCache>
            </c:numRef>
          </c:xVal>
          <c:yVal>
            <c:numRef>
              <c:f>Stabilito!$C$175:$C$180</c:f>
              <c:numCache>
                <c:formatCode>0</c:formatCode>
                <c:ptCount val="6"/>
                <c:pt idx="0">
                  <c:v>0</c:v>
                </c:pt>
                <c:pt idx="1">
                  <c:v>-25.200000000000003</c:v>
                </c:pt>
                <c:pt idx="2">
                  <c:v>-63</c:v>
                </c:pt>
                <c:pt idx="3">
                  <c:v>-126</c:v>
                </c:pt>
                <c:pt idx="4">
                  <c:v>-189</c:v>
                </c:pt>
                <c:pt idx="5">
                  <c:v>-252</c:v>
                </c:pt>
              </c:numCache>
            </c:numRef>
          </c:yVal>
          <c:smooth val="0"/>
          <c:extLst>
            <c:ext xmlns:c16="http://schemas.microsoft.com/office/drawing/2014/chart" uri="{C3380CC4-5D6E-409C-BE32-E72D297353CC}">
              <c16:uniqueId val="{0000000F-F091-4909-B7A3-EF83D77F839F}"/>
            </c:ext>
          </c:extLst>
        </c:ser>
        <c:ser>
          <c:idx val="14"/>
          <c:order val="14"/>
          <c:tx>
            <c:strRef>
              <c:f>Stabilito!$B$137</c:f>
              <c:strCache>
                <c:ptCount val="1"/>
                <c:pt idx="0">
                  <c:v>Envergure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b"/>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0-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Stabilito!$D$137:$D$139</c:f>
              <c:numCache>
                <c:formatCode>0</c:formatCode>
                <c:ptCount val="3"/>
                <c:pt idx="0">
                  <c:v>-149</c:v>
                </c:pt>
                <c:pt idx="1">
                  <c:v>-95.5</c:v>
                </c:pt>
                <c:pt idx="2">
                  <c:v>-42</c:v>
                </c:pt>
              </c:numCache>
            </c:numRef>
          </c:xVal>
          <c:yVal>
            <c:numRef>
              <c:f>Stabilito!$C$137:$C$139</c:f>
              <c:numCache>
                <c:formatCode>0</c:formatCode>
                <c:ptCount val="3"/>
                <c:pt idx="0">
                  <c:v>-1005.0666666666667</c:v>
                </c:pt>
                <c:pt idx="1">
                  <c:v>-1005.0666666666667</c:v>
                </c:pt>
                <c:pt idx="2">
                  <c:v>-1005.0666666666667</c:v>
                </c:pt>
              </c:numCache>
            </c:numRef>
          </c:yVal>
          <c:smooth val="0"/>
          <c:extLst>
            <c:ext xmlns:c16="http://schemas.microsoft.com/office/drawing/2014/chart" uri="{C3380CC4-5D6E-409C-BE32-E72D297353CC}">
              <c16:uniqueId val="{00000011-F091-4909-B7A3-EF83D77F839F}"/>
            </c:ext>
          </c:extLst>
        </c:ser>
        <c:ser>
          <c:idx val="15"/>
          <c:order val="15"/>
          <c:tx>
            <c:strRef>
              <c:f>Stabilito!$B$143</c:f>
              <c:strCache>
                <c:ptCount val="1"/>
                <c:pt idx="0">
                  <c:v>Flèche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2-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Stabilito!$D$143:$D$145</c:f>
              <c:numCache>
                <c:formatCode>0</c:formatCode>
                <c:ptCount val="3"/>
                <c:pt idx="0">
                  <c:v>-182.06666666666666</c:v>
                </c:pt>
                <c:pt idx="1">
                  <c:v>-182.06666666666666</c:v>
                </c:pt>
                <c:pt idx="2">
                  <c:v>-182.06666666666666</c:v>
                </c:pt>
              </c:numCache>
            </c:numRef>
          </c:xVal>
          <c:yVal>
            <c:numRef>
              <c:f>Stabilito!$C$143:$C$145</c:f>
              <c:numCache>
                <c:formatCode>0</c:formatCode>
                <c:ptCount val="3"/>
                <c:pt idx="0">
                  <c:v>-772</c:v>
                </c:pt>
                <c:pt idx="1">
                  <c:v>-832</c:v>
                </c:pt>
                <c:pt idx="2">
                  <c:v>-892</c:v>
                </c:pt>
              </c:numCache>
            </c:numRef>
          </c:yVal>
          <c:smooth val="0"/>
          <c:extLst>
            <c:ext xmlns:c16="http://schemas.microsoft.com/office/drawing/2014/chart" uri="{C3380CC4-5D6E-409C-BE32-E72D297353CC}">
              <c16:uniqueId val="{00000013-F091-4909-B7A3-EF83D77F839F}"/>
            </c:ext>
          </c:extLst>
        </c:ser>
        <c:ser>
          <c:idx val="16"/>
          <c:order val="16"/>
          <c:tx>
            <c:strRef>
              <c:f>Stabilito!$B$146</c:f>
              <c:strCache>
                <c:ptCount val="1"/>
                <c:pt idx="0">
                  <c:v>Saumon</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4-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Stabilito!$D$146:$D$148</c:f>
              <c:numCache>
                <c:formatCode>0</c:formatCode>
                <c:ptCount val="3"/>
                <c:pt idx="0">
                  <c:v>-198.6</c:v>
                </c:pt>
                <c:pt idx="1">
                  <c:v>-198.6</c:v>
                </c:pt>
                <c:pt idx="2">
                  <c:v>-198.6</c:v>
                </c:pt>
              </c:numCache>
            </c:numRef>
          </c:xVal>
          <c:yVal>
            <c:numRef>
              <c:f>Stabilito!$C$146:$C$148</c:f>
              <c:numCache>
                <c:formatCode>0</c:formatCode>
                <c:ptCount val="3"/>
                <c:pt idx="0">
                  <c:v>-892</c:v>
                </c:pt>
                <c:pt idx="1">
                  <c:v>-932</c:v>
                </c:pt>
                <c:pt idx="2">
                  <c:v>-972</c:v>
                </c:pt>
              </c:numCache>
            </c:numRef>
          </c:yVal>
          <c:smooth val="0"/>
          <c:extLst>
            <c:ext xmlns:c16="http://schemas.microsoft.com/office/drawing/2014/chart" uri="{C3380CC4-5D6E-409C-BE32-E72D297353CC}">
              <c16:uniqueId val="{00000015-F091-4909-B7A3-EF83D77F839F}"/>
            </c:ext>
          </c:extLst>
        </c:ser>
        <c:ser>
          <c:idx val="17"/>
          <c:order val="17"/>
          <c:tx>
            <c:strRef>
              <c:f>Stabilito!$B$140</c:f>
              <c:strCache>
                <c:ptCount val="1"/>
                <c:pt idx="0">
                  <c:v>Emplanture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6-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Stabilito!$D$140:$D$142</c:f>
              <c:numCache>
                <c:formatCode>0</c:formatCode>
                <c:ptCount val="3"/>
                <c:pt idx="0">
                  <c:v>198.6</c:v>
                </c:pt>
                <c:pt idx="1">
                  <c:v>198.6</c:v>
                </c:pt>
                <c:pt idx="2">
                  <c:v>198.6</c:v>
                </c:pt>
              </c:numCache>
            </c:numRef>
          </c:xVal>
          <c:yVal>
            <c:numRef>
              <c:f>Stabilito!$C$140:$C$142</c:f>
              <c:numCache>
                <c:formatCode>0</c:formatCode>
                <c:ptCount val="3"/>
                <c:pt idx="0">
                  <c:v>-772</c:v>
                </c:pt>
                <c:pt idx="1">
                  <c:v>-857</c:v>
                </c:pt>
                <c:pt idx="2">
                  <c:v>-942</c:v>
                </c:pt>
              </c:numCache>
            </c:numRef>
          </c:yVal>
          <c:smooth val="0"/>
          <c:extLst>
            <c:ext xmlns:c16="http://schemas.microsoft.com/office/drawing/2014/chart" uri="{C3380CC4-5D6E-409C-BE32-E72D297353CC}">
              <c16:uniqueId val="{00000017-F091-4909-B7A3-EF83D77F839F}"/>
            </c:ext>
          </c:extLst>
        </c:ser>
        <c:ser>
          <c:idx val="18"/>
          <c:order val="18"/>
          <c:tx>
            <c:strRef>
              <c:f>Stabilito!$B$155</c:f>
              <c:strCache>
                <c:ptCount val="1"/>
                <c:pt idx="0">
                  <c:v>Marge Statique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8-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Stabilito!$D$155:$D$157</c:f>
              <c:numCache>
                <c:formatCode>0</c:formatCode>
                <c:ptCount val="3"/>
                <c:pt idx="0">
                  <c:v>-198.6</c:v>
                </c:pt>
                <c:pt idx="1">
                  <c:v>-198.6</c:v>
                </c:pt>
                <c:pt idx="2">
                  <c:v>-198.6</c:v>
                </c:pt>
              </c:numCache>
            </c:numRef>
          </c:xVal>
          <c:yVal>
            <c:numRef>
              <c:f>Stabilito!$C$155:$C$157</c:f>
              <c:numCache>
                <c:formatCode>0</c:formatCode>
                <c:ptCount val="3"/>
                <c:pt idx="0">
                  <c:v>-528.0079765712303</c:v>
                </c:pt>
                <c:pt idx="1">
                  <c:v>-648.51780166281856</c:v>
                </c:pt>
                <c:pt idx="2">
                  <c:v>-769.02762675440692</c:v>
                </c:pt>
              </c:numCache>
            </c:numRef>
          </c:yVal>
          <c:smooth val="0"/>
          <c:extLst>
            <c:ext xmlns:c16="http://schemas.microsoft.com/office/drawing/2014/chart" uri="{C3380CC4-5D6E-409C-BE32-E72D297353CC}">
              <c16:uniqueId val="{00000019-F091-4909-B7A3-EF83D77F839F}"/>
            </c:ext>
          </c:extLst>
        </c:ser>
        <c:dLbls>
          <c:showLegendKey val="0"/>
          <c:showVal val="0"/>
          <c:showCatName val="0"/>
          <c:showSerName val="0"/>
          <c:showPercent val="0"/>
          <c:showBubbleSize val="0"/>
        </c:dLbls>
        <c:axId val="148707200"/>
        <c:axId val="148708736"/>
      </c:scatterChart>
      <c:valAx>
        <c:axId val="148707200"/>
        <c:scaling>
          <c:orientation val="minMax"/>
        </c:scaling>
        <c:delete val="0"/>
        <c:axPos val="t"/>
        <c:numFmt formatCode="0" sourceLinked="1"/>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fr-FR"/>
          </a:p>
        </c:txPr>
        <c:crossAx val="148708736"/>
        <c:crosses val="max"/>
        <c:crossBetween val="midCat"/>
      </c:valAx>
      <c:valAx>
        <c:axId val="148708736"/>
        <c:scaling>
          <c:orientation val="minMax"/>
        </c:scaling>
        <c:delete val="0"/>
        <c:axPos val="r"/>
        <c:numFmt formatCode="0" sourceLinked="1"/>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fr-FR"/>
          </a:p>
        </c:txPr>
        <c:crossAx val="148707200"/>
        <c:crosses val="max"/>
        <c:crossBetween val="midCat"/>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475"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49212598450000095" footer="0.49212598450000095"/>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Abaco!$B$77</c:f>
          <c:strCache>
            <c:ptCount val="1"/>
            <c:pt idx="0">
              <c:v>Vitesse max / Masse totale</c:v>
            </c:pt>
          </c:strCache>
        </c:strRef>
      </c:tx>
      <c:layout>
        <c:manualLayout>
          <c:xMode val="edge"/>
          <c:yMode val="edge"/>
          <c:x val="0.32580555555555563"/>
          <c:y val="3.2407484861159096E-2"/>
        </c:manualLayout>
      </c:layout>
      <c:overlay val="1"/>
      <c:txPr>
        <a:bodyPr/>
        <a:lstStyle/>
        <a:p>
          <a:pPr>
            <a:defRPr sz="1800" b="1"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0.13612729658792738"/>
          <c:y val="5.1400554097404488E-2"/>
          <c:w val="0.81367125984251965"/>
          <c:h val="0.8326195683872849"/>
        </c:manualLayout>
      </c:layout>
      <c:scatterChart>
        <c:scatterStyle val="lineMarker"/>
        <c:varyColors val="0"/>
        <c:ser>
          <c:idx val="0"/>
          <c:order val="0"/>
          <c:tx>
            <c:strRef>
              <c:f>Abaco!$B$43</c:f>
              <c:strCache>
                <c:ptCount val="1"/>
                <c:pt idx="0">
                  <c:v>Ø = 42 mm</c:v>
                </c:pt>
              </c:strCache>
            </c:strRef>
          </c:tx>
          <c:xVal>
            <c:numRef>
              <c:f>Abaco!$D$43:$D$51</c:f>
              <c:numCache>
                <c:formatCode>General\ "kg"</c:formatCode>
                <c:ptCount val="9"/>
                <c:pt idx="0">
                  <c:v>1E-4</c:v>
                </c:pt>
                <c:pt idx="1">
                  <c:v>0.64885000000000004</c:v>
                </c:pt>
                <c:pt idx="2">
                  <c:v>1.2976000000000001</c:v>
                </c:pt>
                <c:pt idx="3">
                  <c:v>1.94635</c:v>
                </c:pt>
                <c:pt idx="4">
                  <c:v>2.5951000000000004</c:v>
                </c:pt>
                <c:pt idx="5">
                  <c:v>3.2438500000000006</c:v>
                </c:pt>
                <c:pt idx="6">
                  <c:v>3.8926000000000003</c:v>
                </c:pt>
                <c:pt idx="7">
                  <c:v>4.5413500000000004</c:v>
                </c:pt>
                <c:pt idx="8">
                  <c:v>5.1901000000000002</c:v>
                </c:pt>
              </c:numCache>
            </c:numRef>
          </c:xVal>
          <c:yVal>
            <c:numRef>
              <c:f>Abaco!$K$43:$K$51</c:f>
              <c:numCache>
                <c:formatCode>General" m/s"</c:formatCode>
                <c:ptCount val="9"/>
                <c:pt idx="0">
                  <c:v>1.0003435820197859</c:v>
                </c:pt>
                <c:pt idx="1">
                  <c:v>0</c:v>
                </c:pt>
                <c:pt idx="2">
                  <c:v>0</c:v>
                </c:pt>
                <c:pt idx="3">
                  <c:v>0</c:v>
                </c:pt>
                <c:pt idx="4">
                  <c:v>0</c:v>
                </c:pt>
                <c:pt idx="5">
                  <c:v>0</c:v>
                </c:pt>
                <c:pt idx="6">
                  <c:v>0</c:v>
                </c:pt>
                <c:pt idx="7">
                  <c:v>0</c:v>
                </c:pt>
                <c:pt idx="8">
                  <c:v>0</c:v>
                </c:pt>
              </c:numCache>
            </c:numRef>
          </c:yVal>
          <c:smooth val="0"/>
          <c:extLst>
            <c:ext xmlns:c16="http://schemas.microsoft.com/office/drawing/2014/chart" uri="{C3380CC4-5D6E-409C-BE32-E72D297353CC}">
              <c16:uniqueId val="{00000000-8857-4FF4-B70E-166DFD57E3E3}"/>
            </c:ext>
          </c:extLst>
        </c:ser>
        <c:ser>
          <c:idx val="1"/>
          <c:order val="1"/>
          <c:tx>
            <c:strRef>
              <c:f>Abaco!$B$52</c:f>
              <c:strCache>
                <c:ptCount val="1"/>
                <c:pt idx="0">
                  <c:v>Ø = 84 mm</c:v>
                </c:pt>
              </c:strCache>
            </c:strRef>
          </c:tx>
          <c:xVal>
            <c:numRef>
              <c:f>Abaco!$D$52:$D$60</c:f>
              <c:numCache>
                <c:formatCode>General\ "kg"</c:formatCode>
                <c:ptCount val="9"/>
                <c:pt idx="0">
                  <c:v>1E-4</c:v>
                </c:pt>
                <c:pt idx="1">
                  <c:v>0.64885000000000004</c:v>
                </c:pt>
                <c:pt idx="2">
                  <c:v>1.2976000000000001</c:v>
                </c:pt>
                <c:pt idx="3">
                  <c:v>1.94635</c:v>
                </c:pt>
                <c:pt idx="4">
                  <c:v>2.5951000000000004</c:v>
                </c:pt>
                <c:pt idx="5">
                  <c:v>3.2438500000000006</c:v>
                </c:pt>
                <c:pt idx="6">
                  <c:v>3.8926000000000003</c:v>
                </c:pt>
                <c:pt idx="7">
                  <c:v>4.5413500000000004</c:v>
                </c:pt>
                <c:pt idx="8">
                  <c:v>5.1901000000000002</c:v>
                </c:pt>
              </c:numCache>
            </c:numRef>
          </c:xVal>
          <c:yVal>
            <c:numRef>
              <c:f>Abaco!$K$52:$K$60</c:f>
              <c:numCache>
                <c:formatCode>General" m/s"</c:formatCode>
                <c:ptCount val="9"/>
                <c:pt idx="0">
                  <c:v>0.50017179242982535</c:v>
                </c:pt>
                <c:pt idx="1">
                  <c:v>0</c:v>
                </c:pt>
                <c:pt idx="2">
                  <c:v>0</c:v>
                </c:pt>
                <c:pt idx="3">
                  <c:v>0</c:v>
                </c:pt>
                <c:pt idx="4">
                  <c:v>0</c:v>
                </c:pt>
                <c:pt idx="5">
                  <c:v>0</c:v>
                </c:pt>
                <c:pt idx="6">
                  <c:v>0</c:v>
                </c:pt>
                <c:pt idx="7">
                  <c:v>0</c:v>
                </c:pt>
                <c:pt idx="8">
                  <c:v>0</c:v>
                </c:pt>
              </c:numCache>
            </c:numRef>
          </c:yVal>
          <c:smooth val="0"/>
          <c:extLst>
            <c:ext xmlns:c16="http://schemas.microsoft.com/office/drawing/2014/chart" uri="{C3380CC4-5D6E-409C-BE32-E72D297353CC}">
              <c16:uniqueId val="{00000001-8857-4FF4-B70E-166DFD57E3E3}"/>
            </c:ext>
          </c:extLst>
        </c:ser>
        <c:ser>
          <c:idx val="2"/>
          <c:order val="2"/>
          <c:tx>
            <c:strRef>
              <c:f>Abaco!$B$61</c:f>
              <c:strCache>
                <c:ptCount val="1"/>
                <c:pt idx="0">
                  <c:v>Ø = 126 mm</c:v>
                </c:pt>
              </c:strCache>
            </c:strRef>
          </c:tx>
          <c:xVal>
            <c:numRef>
              <c:f>Abaco!$D$61:$D$69</c:f>
              <c:numCache>
                <c:formatCode>General\ "kg"</c:formatCode>
                <c:ptCount val="9"/>
                <c:pt idx="0">
                  <c:v>1E-4</c:v>
                </c:pt>
                <c:pt idx="1">
                  <c:v>0.64885000000000004</c:v>
                </c:pt>
                <c:pt idx="2">
                  <c:v>1.2976000000000001</c:v>
                </c:pt>
                <c:pt idx="3">
                  <c:v>1.94635</c:v>
                </c:pt>
                <c:pt idx="4">
                  <c:v>2.5951000000000004</c:v>
                </c:pt>
                <c:pt idx="5">
                  <c:v>3.2438500000000006</c:v>
                </c:pt>
                <c:pt idx="6">
                  <c:v>3.8926000000000003</c:v>
                </c:pt>
                <c:pt idx="7">
                  <c:v>4.5413500000000004</c:v>
                </c:pt>
                <c:pt idx="8">
                  <c:v>5.1901000000000002</c:v>
                </c:pt>
              </c:numCache>
            </c:numRef>
          </c:xVal>
          <c:yVal>
            <c:numRef>
              <c:f>Abaco!$K$61:$K$69</c:f>
              <c:numCache>
                <c:formatCode>General" m/s"</c:formatCode>
                <c:ptCount val="9"/>
                <c:pt idx="0">
                  <c:v>0.33344786161988355</c:v>
                </c:pt>
                <c:pt idx="1">
                  <c:v>0</c:v>
                </c:pt>
                <c:pt idx="2">
                  <c:v>0</c:v>
                </c:pt>
                <c:pt idx="3">
                  <c:v>0</c:v>
                </c:pt>
                <c:pt idx="4">
                  <c:v>0</c:v>
                </c:pt>
                <c:pt idx="5">
                  <c:v>0</c:v>
                </c:pt>
                <c:pt idx="6">
                  <c:v>0</c:v>
                </c:pt>
                <c:pt idx="7">
                  <c:v>0</c:v>
                </c:pt>
                <c:pt idx="8">
                  <c:v>0</c:v>
                </c:pt>
              </c:numCache>
            </c:numRef>
          </c:yVal>
          <c:smooth val="0"/>
          <c:extLst>
            <c:ext xmlns:c16="http://schemas.microsoft.com/office/drawing/2014/chart" uri="{C3380CC4-5D6E-409C-BE32-E72D297353CC}">
              <c16:uniqueId val="{00000002-8857-4FF4-B70E-166DFD57E3E3}"/>
            </c:ext>
          </c:extLst>
        </c:ser>
        <c:dLbls>
          <c:showLegendKey val="0"/>
          <c:showVal val="0"/>
          <c:showCatName val="0"/>
          <c:showSerName val="0"/>
          <c:showPercent val="0"/>
          <c:showBubbleSize val="0"/>
        </c:dLbls>
        <c:axId val="193467904"/>
        <c:axId val="193469824"/>
      </c:scatterChart>
      <c:valAx>
        <c:axId val="193467904"/>
        <c:scaling>
          <c:orientation val="minMax"/>
        </c:scaling>
        <c:delete val="0"/>
        <c:axPos val="b"/>
        <c:majorGridlines/>
        <c:title>
          <c:tx>
            <c:strRef>
              <c:f>Abaco!$B$75</c:f>
              <c:strCache>
                <c:ptCount val="1"/>
                <c:pt idx="0">
                  <c:v>Masse totale</c:v>
                </c:pt>
              </c:strCache>
            </c:strRef>
          </c:tx>
          <c:layout>
            <c:manualLayout>
              <c:xMode val="edge"/>
              <c:yMode val="edge"/>
              <c:x val="0.25133792650918629"/>
              <c:y val="0.80923605680929611"/>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 &quot;kg&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469824"/>
        <c:crosses val="autoZero"/>
        <c:crossBetween val="midCat"/>
      </c:valAx>
      <c:valAx>
        <c:axId val="193469824"/>
        <c:scaling>
          <c:orientation val="minMax"/>
        </c:scaling>
        <c:delete val="0"/>
        <c:axPos val="l"/>
        <c:majorGridlines/>
        <c:title>
          <c:tx>
            <c:strRef>
              <c:f>Abaco!$B$76</c:f>
              <c:strCache>
                <c:ptCount val="1"/>
                <c:pt idx="0">
                  <c:v>Vitesse max</c:v>
                </c:pt>
              </c:strCache>
            </c:strRef>
          </c:tx>
          <c:layout>
            <c:manualLayout>
              <c:xMode val="edge"/>
              <c:yMode val="edge"/>
              <c:x val="0.14166666666666666"/>
              <c:y val="5.803422378207343E-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quot; m/s&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467904"/>
        <c:crosses val="autoZero"/>
        <c:crossBetween val="midCat"/>
      </c:valAx>
    </c:plotArea>
    <c:legend>
      <c:legendPos val="r"/>
      <c:layout>
        <c:manualLayout>
          <c:xMode val="edge"/>
          <c:yMode val="edge"/>
          <c:x val="0.71944466316710431"/>
          <c:y val="0.18706733829172051"/>
          <c:w val="0.20833333333333343"/>
          <c:h val="0.24711352766816386"/>
        </c:manualLayout>
      </c:layout>
      <c:overlay val="0"/>
      <c:spPr>
        <a:solidFill>
          <a:schemeClr val="bg1"/>
        </a:solidFill>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 l="0.70000000000000062" r="0.70000000000000062" t="0.750000000000002"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Abaco!$B$79</c:f>
          <c:strCache>
            <c:ptCount val="1"/>
            <c:pt idx="0">
              <c:v>Altitude max / Masse totale</c:v>
            </c:pt>
          </c:strCache>
        </c:strRef>
      </c:tx>
      <c:layout>
        <c:manualLayout>
          <c:xMode val="edge"/>
          <c:yMode val="edge"/>
          <c:x val="0.32580555555555563"/>
          <c:y val="3.2407517456544362E-2"/>
        </c:manualLayout>
      </c:layout>
      <c:overlay val="1"/>
      <c:txPr>
        <a:bodyPr/>
        <a:lstStyle/>
        <a:p>
          <a:pPr>
            <a:defRPr sz="1800" b="1"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0.13612729658792738"/>
          <c:y val="5.1400554097404488E-2"/>
          <c:w val="0.81367125984251965"/>
          <c:h val="0.8326195683872849"/>
        </c:manualLayout>
      </c:layout>
      <c:scatterChart>
        <c:scatterStyle val="lineMarker"/>
        <c:varyColors val="0"/>
        <c:ser>
          <c:idx val="0"/>
          <c:order val="0"/>
          <c:tx>
            <c:strRef>
              <c:f>Abaco!$B$43</c:f>
              <c:strCache>
                <c:ptCount val="1"/>
                <c:pt idx="0">
                  <c:v>Ø = 42 mm</c:v>
                </c:pt>
              </c:strCache>
            </c:strRef>
          </c:tx>
          <c:xVal>
            <c:numRef>
              <c:f>Abaco!$D$43:$D$51</c:f>
              <c:numCache>
                <c:formatCode>General\ "kg"</c:formatCode>
                <c:ptCount val="9"/>
                <c:pt idx="0">
                  <c:v>1E-4</c:v>
                </c:pt>
                <c:pt idx="1">
                  <c:v>0.64885000000000004</c:v>
                </c:pt>
                <c:pt idx="2">
                  <c:v>1.2976000000000001</c:v>
                </c:pt>
                <c:pt idx="3">
                  <c:v>1.94635</c:v>
                </c:pt>
                <c:pt idx="4">
                  <c:v>2.5951000000000004</c:v>
                </c:pt>
                <c:pt idx="5">
                  <c:v>3.2438500000000006</c:v>
                </c:pt>
                <c:pt idx="6">
                  <c:v>3.8926000000000003</c:v>
                </c:pt>
                <c:pt idx="7">
                  <c:v>4.5413500000000004</c:v>
                </c:pt>
                <c:pt idx="8">
                  <c:v>5.1901000000000002</c:v>
                </c:pt>
              </c:numCache>
            </c:numRef>
          </c:xVal>
          <c:yVal>
            <c:numRef>
              <c:f>Abaco!$L$43:$L$51</c:f>
              <c:numCache>
                <c:formatCode>General" m"</c:formatCode>
                <c:ptCount val="9"/>
                <c:pt idx="0">
                  <c:v>0</c:v>
                </c:pt>
                <c:pt idx="1">
                  <c:v>0</c:v>
                </c:pt>
                <c:pt idx="2">
                  <c:v>0</c:v>
                </c:pt>
                <c:pt idx="3">
                  <c:v>0</c:v>
                </c:pt>
                <c:pt idx="4">
                  <c:v>0</c:v>
                </c:pt>
                <c:pt idx="5">
                  <c:v>0</c:v>
                </c:pt>
                <c:pt idx="6">
                  <c:v>0</c:v>
                </c:pt>
                <c:pt idx="7">
                  <c:v>0</c:v>
                </c:pt>
                <c:pt idx="8">
                  <c:v>0</c:v>
                </c:pt>
              </c:numCache>
            </c:numRef>
          </c:yVal>
          <c:smooth val="0"/>
          <c:extLst>
            <c:ext xmlns:c16="http://schemas.microsoft.com/office/drawing/2014/chart" uri="{C3380CC4-5D6E-409C-BE32-E72D297353CC}">
              <c16:uniqueId val="{00000000-7047-4687-B7C4-0BB054548F22}"/>
            </c:ext>
          </c:extLst>
        </c:ser>
        <c:ser>
          <c:idx val="1"/>
          <c:order val="1"/>
          <c:tx>
            <c:strRef>
              <c:f>Abaco!$B$52</c:f>
              <c:strCache>
                <c:ptCount val="1"/>
                <c:pt idx="0">
                  <c:v>Ø = 84 mm</c:v>
                </c:pt>
              </c:strCache>
            </c:strRef>
          </c:tx>
          <c:xVal>
            <c:numRef>
              <c:f>Abaco!$D$52:$D$60</c:f>
              <c:numCache>
                <c:formatCode>General\ "kg"</c:formatCode>
                <c:ptCount val="9"/>
                <c:pt idx="0">
                  <c:v>1E-4</c:v>
                </c:pt>
                <c:pt idx="1">
                  <c:v>0.64885000000000004</c:v>
                </c:pt>
                <c:pt idx="2">
                  <c:v>1.2976000000000001</c:v>
                </c:pt>
                <c:pt idx="3">
                  <c:v>1.94635</c:v>
                </c:pt>
                <c:pt idx="4">
                  <c:v>2.5951000000000004</c:v>
                </c:pt>
                <c:pt idx="5">
                  <c:v>3.2438500000000006</c:v>
                </c:pt>
                <c:pt idx="6">
                  <c:v>3.8926000000000003</c:v>
                </c:pt>
                <c:pt idx="7">
                  <c:v>4.5413500000000004</c:v>
                </c:pt>
                <c:pt idx="8">
                  <c:v>5.1901000000000002</c:v>
                </c:pt>
              </c:numCache>
            </c:numRef>
          </c:xVal>
          <c:yVal>
            <c:numRef>
              <c:f>Abaco!$L$52:$L$60</c:f>
              <c:numCache>
                <c:formatCode>General" m"</c:formatCode>
                <c:ptCount val="9"/>
                <c:pt idx="0">
                  <c:v>0</c:v>
                </c:pt>
                <c:pt idx="1">
                  <c:v>0</c:v>
                </c:pt>
                <c:pt idx="2">
                  <c:v>0</c:v>
                </c:pt>
                <c:pt idx="3">
                  <c:v>0</c:v>
                </c:pt>
                <c:pt idx="4">
                  <c:v>0</c:v>
                </c:pt>
                <c:pt idx="5">
                  <c:v>0</c:v>
                </c:pt>
                <c:pt idx="6">
                  <c:v>0</c:v>
                </c:pt>
                <c:pt idx="7">
                  <c:v>0</c:v>
                </c:pt>
                <c:pt idx="8">
                  <c:v>0</c:v>
                </c:pt>
              </c:numCache>
            </c:numRef>
          </c:yVal>
          <c:smooth val="0"/>
          <c:extLst>
            <c:ext xmlns:c16="http://schemas.microsoft.com/office/drawing/2014/chart" uri="{C3380CC4-5D6E-409C-BE32-E72D297353CC}">
              <c16:uniqueId val="{00000001-7047-4687-B7C4-0BB054548F22}"/>
            </c:ext>
          </c:extLst>
        </c:ser>
        <c:ser>
          <c:idx val="2"/>
          <c:order val="2"/>
          <c:tx>
            <c:strRef>
              <c:f>Abaco!$B$61</c:f>
              <c:strCache>
                <c:ptCount val="1"/>
                <c:pt idx="0">
                  <c:v>Ø = 126 mm</c:v>
                </c:pt>
              </c:strCache>
            </c:strRef>
          </c:tx>
          <c:xVal>
            <c:numRef>
              <c:f>Abaco!$D$61:$D$69</c:f>
              <c:numCache>
                <c:formatCode>General\ "kg"</c:formatCode>
                <c:ptCount val="9"/>
                <c:pt idx="0">
                  <c:v>1E-4</c:v>
                </c:pt>
                <c:pt idx="1">
                  <c:v>0.64885000000000004</c:v>
                </c:pt>
                <c:pt idx="2">
                  <c:v>1.2976000000000001</c:v>
                </c:pt>
                <c:pt idx="3">
                  <c:v>1.94635</c:v>
                </c:pt>
                <c:pt idx="4">
                  <c:v>2.5951000000000004</c:v>
                </c:pt>
                <c:pt idx="5">
                  <c:v>3.2438500000000006</c:v>
                </c:pt>
                <c:pt idx="6">
                  <c:v>3.8926000000000003</c:v>
                </c:pt>
                <c:pt idx="7">
                  <c:v>4.5413500000000004</c:v>
                </c:pt>
                <c:pt idx="8">
                  <c:v>5.1901000000000002</c:v>
                </c:pt>
              </c:numCache>
            </c:numRef>
          </c:xVal>
          <c:yVal>
            <c:numRef>
              <c:f>Abaco!$L$61:$L$69</c:f>
              <c:numCache>
                <c:formatCode>General" m"</c:formatCode>
                <c:ptCount val="9"/>
                <c:pt idx="0">
                  <c:v>0</c:v>
                </c:pt>
                <c:pt idx="1">
                  <c:v>0</c:v>
                </c:pt>
                <c:pt idx="2">
                  <c:v>0</c:v>
                </c:pt>
                <c:pt idx="3">
                  <c:v>0</c:v>
                </c:pt>
                <c:pt idx="4">
                  <c:v>0</c:v>
                </c:pt>
                <c:pt idx="5">
                  <c:v>0</c:v>
                </c:pt>
                <c:pt idx="6">
                  <c:v>0</c:v>
                </c:pt>
                <c:pt idx="7">
                  <c:v>0</c:v>
                </c:pt>
                <c:pt idx="8">
                  <c:v>0</c:v>
                </c:pt>
              </c:numCache>
            </c:numRef>
          </c:yVal>
          <c:smooth val="0"/>
          <c:extLst>
            <c:ext xmlns:c16="http://schemas.microsoft.com/office/drawing/2014/chart" uri="{C3380CC4-5D6E-409C-BE32-E72D297353CC}">
              <c16:uniqueId val="{00000002-7047-4687-B7C4-0BB054548F22}"/>
            </c:ext>
          </c:extLst>
        </c:ser>
        <c:dLbls>
          <c:showLegendKey val="0"/>
          <c:showVal val="0"/>
          <c:showCatName val="0"/>
          <c:showSerName val="0"/>
          <c:showPercent val="0"/>
          <c:showBubbleSize val="0"/>
        </c:dLbls>
        <c:axId val="193512576"/>
        <c:axId val="193514496"/>
      </c:scatterChart>
      <c:valAx>
        <c:axId val="193512576"/>
        <c:scaling>
          <c:orientation val="minMax"/>
        </c:scaling>
        <c:delete val="0"/>
        <c:axPos val="b"/>
        <c:majorGridlines/>
        <c:title>
          <c:tx>
            <c:strRef>
              <c:f>Abaco!$B$75</c:f>
              <c:strCache>
                <c:ptCount val="1"/>
                <c:pt idx="0">
                  <c:v>Masse totale</c:v>
                </c:pt>
              </c:strCache>
            </c:strRef>
          </c:tx>
          <c:layout>
            <c:manualLayout>
              <c:xMode val="edge"/>
              <c:yMode val="edge"/>
              <c:x val="0.25133792650918629"/>
              <c:y val="0.8092359976229385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 &quot;kg&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514496"/>
        <c:crosses val="autoZero"/>
        <c:crossBetween val="midCat"/>
      </c:valAx>
      <c:valAx>
        <c:axId val="193514496"/>
        <c:scaling>
          <c:orientation val="minMax"/>
        </c:scaling>
        <c:delete val="0"/>
        <c:axPos val="l"/>
        <c:majorGridlines/>
        <c:title>
          <c:tx>
            <c:strRef>
              <c:f>Abaco!$B$78</c:f>
              <c:strCache>
                <c:ptCount val="1"/>
                <c:pt idx="0">
                  <c:v>Altitude max</c:v>
                </c:pt>
              </c:strCache>
            </c:strRef>
          </c:tx>
          <c:layout>
            <c:manualLayout>
              <c:xMode val="edge"/>
              <c:yMode val="edge"/>
              <c:x val="0.14166666666666666"/>
              <c:y val="5.8034467389689502E-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quot; m&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512576"/>
        <c:crosses val="autoZero"/>
        <c:crossBetween val="midCat"/>
      </c:valAx>
    </c:plotArea>
    <c:legend>
      <c:legendPos val="r"/>
      <c:layout>
        <c:manualLayout>
          <c:xMode val="edge"/>
          <c:yMode val="edge"/>
          <c:x val="0.71944466316710431"/>
          <c:y val="0.18396263556678061"/>
          <c:w val="0.20833333333333343"/>
          <c:h val="0.25235886198187502"/>
        </c:manualLayout>
      </c:layout>
      <c:overlay val="0"/>
      <c:spPr>
        <a:solidFill>
          <a:schemeClr val="bg1"/>
        </a:solidFill>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 l="0.70000000000000062" r="0.70000000000000062" t="0.750000000000002"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Abaco!$B$81</c:f>
          <c:strCache>
            <c:ptCount val="1"/>
            <c:pt idx="0">
              <c:v>Temps de culmination / Masse totale</c:v>
            </c:pt>
          </c:strCache>
        </c:strRef>
      </c:tx>
      <c:layout>
        <c:manualLayout>
          <c:xMode val="edge"/>
          <c:yMode val="edge"/>
          <c:x val="0.18369438576275529"/>
          <c:y val="3.2407517456544362E-2"/>
        </c:manualLayout>
      </c:layout>
      <c:overlay val="1"/>
      <c:txPr>
        <a:bodyPr/>
        <a:lstStyle/>
        <a:p>
          <a:pPr>
            <a:defRPr sz="1800" b="1"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0.13612729658792738"/>
          <c:y val="5.1400554097404488E-2"/>
          <c:w val="0.81367125984251965"/>
          <c:h val="0.8326195683872849"/>
        </c:manualLayout>
      </c:layout>
      <c:scatterChart>
        <c:scatterStyle val="lineMarker"/>
        <c:varyColors val="0"/>
        <c:ser>
          <c:idx val="0"/>
          <c:order val="0"/>
          <c:tx>
            <c:strRef>
              <c:f>Abaco!$B$43</c:f>
              <c:strCache>
                <c:ptCount val="1"/>
                <c:pt idx="0">
                  <c:v>Ø = 42 mm</c:v>
                </c:pt>
              </c:strCache>
            </c:strRef>
          </c:tx>
          <c:xVal>
            <c:numRef>
              <c:f>Abaco!$D$43:$D$51</c:f>
              <c:numCache>
                <c:formatCode>General\ "kg"</c:formatCode>
                <c:ptCount val="9"/>
                <c:pt idx="0">
                  <c:v>1E-4</c:v>
                </c:pt>
                <c:pt idx="1">
                  <c:v>0.64885000000000004</c:v>
                </c:pt>
                <c:pt idx="2">
                  <c:v>1.2976000000000001</c:v>
                </c:pt>
                <c:pt idx="3">
                  <c:v>1.94635</c:v>
                </c:pt>
                <c:pt idx="4">
                  <c:v>2.5951000000000004</c:v>
                </c:pt>
                <c:pt idx="5">
                  <c:v>3.2438500000000006</c:v>
                </c:pt>
                <c:pt idx="6">
                  <c:v>3.8926000000000003</c:v>
                </c:pt>
                <c:pt idx="7">
                  <c:v>4.5413500000000004</c:v>
                </c:pt>
                <c:pt idx="8">
                  <c:v>5.1901000000000002</c:v>
                </c:pt>
              </c:numCache>
            </c:numRef>
          </c:xVal>
          <c:yVal>
            <c:numRef>
              <c:f>Abaco!$M$43:$M$51</c:f>
              <c:numCache>
                <c:formatCode>General" s"</c:formatCode>
                <c:ptCount val="9"/>
                <c:pt idx="0">
                  <c:v>0</c:v>
                </c:pt>
                <c:pt idx="1">
                  <c:v>1</c:v>
                </c:pt>
                <c:pt idx="2">
                  <c:v>1</c:v>
                </c:pt>
                <c:pt idx="3">
                  <c:v>1</c:v>
                </c:pt>
                <c:pt idx="4">
                  <c:v>1</c:v>
                </c:pt>
                <c:pt idx="5">
                  <c:v>1</c:v>
                </c:pt>
                <c:pt idx="6">
                  <c:v>1</c:v>
                </c:pt>
                <c:pt idx="7">
                  <c:v>1</c:v>
                </c:pt>
                <c:pt idx="8">
                  <c:v>1</c:v>
                </c:pt>
              </c:numCache>
            </c:numRef>
          </c:yVal>
          <c:smooth val="0"/>
          <c:extLst>
            <c:ext xmlns:c16="http://schemas.microsoft.com/office/drawing/2014/chart" uri="{C3380CC4-5D6E-409C-BE32-E72D297353CC}">
              <c16:uniqueId val="{00000000-DDCF-44BB-899F-3EC11CCF873C}"/>
            </c:ext>
          </c:extLst>
        </c:ser>
        <c:ser>
          <c:idx val="1"/>
          <c:order val="1"/>
          <c:tx>
            <c:strRef>
              <c:f>Abaco!$B$52</c:f>
              <c:strCache>
                <c:ptCount val="1"/>
                <c:pt idx="0">
                  <c:v>Ø = 84 mm</c:v>
                </c:pt>
              </c:strCache>
            </c:strRef>
          </c:tx>
          <c:xVal>
            <c:numRef>
              <c:f>Abaco!$D$52:$D$60</c:f>
              <c:numCache>
                <c:formatCode>General\ "kg"</c:formatCode>
                <c:ptCount val="9"/>
                <c:pt idx="0">
                  <c:v>1E-4</c:v>
                </c:pt>
                <c:pt idx="1">
                  <c:v>0.64885000000000004</c:v>
                </c:pt>
                <c:pt idx="2">
                  <c:v>1.2976000000000001</c:v>
                </c:pt>
                <c:pt idx="3">
                  <c:v>1.94635</c:v>
                </c:pt>
                <c:pt idx="4">
                  <c:v>2.5951000000000004</c:v>
                </c:pt>
                <c:pt idx="5">
                  <c:v>3.2438500000000006</c:v>
                </c:pt>
                <c:pt idx="6">
                  <c:v>3.8926000000000003</c:v>
                </c:pt>
                <c:pt idx="7">
                  <c:v>4.5413500000000004</c:v>
                </c:pt>
                <c:pt idx="8">
                  <c:v>5.1901000000000002</c:v>
                </c:pt>
              </c:numCache>
            </c:numRef>
          </c:xVal>
          <c:yVal>
            <c:numRef>
              <c:f>Abaco!$M$52:$M$60</c:f>
              <c:numCache>
                <c:formatCode>General" s"</c:formatCode>
                <c:ptCount val="9"/>
                <c:pt idx="0">
                  <c:v>0</c:v>
                </c:pt>
                <c:pt idx="1">
                  <c:v>1</c:v>
                </c:pt>
                <c:pt idx="2">
                  <c:v>1</c:v>
                </c:pt>
                <c:pt idx="3">
                  <c:v>1</c:v>
                </c:pt>
                <c:pt idx="4">
                  <c:v>1</c:v>
                </c:pt>
                <c:pt idx="5">
                  <c:v>1</c:v>
                </c:pt>
                <c:pt idx="6">
                  <c:v>1</c:v>
                </c:pt>
                <c:pt idx="7">
                  <c:v>1</c:v>
                </c:pt>
                <c:pt idx="8">
                  <c:v>1</c:v>
                </c:pt>
              </c:numCache>
            </c:numRef>
          </c:yVal>
          <c:smooth val="0"/>
          <c:extLst>
            <c:ext xmlns:c16="http://schemas.microsoft.com/office/drawing/2014/chart" uri="{C3380CC4-5D6E-409C-BE32-E72D297353CC}">
              <c16:uniqueId val="{00000001-DDCF-44BB-899F-3EC11CCF873C}"/>
            </c:ext>
          </c:extLst>
        </c:ser>
        <c:ser>
          <c:idx val="2"/>
          <c:order val="2"/>
          <c:tx>
            <c:strRef>
              <c:f>Abaco!$B$61</c:f>
              <c:strCache>
                <c:ptCount val="1"/>
                <c:pt idx="0">
                  <c:v>Ø = 126 mm</c:v>
                </c:pt>
              </c:strCache>
            </c:strRef>
          </c:tx>
          <c:xVal>
            <c:numRef>
              <c:f>Abaco!$D$61:$D$69</c:f>
              <c:numCache>
                <c:formatCode>General\ "kg"</c:formatCode>
                <c:ptCount val="9"/>
                <c:pt idx="0">
                  <c:v>1E-4</c:v>
                </c:pt>
                <c:pt idx="1">
                  <c:v>0.64885000000000004</c:v>
                </c:pt>
                <c:pt idx="2">
                  <c:v>1.2976000000000001</c:v>
                </c:pt>
                <c:pt idx="3">
                  <c:v>1.94635</c:v>
                </c:pt>
                <c:pt idx="4">
                  <c:v>2.5951000000000004</c:v>
                </c:pt>
                <c:pt idx="5">
                  <c:v>3.2438500000000006</c:v>
                </c:pt>
                <c:pt idx="6">
                  <c:v>3.8926000000000003</c:v>
                </c:pt>
                <c:pt idx="7">
                  <c:v>4.5413500000000004</c:v>
                </c:pt>
                <c:pt idx="8">
                  <c:v>5.1901000000000002</c:v>
                </c:pt>
              </c:numCache>
            </c:numRef>
          </c:xVal>
          <c:yVal>
            <c:numRef>
              <c:f>Abaco!$M$61:$M$69</c:f>
              <c:numCache>
                <c:formatCode>General" s"</c:formatCode>
                <c:ptCount val="9"/>
                <c:pt idx="0">
                  <c:v>0</c:v>
                </c:pt>
                <c:pt idx="1">
                  <c:v>1</c:v>
                </c:pt>
                <c:pt idx="2">
                  <c:v>1</c:v>
                </c:pt>
                <c:pt idx="3">
                  <c:v>1</c:v>
                </c:pt>
                <c:pt idx="4">
                  <c:v>1</c:v>
                </c:pt>
                <c:pt idx="5">
                  <c:v>1</c:v>
                </c:pt>
                <c:pt idx="6">
                  <c:v>1</c:v>
                </c:pt>
                <c:pt idx="7">
                  <c:v>1</c:v>
                </c:pt>
                <c:pt idx="8">
                  <c:v>1</c:v>
                </c:pt>
              </c:numCache>
            </c:numRef>
          </c:yVal>
          <c:smooth val="0"/>
          <c:extLst>
            <c:ext xmlns:c16="http://schemas.microsoft.com/office/drawing/2014/chart" uri="{C3380CC4-5D6E-409C-BE32-E72D297353CC}">
              <c16:uniqueId val="{00000002-DDCF-44BB-899F-3EC11CCF873C}"/>
            </c:ext>
          </c:extLst>
        </c:ser>
        <c:dLbls>
          <c:showLegendKey val="0"/>
          <c:showVal val="0"/>
          <c:showCatName val="0"/>
          <c:showSerName val="0"/>
          <c:showPercent val="0"/>
          <c:showBubbleSize val="0"/>
        </c:dLbls>
        <c:axId val="195678976"/>
        <c:axId val="195680896"/>
      </c:scatterChart>
      <c:valAx>
        <c:axId val="195678976"/>
        <c:scaling>
          <c:orientation val="minMax"/>
        </c:scaling>
        <c:delete val="0"/>
        <c:axPos val="b"/>
        <c:majorGridlines/>
        <c:title>
          <c:tx>
            <c:strRef>
              <c:f>Abaco!$B$75</c:f>
              <c:strCache>
                <c:ptCount val="1"/>
                <c:pt idx="0">
                  <c:v>Masse totale</c:v>
                </c:pt>
              </c:strCache>
            </c:strRef>
          </c:tx>
          <c:layout>
            <c:manualLayout>
              <c:xMode val="edge"/>
              <c:yMode val="edge"/>
              <c:x val="0.25133794251328334"/>
              <c:y val="0.8092359976229385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 &quot;kg&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5680896"/>
        <c:crosses val="autoZero"/>
        <c:crossBetween val="midCat"/>
      </c:valAx>
      <c:valAx>
        <c:axId val="195680896"/>
        <c:scaling>
          <c:orientation val="minMax"/>
        </c:scaling>
        <c:delete val="0"/>
        <c:axPos val="l"/>
        <c:majorGridlines/>
        <c:title>
          <c:tx>
            <c:strRef>
              <c:f>Abaco!$B$80</c:f>
              <c:strCache>
                <c:ptCount val="1"/>
                <c:pt idx="0">
                  <c:v>Temps de culmination</c:v>
                </c:pt>
              </c:strCache>
            </c:strRef>
          </c:tx>
          <c:layout>
            <c:manualLayout>
              <c:xMode val="edge"/>
              <c:yMode val="edge"/>
              <c:x val="0.14166677336064695"/>
              <c:y val="5.8034467389689502E-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quot; s&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5678976"/>
        <c:crosses val="autoZero"/>
        <c:crossBetween val="midCat"/>
      </c:valAx>
    </c:plotArea>
    <c:legend>
      <c:legendPos val="r"/>
      <c:layout>
        <c:manualLayout>
          <c:xMode val="edge"/>
          <c:yMode val="edge"/>
          <c:x val="0.72357744916031841"/>
          <c:y val="0.18396263556678061"/>
          <c:w val="0.20325203252032525"/>
          <c:h val="0.25235886198187502"/>
        </c:manualLayout>
      </c:layout>
      <c:overlay val="0"/>
      <c:spPr>
        <a:solidFill>
          <a:schemeClr val="bg1"/>
        </a:solidFill>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 l="0.70000000000000062" r="0.70000000000000062" t="0.75000000000000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Stabilito!$B$117</c:f>
          <c:strCache>
            <c:ptCount val="1"/>
            <c:pt idx="0">
              <c:v>Diagramme des critères de stabilité</c:v>
            </c:pt>
          </c:strCache>
        </c:strRef>
      </c:tx>
      <c:layout>
        <c:manualLayout>
          <c:xMode val="edge"/>
          <c:yMode val="edge"/>
          <c:x val="0.19620910443519407"/>
          <c:y val="8.0214173228346466E-2"/>
        </c:manualLayout>
      </c:layout>
      <c:overlay val="0"/>
      <c:spPr>
        <a:solidFill>
          <a:srgbClr val="FFFFFF"/>
        </a:solidFill>
        <a:ln w="25400">
          <a:noFill/>
        </a:ln>
      </c:spPr>
      <c:txPr>
        <a:bodyPr/>
        <a:lstStyle/>
        <a:p>
          <a:pPr>
            <a:defRPr sz="1000" b="0"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4.5092838196286504E-2"/>
          <c:y val="5.8823683008029475E-2"/>
          <c:w val="0.93899204244031864"/>
          <c:h val="0.82887916965859743"/>
        </c:manualLayout>
      </c:layout>
      <c:scatterChart>
        <c:scatterStyle val="smoothMarker"/>
        <c:varyColors val="0"/>
        <c:ser>
          <c:idx val="0"/>
          <c:order val="0"/>
          <c:tx>
            <c:v>Cna min</c:v>
          </c:tx>
          <c:spPr>
            <a:ln w="12700">
              <a:solidFill>
                <a:srgbClr val="FF0000"/>
              </a:solidFill>
              <a:prstDash val="solid"/>
            </a:ln>
          </c:spPr>
          <c:marker>
            <c:symbol val="none"/>
          </c:marker>
          <c:xVal>
            <c:numRef>
              <c:f>Stabilito!$B$182:$B$183</c:f>
              <c:numCache>
                <c:formatCode>General</c:formatCode>
                <c:ptCount val="2"/>
                <c:pt idx="0">
                  <c:v>0</c:v>
                </c:pt>
                <c:pt idx="1">
                  <c:v>7</c:v>
                </c:pt>
              </c:numCache>
            </c:numRef>
          </c:xVal>
          <c:yVal>
            <c:numRef>
              <c:f>Stabilito!$C$182:$C$183</c:f>
              <c:numCache>
                <c:formatCode>General</c:formatCode>
                <c:ptCount val="2"/>
                <c:pt idx="0">
                  <c:v>15</c:v>
                </c:pt>
                <c:pt idx="1">
                  <c:v>15</c:v>
                </c:pt>
              </c:numCache>
            </c:numRef>
          </c:yVal>
          <c:smooth val="1"/>
          <c:extLst>
            <c:ext xmlns:c16="http://schemas.microsoft.com/office/drawing/2014/chart" uri="{C3380CC4-5D6E-409C-BE32-E72D297353CC}">
              <c16:uniqueId val="{00000000-DD97-4068-951F-4990D529CDCA}"/>
            </c:ext>
          </c:extLst>
        </c:ser>
        <c:ser>
          <c:idx val="1"/>
          <c:order val="1"/>
          <c:tx>
            <c:v>Cna max</c:v>
          </c:tx>
          <c:spPr>
            <a:ln w="12700">
              <a:solidFill>
                <a:srgbClr val="FF0000"/>
              </a:solidFill>
              <a:prstDash val="solid"/>
            </a:ln>
          </c:spPr>
          <c:marker>
            <c:symbol val="none"/>
          </c:marker>
          <c:xVal>
            <c:numRef>
              <c:f>Stabilito!$B$184:$B$185</c:f>
              <c:numCache>
                <c:formatCode>General</c:formatCode>
                <c:ptCount val="2"/>
                <c:pt idx="0">
                  <c:v>0</c:v>
                </c:pt>
                <c:pt idx="1">
                  <c:v>7</c:v>
                </c:pt>
              </c:numCache>
            </c:numRef>
          </c:xVal>
          <c:yVal>
            <c:numRef>
              <c:f>Stabilito!$C$184:$C$185</c:f>
              <c:numCache>
                <c:formatCode>General</c:formatCode>
                <c:ptCount val="2"/>
                <c:pt idx="0">
                  <c:v>30</c:v>
                </c:pt>
                <c:pt idx="1">
                  <c:v>30</c:v>
                </c:pt>
              </c:numCache>
            </c:numRef>
          </c:yVal>
          <c:smooth val="1"/>
          <c:extLst>
            <c:ext xmlns:c16="http://schemas.microsoft.com/office/drawing/2014/chart" uri="{C3380CC4-5D6E-409C-BE32-E72D297353CC}">
              <c16:uniqueId val="{00000001-DD97-4068-951F-4990D529CDCA}"/>
            </c:ext>
          </c:extLst>
        </c:ser>
        <c:ser>
          <c:idx val="2"/>
          <c:order val="2"/>
          <c:tx>
            <c:v>MS min</c:v>
          </c:tx>
          <c:spPr>
            <a:ln w="12700">
              <a:solidFill>
                <a:srgbClr val="FF0000"/>
              </a:solidFill>
              <a:prstDash val="solid"/>
            </a:ln>
          </c:spPr>
          <c:marker>
            <c:symbol val="none"/>
          </c:marker>
          <c:xVal>
            <c:numRef>
              <c:f>Stabilito!$B$186:$B$187</c:f>
              <c:numCache>
                <c:formatCode>General</c:formatCode>
                <c:ptCount val="2"/>
                <c:pt idx="0">
                  <c:v>1.5</c:v>
                </c:pt>
                <c:pt idx="1">
                  <c:v>1.5</c:v>
                </c:pt>
              </c:numCache>
            </c:numRef>
          </c:xVal>
          <c:yVal>
            <c:numRef>
              <c:f>Stabilito!$C$186:$C$187</c:f>
              <c:numCache>
                <c:formatCode>General</c:formatCode>
                <c:ptCount val="2"/>
                <c:pt idx="0">
                  <c:v>0</c:v>
                </c:pt>
                <c:pt idx="1">
                  <c:v>55</c:v>
                </c:pt>
              </c:numCache>
            </c:numRef>
          </c:yVal>
          <c:smooth val="1"/>
          <c:extLst>
            <c:ext xmlns:c16="http://schemas.microsoft.com/office/drawing/2014/chart" uri="{C3380CC4-5D6E-409C-BE32-E72D297353CC}">
              <c16:uniqueId val="{00000002-DD97-4068-951F-4990D529CDCA}"/>
            </c:ext>
          </c:extLst>
        </c:ser>
        <c:ser>
          <c:idx val="3"/>
          <c:order val="3"/>
          <c:tx>
            <c:v>MS max</c:v>
          </c:tx>
          <c:spPr>
            <a:ln w="12700">
              <a:solidFill>
                <a:srgbClr val="FF0000"/>
              </a:solidFill>
              <a:prstDash val="solid"/>
            </a:ln>
          </c:spPr>
          <c:marker>
            <c:symbol val="none"/>
          </c:marker>
          <c:xVal>
            <c:numRef>
              <c:f>Stabilito!$B$188:$B$189</c:f>
              <c:numCache>
                <c:formatCode>General</c:formatCode>
                <c:ptCount val="2"/>
                <c:pt idx="0">
                  <c:v>6</c:v>
                </c:pt>
                <c:pt idx="1">
                  <c:v>6</c:v>
                </c:pt>
              </c:numCache>
            </c:numRef>
          </c:xVal>
          <c:yVal>
            <c:numRef>
              <c:f>Stabilito!$C$188:$C$189</c:f>
              <c:numCache>
                <c:formatCode>General</c:formatCode>
                <c:ptCount val="2"/>
                <c:pt idx="0">
                  <c:v>0</c:v>
                </c:pt>
                <c:pt idx="1">
                  <c:v>55</c:v>
                </c:pt>
              </c:numCache>
            </c:numRef>
          </c:yVal>
          <c:smooth val="1"/>
          <c:extLst>
            <c:ext xmlns:c16="http://schemas.microsoft.com/office/drawing/2014/chart" uri="{C3380CC4-5D6E-409C-BE32-E72D297353CC}">
              <c16:uniqueId val="{00000003-DD97-4068-951F-4990D529CDCA}"/>
            </c:ext>
          </c:extLst>
        </c:ser>
        <c:ser>
          <c:idx val="5"/>
          <c:order val="6"/>
          <c:tx>
            <c:v>MS*Cna min</c:v>
          </c:tx>
          <c:spPr>
            <a:ln w="12700">
              <a:solidFill>
                <a:srgbClr val="FF0000"/>
              </a:solidFill>
              <a:prstDash val="solid"/>
            </a:ln>
          </c:spPr>
          <c:marker>
            <c:symbol val="none"/>
          </c:marker>
          <c:xVal>
            <c:numRef>
              <c:f>Stabilito!$D$182:$D$187</c:f>
              <c:numCache>
                <c:formatCode>General</c:formatCode>
                <c:ptCount val="6"/>
                <c:pt idx="0">
                  <c:v>0.5</c:v>
                </c:pt>
                <c:pt idx="1">
                  <c:v>1</c:v>
                </c:pt>
                <c:pt idx="2">
                  <c:v>2</c:v>
                </c:pt>
                <c:pt idx="3">
                  <c:v>3</c:v>
                </c:pt>
                <c:pt idx="4">
                  <c:v>5</c:v>
                </c:pt>
                <c:pt idx="5">
                  <c:v>7</c:v>
                </c:pt>
              </c:numCache>
            </c:numRef>
          </c:xVal>
          <c:yVal>
            <c:numRef>
              <c:f>Stabilito!$E$182:$E$187</c:f>
              <c:numCache>
                <c:formatCode>General</c:formatCode>
                <c:ptCount val="6"/>
                <c:pt idx="0">
                  <c:v>60</c:v>
                </c:pt>
                <c:pt idx="1">
                  <c:v>30</c:v>
                </c:pt>
                <c:pt idx="2">
                  <c:v>15</c:v>
                </c:pt>
                <c:pt idx="3">
                  <c:v>10</c:v>
                </c:pt>
                <c:pt idx="4">
                  <c:v>6</c:v>
                </c:pt>
                <c:pt idx="5">
                  <c:v>4.2857142857142856</c:v>
                </c:pt>
              </c:numCache>
            </c:numRef>
          </c:yVal>
          <c:smooth val="1"/>
          <c:extLst>
            <c:ext xmlns:c16="http://schemas.microsoft.com/office/drawing/2014/chart" uri="{C3380CC4-5D6E-409C-BE32-E72D297353CC}">
              <c16:uniqueId val="{00000004-DD97-4068-951F-4990D529CDCA}"/>
            </c:ext>
          </c:extLst>
        </c:ser>
        <c:ser>
          <c:idx val="6"/>
          <c:order val="7"/>
          <c:tx>
            <c:v>MS*Cna max</c:v>
          </c:tx>
          <c:spPr>
            <a:ln w="12700">
              <a:solidFill>
                <a:srgbClr val="FF0000"/>
              </a:solidFill>
              <a:prstDash val="solid"/>
            </a:ln>
          </c:spPr>
          <c:marker>
            <c:symbol val="none"/>
          </c:marker>
          <c:xVal>
            <c:numRef>
              <c:f>Stabilito!$D$188:$D$193</c:f>
              <c:numCache>
                <c:formatCode>General</c:formatCode>
                <c:ptCount val="6"/>
                <c:pt idx="0">
                  <c:v>1</c:v>
                </c:pt>
                <c:pt idx="1">
                  <c:v>2</c:v>
                </c:pt>
                <c:pt idx="2">
                  <c:v>3</c:v>
                </c:pt>
                <c:pt idx="3">
                  <c:v>4</c:v>
                </c:pt>
                <c:pt idx="4">
                  <c:v>6</c:v>
                </c:pt>
                <c:pt idx="5">
                  <c:v>7</c:v>
                </c:pt>
              </c:numCache>
            </c:numRef>
          </c:xVal>
          <c:yVal>
            <c:numRef>
              <c:f>Stabilito!$E$188:$E$193</c:f>
              <c:numCache>
                <c:formatCode>General</c:formatCode>
                <c:ptCount val="6"/>
                <c:pt idx="0">
                  <c:v>100</c:v>
                </c:pt>
                <c:pt idx="1">
                  <c:v>50</c:v>
                </c:pt>
                <c:pt idx="2">
                  <c:v>33.333333333333336</c:v>
                </c:pt>
                <c:pt idx="3">
                  <c:v>25</c:v>
                </c:pt>
                <c:pt idx="4">
                  <c:v>16.666666666666668</c:v>
                </c:pt>
                <c:pt idx="5">
                  <c:v>14.285714285714286</c:v>
                </c:pt>
              </c:numCache>
            </c:numRef>
          </c:yVal>
          <c:smooth val="1"/>
          <c:extLst>
            <c:ext xmlns:c16="http://schemas.microsoft.com/office/drawing/2014/chart" uri="{C3380CC4-5D6E-409C-BE32-E72D297353CC}">
              <c16:uniqueId val="{00000005-DD97-4068-951F-4990D529CDCA}"/>
            </c:ext>
          </c:extLst>
        </c:ser>
        <c:ser>
          <c:idx val="7"/>
          <c:order val="8"/>
          <c:tx>
            <c:v>Cna moy</c:v>
          </c:tx>
          <c:spPr>
            <a:ln w="12700">
              <a:solidFill>
                <a:srgbClr val="FF0000"/>
              </a:solidFill>
              <a:prstDash val="solid"/>
            </a:ln>
          </c:spPr>
          <c:marker>
            <c:symbol val="none"/>
          </c:marker>
          <c:xVal>
            <c:numRef>
              <c:f>Stabilito!$B$195:$B$196</c:f>
              <c:numCache>
                <c:formatCode>General</c:formatCode>
                <c:ptCount val="2"/>
                <c:pt idx="0">
                  <c:v>0</c:v>
                </c:pt>
                <c:pt idx="1">
                  <c:v>1.5</c:v>
                </c:pt>
              </c:numCache>
            </c:numRef>
          </c:xVal>
          <c:yVal>
            <c:numRef>
              <c:f>Stabilito!$C$195:$C$196</c:f>
              <c:numCache>
                <c:formatCode>General</c:formatCode>
                <c:ptCount val="2"/>
                <c:pt idx="0">
                  <c:v>22.5</c:v>
                </c:pt>
                <c:pt idx="1">
                  <c:v>22.5</c:v>
                </c:pt>
              </c:numCache>
            </c:numRef>
          </c:yVal>
          <c:smooth val="1"/>
          <c:extLst>
            <c:ext xmlns:c16="http://schemas.microsoft.com/office/drawing/2014/chart" uri="{C3380CC4-5D6E-409C-BE32-E72D297353CC}">
              <c16:uniqueId val="{00000006-DD97-4068-951F-4990D529CDCA}"/>
            </c:ext>
          </c:extLst>
        </c:ser>
        <c:ser>
          <c:idx val="8"/>
          <c:order val="9"/>
          <c:tx>
            <c:v>Cna moy2</c:v>
          </c:tx>
          <c:spPr>
            <a:ln w="12700">
              <a:solidFill>
                <a:srgbClr val="FF0000"/>
              </a:solidFill>
              <a:prstDash val="solid"/>
            </a:ln>
          </c:spPr>
          <c:marker>
            <c:symbol val="none"/>
          </c:marker>
          <c:xVal>
            <c:numRef>
              <c:f>Stabilito!$B$197:$B$198</c:f>
              <c:numCache>
                <c:formatCode>General</c:formatCode>
                <c:ptCount val="2"/>
                <c:pt idx="0">
                  <c:v>4.4444444444444446</c:v>
                </c:pt>
                <c:pt idx="1">
                  <c:v>7</c:v>
                </c:pt>
              </c:numCache>
            </c:numRef>
          </c:xVal>
          <c:yVal>
            <c:numRef>
              <c:f>Stabilito!$C$197:$C$198</c:f>
              <c:numCache>
                <c:formatCode>General</c:formatCode>
                <c:ptCount val="2"/>
                <c:pt idx="0">
                  <c:v>22.5</c:v>
                </c:pt>
                <c:pt idx="1">
                  <c:v>22.5</c:v>
                </c:pt>
              </c:numCache>
            </c:numRef>
          </c:yVal>
          <c:smooth val="1"/>
          <c:extLst>
            <c:ext xmlns:c16="http://schemas.microsoft.com/office/drawing/2014/chart" uri="{C3380CC4-5D6E-409C-BE32-E72D297353CC}">
              <c16:uniqueId val="{00000007-DD97-4068-951F-4990D529CDCA}"/>
            </c:ext>
          </c:extLst>
        </c:ser>
        <c:ser>
          <c:idx val="9"/>
          <c:order val="10"/>
          <c:tx>
            <c:v>MS moy</c:v>
          </c:tx>
          <c:spPr>
            <a:ln w="12700">
              <a:solidFill>
                <a:srgbClr val="FF0000"/>
              </a:solidFill>
              <a:prstDash val="solid"/>
            </a:ln>
          </c:spPr>
          <c:marker>
            <c:symbol val="none"/>
          </c:marker>
          <c:xVal>
            <c:numRef>
              <c:f>Stabilito!$B$199:$B$200</c:f>
              <c:numCache>
                <c:formatCode>General</c:formatCode>
                <c:ptCount val="2"/>
                <c:pt idx="0">
                  <c:v>3.75</c:v>
                </c:pt>
                <c:pt idx="1">
                  <c:v>3.75</c:v>
                </c:pt>
              </c:numCache>
            </c:numRef>
          </c:xVal>
          <c:yVal>
            <c:numRef>
              <c:f>Stabilito!$C$199:$C$200</c:f>
              <c:numCache>
                <c:formatCode>General</c:formatCode>
                <c:ptCount val="2"/>
                <c:pt idx="0">
                  <c:v>0</c:v>
                </c:pt>
                <c:pt idx="1">
                  <c:v>15</c:v>
                </c:pt>
              </c:numCache>
            </c:numRef>
          </c:yVal>
          <c:smooth val="1"/>
          <c:extLst>
            <c:ext xmlns:c16="http://schemas.microsoft.com/office/drawing/2014/chart" uri="{C3380CC4-5D6E-409C-BE32-E72D297353CC}">
              <c16:uniqueId val="{00000008-DD97-4068-951F-4990D529CDCA}"/>
            </c:ext>
          </c:extLst>
        </c:ser>
        <c:ser>
          <c:idx val="10"/>
          <c:order val="11"/>
          <c:tx>
            <c:v>MS moy2</c:v>
          </c:tx>
          <c:spPr>
            <a:ln w="12700">
              <a:solidFill>
                <a:srgbClr val="FF0000"/>
              </a:solidFill>
              <a:prstDash val="solid"/>
            </a:ln>
          </c:spPr>
          <c:marker>
            <c:symbol val="none"/>
          </c:marker>
          <c:xVal>
            <c:numRef>
              <c:f>Stabilito!$B$201:$B$202</c:f>
              <c:numCache>
                <c:formatCode>General</c:formatCode>
                <c:ptCount val="2"/>
                <c:pt idx="0">
                  <c:v>3.75</c:v>
                </c:pt>
                <c:pt idx="1">
                  <c:v>3.75</c:v>
                </c:pt>
              </c:numCache>
            </c:numRef>
          </c:xVal>
          <c:yVal>
            <c:numRef>
              <c:f>Stabilito!$C$201:$C$202</c:f>
              <c:numCache>
                <c:formatCode>General</c:formatCode>
                <c:ptCount val="2"/>
                <c:pt idx="0">
                  <c:v>26.666666666666668</c:v>
                </c:pt>
                <c:pt idx="1">
                  <c:v>55</c:v>
                </c:pt>
              </c:numCache>
            </c:numRef>
          </c:yVal>
          <c:smooth val="1"/>
          <c:extLst>
            <c:ext xmlns:c16="http://schemas.microsoft.com/office/drawing/2014/chart" uri="{C3380CC4-5D6E-409C-BE32-E72D297353CC}">
              <c16:uniqueId val="{00000009-DD97-4068-951F-4990D529CDCA}"/>
            </c:ext>
          </c:extLst>
        </c:ser>
        <c:dLbls>
          <c:showLegendKey val="0"/>
          <c:showVal val="0"/>
          <c:showCatName val="0"/>
          <c:showSerName val="0"/>
          <c:showPercent val="0"/>
          <c:showBubbleSize val="0"/>
        </c:dLbls>
        <c:axId val="148471168"/>
        <c:axId val="148481536"/>
      </c:scatterChart>
      <c:scatterChart>
        <c:scatterStyle val="lineMarker"/>
        <c:varyColors val="0"/>
        <c:ser>
          <c:idx val="4"/>
          <c:order val="4"/>
          <c:tx>
            <c:v>Fusée en cours</c:v>
          </c:tx>
          <c:spPr>
            <a:ln w="25400">
              <a:solidFill>
                <a:schemeClr val="tx1"/>
              </a:solidFill>
            </a:ln>
          </c:spPr>
          <c:marker>
            <c:symbol val="diamond"/>
            <c:size val="7"/>
            <c:spPr>
              <a:solidFill>
                <a:schemeClr val="tx1"/>
              </a:solidFill>
              <a:ln>
                <a:noFill/>
              </a:ln>
            </c:spPr>
          </c:marker>
          <c:xVal>
            <c:numRef>
              <c:f>Stabilito!$B$190:$B$193</c:f>
              <c:numCache>
                <c:formatCode>0.00</c:formatCode>
                <c:ptCount val="4"/>
                <c:pt idx="0">
                  <c:v>2.8691865906184071</c:v>
                </c:pt>
                <c:pt idx="1">
                  <c:v>2.8691865906184071</c:v>
                </c:pt>
                <c:pt idx="2">
                  <c:v>2.869376508981035</c:v>
                </c:pt>
                <c:pt idx="3">
                  <c:v>2.869376508981035</c:v>
                </c:pt>
              </c:numCache>
            </c:numRef>
          </c:xVal>
          <c:yVal>
            <c:numRef>
              <c:f>Stabilito!$C$190:$C$193</c:f>
              <c:numCache>
                <c:formatCode>0.00</c:formatCode>
                <c:ptCount val="4"/>
                <c:pt idx="0">
                  <c:v>15.602161052846441</c:v>
                </c:pt>
                <c:pt idx="1">
                  <c:v>15.602161052846441</c:v>
                </c:pt>
                <c:pt idx="2">
                  <c:v>15.602161052846441</c:v>
                </c:pt>
                <c:pt idx="3">
                  <c:v>15.602161052846441</c:v>
                </c:pt>
              </c:numCache>
            </c:numRef>
          </c:yVal>
          <c:smooth val="0"/>
          <c:extLst>
            <c:ext xmlns:c16="http://schemas.microsoft.com/office/drawing/2014/chart" uri="{C3380CC4-5D6E-409C-BE32-E72D297353CC}">
              <c16:uniqueId val="{0000000A-DD97-4068-951F-4990D529CDCA}"/>
            </c:ext>
          </c:extLst>
        </c:ser>
        <c:ser>
          <c:idx val="11"/>
          <c:order val="5"/>
          <c:tx>
            <c:v>Fusée en cours0</c:v>
          </c:tx>
          <c:spPr>
            <a:ln w="25400">
              <a:solidFill>
                <a:schemeClr val="tx1"/>
              </a:solidFill>
            </a:ln>
          </c:spPr>
          <c:marker>
            <c:symbol val="none"/>
          </c:marker>
          <c:xVal>
            <c:numRef>
              <c:f>Stabilito!$B$193:$B$194</c:f>
              <c:numCache>
                <c:formatCode>0.00</c:formatCode>
                <c:ptCount val="2"/>
                <c:pt idx="0">
                  <c:v>2.869376508981035</c:v>
                </c:pt>
                <c:pt idx="1">
                  <c:v>2.8691865906184071</c:v>
                </c:pt>
              </c:numCache>
            </c:numRef>
          </c:xVal>
          <c:yVal>
            <c:numRef>
              <c:f>Stabilito!$C$193:$C$194</c:f>
              <c:numCache>
                <c:formatCode>0.00</c:formatCode>
                <c:ptCount val="2"/>
                <c:pt idx="0">
                  <c:v>15.602161052846441</c:v>
                </c:pt>
                <c:pt idx="1">
                  <c:v>15.602161052846441</c:v>
                </c:pt>
              </c:numCache>
            </c:numRef>
          </c:yVal>
          <c:smooth val="0"/>
          <c:extLst>
            <c:ext xmlns:c16="http://schemas.microsoft.com/office/drawing/2014/chart" uri="{C3380CC4-5D6E-409C-BE32-E72D297353CC}">
              <c16:uniqueId val="{0000000B-DD97-4068-951F-4990D529CDCA}"/>
            </c:ext>
          </c:extLst>
        </c:ser>
        <c:dLbls>
          <c:showLegendKey val="0"/>
          <c:showVal val="0"/>
          <c:showCatName val="0"/>
          <c:showSerName val="0"/>
          <c:showPercent val="0"/>
          <c:showBubbleSize val="0"/>
        </c:dLbls>
        <c:axId val="148471168"/>
        <c:axId val="148481536"/>
      </c:scatterChart>
      <c:valAx>
        <c:axId val="148471168"/>
        <c:scaling>
          <c:orientation val="minMax"/>
          <c:max val="7"/>
          <c:min val="0"/>
        </c:scaling>
        <c:delete val="0"/>
        <c:axPos val="b"/>
        <c:title>
          <c:tx>
            <c:strRef>
              <c:f>Stabilito!$B$118</c:f>
              <c:strCache>
                <c:ptCount val="1"/>
                <c:pt idx="0">
                  <c:v>Marge Statique (MS)</c:v>
                </c:pt>
              </c:strCache>
            </c:strRef>
          </c:tx>
          <c:layout>
            <c:manualLayout>
              <c:xMode val="edge"/>
              <c:yMode val="edge"/>
              <c:x val="0.51717271009913568"/>
              <c:y val="0.73094047244094495"/>
            </c:manualLayout>
          </c:layout>
          <c:overlay val="0"/>
          <c:spPr>
            <a:solidFill>
              <a:srgbClr val="FFFFFF"/>
            </a:solidFill>
            <a:ln w="25400">
              <a:noFill/>
            </a:ln>
          </c:spPr>
          <c:txPr>
            <a:bodyPr/>
            <a:lstStyle/>
            <a:p>
              <a:pPr>
                <a:defRPr sz="1000" b="0" i="0" u="none" strike="noStrike" baseline="0">
                  <a:solidFill>
                    <a:srgbClr val="000000"/>
                  </a:solidFill>
                  <a:latin typeface="Calibri"/>
                  <a:ea typeface="Calibri"/>
                  <a:cs typeface="Calibri"/>
                </a:defRPr>
              </a:pPr>
              <a:endParaRPr lang="fr-FR"/>
            </a:p>
          </c:tx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8481536"/>
        <c:crosses val="autoZero"/>
        <c:crossBetween val="midCat"/>
      </c:valAx>
      <c:valAx>
        <c:axId val="148481536"/>
        <c:scaling>
          <c:orientation val="minMax"/>
          <c:max val="55"/>
          <c:min val="0"/>
        </c:scaling>
        <c:delete val="0"/>
        <c:axPos val="l"/>
        <c:title>
          <c:tx>
            <c:strRef>
              <c:f>Stabilito!$B$119</c:f>
              <c:strCache>
                <c:ptCount val="1"/>
                <c:pt idx="0">
                  <c:v>Portance Cnα</c:v>
                </c:pt>
              </c:strCache>
            </c:strRef>
          </c:tx>
          <c:layout>
            <c:manualLayout>
              <c:xMode val="edge"/>
              <c:yMode val="edge"/>
              <c:x val="6.9119481083972797E-2"/>
              <c:y val="0.24099905511811029"/>
            </c:manualLayout>
          </c:layout>
          <c:overlay val="0"/>
          <c:spPr>
            <a:solidFill>
              <a:srgbClr val="FFFFFF"/>
            </a:solidFill>
            <a:ln w="25400">
              <a:noFill/>
            </a:ln>
          </c:spPr>
          <c:txPr>
            <a:bodyPr/>
            <a:lstStyle/>
            <a:p>
              <a:pPr>
                <a:defRPr sz="1000" b="0" i="0" u="none" strike="noStrike" baseline="0">
                  <a:solidFill>
                    <a:srgbClr val="000000"/>
                  </a:solidFill>
                  <a:latin typeface="Calibri"/>
                  <a:ea typeface="Calibri"/>
                  <a:cs typeface="Calibri"/>
                </a:defRPr>
              </a:pPr>
              <a:endParaRPr lang="fr-FR"/>
            </a:p>
          </c:tx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84711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475"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49212598450000095" footer="0.4921259845000009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Trajecto!$B$111</c:f>
          <c:strCache>
            <c:ptCount val="1"/>
            <c:pt idx="0">
              <c:v>Trajectoire (x z)</c:v>
            </c:pt>
          </c:strCache>
        </c:strRef>
      </c:tx>
      <c:layout>
        <c:manualLayout>
          <c:xMode val="edge"/>
          <c:yMode val="edge"/>
          <c:x val="0.66868786671936287"/>
          <c:y val="3.8575744069727136E-2"/>
        </c:manualLayout>
      </c:layout>
      <c:overlay val="0"/>
      <c:spPr>
        <a:noFill/>
        <a:ln w="25400">
          <a:noFill/>
        </a:ln>
      </c:spPr>
      <c:txPr>
        <a:bodyPr/>
        <a:lstStyle/>
        <a:p>
          <a:pPr>
            <a:defRPr sz="800" b="1" i="0" u="none" strike="noStrike" baseline="0">
              <a:solidFill>
                <a:srgbClr val="0000FF"/>
              </a:solidFill>
              <a:latin typeface="Arial"/>
              <a:ea typeface="Arial"/>
              <a:cs typeface="Arial"/>
            </a:defRPr>
          </a:pPr>
          <a:endParaRPr lang="fr-FR"/>
        </a:p>
      </c:txPr>
    </c:title>
    <c:autoTitleDeleted val="0"/>
    <c:plotArea>
      <c:layout>
        <c:manualLayout>
          <c:layoutTarget val="inner"/>
          <c:xMode val="edge"/>
          <c:yMode val="edge"/>
          <c:x val="6.9697175950449913E-2"/>
          <c:y val="3.5608360198500402E-2"/>
          <c:w val="0.89697235136230857"/>
          <c:h val="0.89614373166225958"/>
        </c:manualLayout>
      </c:layout>
      <c:scatterChart>
        <c:scatterStyle val="lineMarker"/>
        <c:varyColors val="0"/>
        <c:ser>
          <c:idx val="0"/>
          <c:order val="0"/>
          <c:tx>
            <c:v>Point invisible pour mise à l'echelle</c:v>
          </c:tx>
          <c:spPr>
            <a:ln w="3175">
              <a:solidFill>
                <a:srgbClr val="99CCFF"/>
              </a:solidFill>
              <a:prstDash val="solid"/>
            </a:ln>
          </c:spPr>
          <c:marker>
            <c:symbol val="none"/>
          </c:marker>
          <c:xVal>
            <c:numRef>
              <c:f>Trajecto!$B$121</c:f>
              <c:numCache>
                <c:formatCode>0</c:formatCode>
                <c:ptCount val="1"/>
                <c:pt idx="0">
                  <c:v>1192.8774857614485</c:v>
                </c:pt>
              </c:numCache>
            </c:numRef>
          </c:xVal>
          <c:yVal>
            <c:numRef>
              <c:f>Trajecto!$C$121</c:f>
              <c:numCache>
                <c:formatCode>0</c:formatCode>
                <c:ptCount val="1"/>
                <c:pt idx="0">
                  <c:v>1192.8774857614485</c:v>
                </c:pt>
              </c:numCache>
            </c:numRef>
          </c:yVal>
          <c:smooth val="1"/>
          <c:extLst>
            <c:ext xmlns:c16="http://schemas.microsoft.com/office/drawing/2014/chart" uri="{C3380CC4-5D6E-409C-BE32-E72D297353CC}">
              <c16:uniqueId val="{00000000-432A-49A9-9499-7ED3E32DDB07}"/>
            </c:ext>
          </c:extLst>
        </c:ser>
        <c:ser>
          <c:idx val="1"/>
          <c:order val="1"/>
          <c:tx>
            <c:v>1 point par seconde</c:v>
          </c:tx>
          <c:spPr>
            <a:ln w="28575">
              <a:noFill/>
            </a:ln>
          </c:spPr>
          <c:marker>
            <c:symbol val="plus"/>
            <c:size val="7"/>
            <c:spPr>
              <a:noFill/>
              <a:ln>
                <a:solidFill>
                  <a:srgbClr val="000000"/>
                </a:solidFill>
                <a:prstDash val="solid"/>
              </a:ln>
            </c:spPr>
          </c:marker>
          <c:xVal>
            <c:numRef>
              <c:f>Calculs!$AD$4:$AD$1004</c:f>
              <c:numCache>
                <c:formatCode>0</c:formatCode>
                <c:ptCount val="1001"/>
                <c:pt idx="0">
                  <c:v>-1</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126.85259759058921</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157.76300969848924</c:v>
                </c:pt>
                <c:pt idx="109">
                  <c:v>#N/A</c:v>
                </c:pt>
                <c:pt idx="110">
                  <c:v>#N/A</c:v>
                </c:pt>
                <c:pt idx="111">
                  <c:v>#N/A</c:v>
                </c:pt>
                <c:pt idx="112">
                  <c:v>#N/A</c:v>
                </c:pt>
                <c:pt idx="113">
                  <c:v>#N/A</c:v>
                </c:pt>
                <c:pt idx="114">
                  <c:v>#N/A</c:v>
                </c:pt>
                <c:pt idx="115">
                  <c:v>#N/A</c:v>
                </c:pt>
                <c:pt idx="116">
                  <c:v>#N/A</c:v>
                </c:pt>
                <c:pt idx="117">
                  <c:v>#N/A</c:v>
                </c:pt>
                <c:pt idx="118">
                  <c:v>185.41531543710866</c:v>
                </c:pt>
                <c:pt idx="119">
                  <c:v>#N/A</c:v>
                </c:pt>
                <c:pt idx="120">
                  <c:v>#N/A</c:v>
                </c:pt>
                <c:pt idx="121">
                  <c:v>#N/A</c:v>
                </c:pt>
                <c:pt idx="122">
                  <c:v>#N/A</c:v>
                </c:pt>
                <c:pt idx="123">
                  <c:v>#N/A</c:v>
                </c:pt>
                <c:pt idx="124">
                  <c:v>#N/A</c:v>
                </c:pt>
                <c:pt idx="125">
                  <c:v>#N/A</c:v>
                </c:pt>
                <c:pt idx="126">
                  <c:v>#N/A</c:v>
                </c:pt>
                <c:pt idx="127">
                  <c:v>#N/A</c:v>
                </c:pt>
                <c:pt idx="128">
                  <c:v>210.65672037641173</c:v>
                </c:pt>
                <c:pt idx="129">
                  <c:v>#N/A</c:v>
                </c:pt>
                <c:pt idx="130">
                  <c:v>#N/A</c:v>
                </c:pt>
                <c:pt idx="131">
                  <c:v>#N/A</c:v>
                </c:pt>
                <c:pt idx="132">
                  <c:v>#N/A</c:v>
                </c:pt>
                <c:pt idx="133">
                  <c:v>#N/A</c:v>
                </c:pt>
                <c:pt idx="134">
                  <c:v>#N/A</c:v>
                </c:pt>
                <c:pt idx="135">
                  <c:v>#N/A</c:v>
                </c:pt>
                <c:pt idx="136">
                  <c:v>#N/A</c:v>
                </c:pt>
                <c:pt idx="137">
                  <c:v>#N/A</c:v>
                </c:pt>
                <c:pt idx="138">
                  <c:v>234.07487406032732</c:v>
                </c:pt>
                <c:pt idx="139">
                  <c:v>#N/A</c:v>
                </c:pt>
                <c:pt idx="140">
                  <c:v>#N/A</c:v>
                </c:pt>
                <c:pt idx="141">
                  <c:v>#N/A</c:v>
                </c:pt>
                <c:pt idx="142">
                  <c:v>#N/A</c:v>
                </c:pt>
                <c:pt idx="143">
                  <c:v>#N/A</c:v>
                </c:pt>
                <c:pt idx="144">
                  <c:v>#N/A</c:v>
                </c:pt>
                <c:pt idx="145">
                  <c:v>#N/A</c:v>
                </c:pt>
                <c:pt idx="146">
                  <c:v>#N/A</c:v>
                </c:pt>
                <c:pt idx="147">
                  <c:v>#N/A</c:v>
                </c:pt>
                <c:pt idx="148">
                  <c:v>256.09748278369182</c:v>
                </c:pt>
                <c:pt idx="149">
                  <c:v>#N/A</c:v>
                </c:pt>
                <c:pt idx="150">
                  <c:v>#N/A</c:v>
                </c:pt>
                <c:pt idx="151">
                  <c:v>#N/A</c:v>
                </c:pt>
                <c:pt idx="152">
                  <c:v>#N/A</c:v>
                </c:pt>
                <c:pt idx="153">
                  <c:v>#N/A</c:v>
                </c:pt>
                <c:pt idx="154">
                  <c:v>#N/A</c:v>
                </c:pt>
                <c:pt idx="155">
                  <c:v>#N/A</c:v>
                </c:pt>
                <c:pt idx="156">
                  <c:v>#N/A</c:v>
                </c:pt>
                <c:pt idx="157">
                  <c:v>#N/A</c:v>
                </c:pt>
                <c:pt idx="158">
                  <c:v>277.04876984619654</c:v>
                </c:pt>
                <c:pt idx="159">
                  <c:v>#N/A</c:v>
                </c:pt>
                <c:pt idx="160">
                  <c:v>#N/A</c:v>
                </c:pt>
                <c:pt idx="161">
                  <c:v>#N/A</c:v>
                </c:pt>
                <c:pt idx="162">
                  <c:v>#N/A</c:v>
                </c:pt>
                <c:pt idx="163">
                  <c:v>#N/A</c:v>
                </c:pt>
                <c:pt idx="164">
                  <c:v>#N/A</c:v>
                </c:pt>
                <c:pt idx="165">
                  <c:v>#N/A</c:v>
                </c:pt>
                <c:pt idx="166">
                  <c:v>#N/A</c:v>
                </c:pt>
                <c:pt idx="167">
                  <c:v>#N/A</c:v>
                </c:pt>
                <c:pt idx="168">
                  <c:v>297.18249874958599</c:v>
                </c:pt>
                <c:pt idx="169">
                  <c:v>#N/A</c:v>
                </c:pt>
                <c:pt idx="170">
                  <c:v>#N/A</c:v>
                </c:pt>
                <c:pt idx="171">
                  <c:v>#N/A</c:v>
                </c:pt>
                <c:pt idx="172">
                  <c:v>#N/A</c:v>
                </c:pt>
                <c:pt idx="173">
                  <c:v>#N/A</c:v>
                </c:pt>
                <c:pt idx="174">
                  <c:v>#N/A</c:v>
                </c:pt>
                <c:pt idx="175">
                  <c:v>#N/A</c:v>
                </c:pt>
                <c:pt idx="176">
                  <c:v>#N/A</c:v>
                </c:pt>
                <c:pt idx="177">
                  <c:v>#N/A</c:v>
                </c:pt>
                <c:pt idx="178">
                  <c:v>316.70095611917264</c:v>
                </c:pt>
                <c:pt idx="179">
                  <c:v>#N/A</c:v>
                </c:pt>
                <c:pt idx="180">
                  <c:v>#N/A</c:v>
                </c:pt>
                <c:pt idx="181">
                  <c:v>#N/A</c:v>
                </c:pt>
                <c:pt idx="182">
                  <c:v>#N/A</c:v>
                </c:pt>
                <c:pt idx="183">
                  <c:v>#N/A</c:v>
                </c:pt>
                <c:pt idx="184">
                  <c:v>#N/A</c:v>
                </c:pt>
                <c:pt idx="185">
                  <c:v>#N/A</c:v>
                </c:pt>
                <c:pt idx="186">
                  <c:v>#N/A</c:v>
                </c:pt>
                <c:pt idx="187">
                  <c:v>#N/A</c:v>
                </c:pt>
                <c:pt idx="188">
                  <c:v>335.76290055831367</c:v>
                </c:pt>
                <c:pt idx="189">
                  <c:v>#N/A</c:v>
                </c:pt>
                <c:pt idx="190">
                  <c:v>#N/A</c:v>
                </c:pt>
                <c:pt idx="191">
                  <c:v>#N/A</c:v>
                </c:pt>
                <c:pt idx="192">
                  <c:v>#N/A</c:v>
                </c:pt>
                <c:pt idx="193">
                  <c:v>#N/A</c:v>
                </c:pt>
                <c:pt idx="194">
                  <c:v>#N/A</c:v>
                </c:pt>
                <c:pt idx="195">
                  <c:v>#N/A</c:v>
                </c:pt>
                <c:pt idx="196">
                  <c:v>#N/A</c:v>
                </c:pt>
                <c:pt idx="197">
                  <c:v>#N/A</c:v>
                </c:pt>
                <c:pt idx="198">
                  <c:v>354.47847130839716</c:v>
                </c:pt>
                <c:pt idx="199">
                  <c:v>#N/A</c:v>
                </c:pt>
                <c:pt idx="200">
                  <c:v>#N/A</c:v>
                </c:pt>
                <c:pt idx="201">
                  <c:v>#N/A</c:v>
                </c:pt>
                <c:pt idx="202">
                  <c:v>#N/A</c:v>
                </c:pt>
                <c:pt idx="203">
                  <c:v>#N/A</c:v>
                </c:pt>
                <c:pt idx="204">
                  <c:v>#N/A</c:v>
                </c:pt>
                <c:pt idx="205">
                  <c:v>#N/A</c:v>
                </c:pt>
                <c:pt idx="206">
                  <c:v>#N/A</c:v>
                </c:pt>
                <c:pt idx="207">
                  <c:v>#N/A</c:v>
                </c:pt>
                <c:pt idx="208">
                  <c:v>372.89098869710108</c:v>
                </c:pt>
                <c:pt idx="209">
                  <c:v>#N/A</c:v>
                </c:pt>
                <c:pt idx="210">
                  <c:v>#N/A</c:v>
                </c:pt>
                <c:pt idx="211">
                  <c:v>#N/A</c:v>
                </c:pt>
                <c:pt idx="212">
                  <c:v>#N/A</c:v>
                </c:pt>
                <c:pt idx="213">
                  <c:v>#N/A</c:v>
                </c:pt>
                <c:pt idx="214">
                  <c:v>#N/A</c:v>
                </c:pt>
                <c:pt idx="215">
                  <c:v>#N/A</c:v>
                </c:pt>
                <c:pt idx="216">
                  <c:v>#N/A</c:v>
                </c:pt>
                <c:pt idx="217">
                  <c:v>#N/A</c:v>
                </c:pt>
                <c:pt idx="218">
                  <c:v>390.96956128766641</c:v>
                </c:pt>
                <c:pt idx="219">
                  <c:v>#N/A</c:v>
                </c:pt>
                <c:pt idx="220">
                  <c:v>#N/A</c:v>
                </c:pt>
                <c:pt idx="221">
                  <c:v>#N/A</c:v>
                </c:pt>
                <c:pt idx="222">
                  <c:v>#N/A</c:v>
                </c:pt>
                <c:pt idx="223">
                  <c:v>#N/A</c:v>
                </c:pt>
                <c:pt idx="224">
                  <c:v>#N/A</c:v>
                </c:pt>
                <c:pt idx="225">
                  <c:v>#N/A</c:v>
                </c:pt>
                <c:pt idx="226">
                  <c:v>#N/A</c:v>
                </c:pt>
                <c:pt idx="227">
                  <c:v>#N/A</c:v>
                </c:pt>
                <c:pt idx="228">
                  <c:v>408.63451178988117</c:v>
                </c:pt>
                <c:pt idx="229">
                  <c:v>#N/A</c:v>
                </c:pt>
                <c:pt idx="230">
                  <c:v>#N/A</c:v>
                </c:pt>
                <c:pt idx="231">
                  <c:v>#N/A</c:v>
                </c:pt>
                <c:pt idx="232">
                  <c:v>#N/A</c:v>
                </c:pt>
                <c:pt idx="233">
                  <c:v>#N/A</c:v>
                </c:pt>
                <c:pt idx="234">
                  <c:v>#N/A</c:v>
                </c:pt>
                <c:pt idx="235">
                  <c:v>#N/A</c:v>
                </c:pt>
                <c:pt idx="236">
                  <c:v>#N/A</c:v>
                </c:pt>
                <c:pt idx="237">
                  <c:v>#N/A</c:v>
                </c:pt>
                <c:pt idx="238">
                  <c:v>425.78932074982544</c:v>
                </c:pt>
                <c:pt idx="239">
                  <c:v>#N/A</c:v>
                </c:pt>
                <c:pt idx="240">
                  <c:v>#N/A</c:v>
                </c:pt>
                <c:pt idx="241">
                  <c:v>#N/A</c:v>
                </c:pt>
                <c:pt idx="242">
                  <c:v>#N/A</c:v>
                </c:pt>
                <c:pt idx="243">
                  <c:v>#N/A</c:v>
                </c:pt>
                <c:pt idx="244">
                  <c:v>#N/A</c:v>
                </c:pt>
                <c:pt idx="245">
                  <c:v>#N/A</c:v>
                </c:pt>
                <c:pt idx="246">
                  <c:v>#N/A</c:v>
                </c:pt>
                <c:pt idx="247">
                  <c:v>#N/A</c:v>
                </c:pt>
                <c:pt idx="248">
                  <c:v>442.33952626552292</c:v>
                </c:pt>
                <c:pt idx="249">
                  <c:v>#N/A</c:v>
                </c:pt>
                <c:pt idx="250">
                  <c:v>#N/A</c:v>
                </c:pt>
                <c:pt idx="251">
                  <c:v>#N/A</c:v>
                </c:pt>
                <c:pt idx="252">
                  <c:v>#N/A</c:v>
                </c:pt>
                <c:pt idx="253">
                  <c:v>#N/A</c:v>
                </c:pt>
                <c:pt idx="254">
                  <c:v>#N/A</c:v>
                </c:pt>
                <c:pt idx="255">
                  <c:v>#N/A</c:v>
                </c:pt>
                <c:pt idx="256">
                  <c:v>#N/A</c:v>
                </c:pt>
                <c:pt idx="257">
                  <c:v>#N/A</c:v>
                </c:pt>
                <c:pt idx="258">
                  <c:v>458.20202113093046</c:v>
                </c:pt>
                <c:pt idx="259">
                  <c:v>#N/A</c:v>
                </c:pt>
                <c:pt idx="260">
                  <c:v>#N/A</c:v>
                </c:pt>
                <c:pt idx="261">
                  <c:v>#N/A</c:v>
                </c:pt>
                <c:pt idx="262">
                  <c:v>#N/A</c:v>
                </c:pt>
                <c:pt idx="263">
                  <c:v>#N/A</c:v>
                </c:pt>
                <c:pt idx="264">
                  <c:v>#N/A</c:v>
                </c:pt>
                <c:pt idx="265">
                  <c:v>#N/A</c:v>
                </c:pt>
                <c:pt idx="266">
                  <c:v>#N/A</c:v>
                </c:pt>
                <c:pt idx="267">
                  <c:v>#N/A</c:v>
                </c:pt>
                <c:pt idx="268">
                  <c:v>473.30951111847963</c:v>
                </c:pt>
                <c:pt idx="269">
                  <c:v>#N/A</c:v>
                </c:pt>
                <c:pt idx="270">
                  <c:v>#N/A</c:v>
                </c:pt>
                <c:pt idx="271">
                  <c:v>#N/A</c:v>
                </c:pt>
                <c:pt idx="272">
                  <c:v>#N/A</c:v>
                </c:pt>
                <c:pt idx="273">
                  <c:v>#N/A</c:v>
                </c:pt>
                <c:pt idx="274">
                  <c:v>#N/A</c:v>
                </c:pt>
                <c:pt idx="275">
                  <c:v>#N/A</c:v>
                </c:pt>
                <c:pt idx="276">
                  <c:v>#N/A</c:v>
                </c:pt>
                <c:pt idx="277">
                  <c:v>#N/A</c:v>
                </c:pt>
                <c:pt idx="278">
                  <c:v>487.61228738536397</c:v>
                </c:pt>
                <c:pt idx="279">
                  <c:v>#N/A</c:v>
                </c:pt>
                <c:pt idx="280">
                  <c:v>#N/A</c:v>
                </c:pt>
                <c:pt idx="281">
                  <c:v>#N/A</c:v>
                </c:pt>
                <c:pt idx="282">
                  <c:v>#N/A</c:v>
                </c:pt>
                <c:pt idx="283">
                  <c:v>#N/A</c:v>
                </c:pt>
                <c:pt idx="284">
                  <c:v>#N/A</c:v>
                </c:pt>
                <c:pt idx="285">
                  <c:v>#N/A</c:v>
                </c:pt>
                <c:pt idx="286">
                  <c:v>#N/A</c:v>
                </c:pt>
                <c:pt idx="287">
                  <c:v>#N/A</c:v>
                </c:pt>
                <c:pt idx="288">
                  <c:v>501.07829176350856</c:v>
                </c:pt>
                <c:pt idx="289">
                  <c:v>#N/A</c:v>
                </c:pt>
                <c:pt idx="290">
                  <c:v>#N/A</c:v>
                </c:pt>
                <c:pt idx="291">
                  <c:v>#N/A</c:v>
                </c:pt>
                <c:pt idx="292">
                  <c:v>#N/A</c:v>
                </c:pt>
                <c:pt idx="293">
                  <c:v>#N/A</c:v>
                </c:pt>
                <c:pt idx="294">
                  <c:v>#N/A</c:v>
                </c:pt>
                <c:pt idx="295">
                  <c:v>#N/A</c:v>
                </c:pt>
                <c:pt idx="296">
                  <c:v>#N/A</c:v>
                </c:pt>
                <c:pt idx="297">
                  <c:v>#N/A</c:v>
                </c:pt>
                <c:pt idx="298">
                  <c:v>513.6920467091287</c:v>
                </c:pt>
                <c:pt idx="299">
                  <c:v>#N/A</c:v>
                </c:pt>
                <c:pt idx="300">
                  <c:v>#N/A</c:v>
                </c:pt>
                <c:pt idx="301">
                  <c:v>#N/A</c:v>
                </c:pt>
                <c:pt idx="302">
                  <c:v>#N/A</c:v>
                </c:pt>
                <c:pt idx="303">
                  <c:v>#N/A</c:v>
                </c:pt>
                <c:pt idx="304">
                  <c:v>#N/A</c:v>
                </c:pt>
                <c:pt idx="305">
                  <c:v>#N/A</c:v>
                </c:pt>
                <c:pt idx="306">
                  <c:v>#N/A</c:v>
                </c:pt>
                <c:pt idx="307">
                  <c:v>#N/A</c:v>
                </c:pt>
                <c:pt idx="308">
                  <c:v>525.4528639899014</c:v>
                </c:pt>
                <c:pt idx="309">
                  <c:v>#N/A</c:v>
                </c:pt>
                <c:pt idx="310">
                  <c:v>#N/A</c:v>
                </c:pt>
                <c:pt idx="311">
                  <c:v>#N/A</c:v>
                </c:pt>
                <c:pt idx="312">
                  <c:v>#N/A</c:v>
                </c:pt>
                <c:pt idx="313">
                  <c:v>#N/A</c:v>
                </c:pt>
                <c:pt idx="314">
                  <c:v>#N/A</c:v>
                </c:pt>
                <c:pt idx="315">
                  <c:v>#N/A</c:v>
                </c:pt>
                <c:pt idx="316">
                  <c:v>#N/A</c:v>
                </c:pt>
                <c:pt idx="317">
                  <c:v>#N/A</c:v>
                </c:pt>
                <c:pt idx="318">
                  <c:v>536.37265784839633</c:v>
                </c:pt>
                <c:pt idx="319">
                  <c:v>#N/A</c:v>
                </c:pt>
                <c:pt idx="320">
                  <c:v>#N/A</c:v>
                </c:pt>
                <c:pt idx="321">
                  <c:v>#N/A</c:v>
                </c:pt>
                <c:pt idx="322">
                  <c:v>#N/A</c:v>
                </c:pt>
                <c:pt idx="323">
                  <c:v>#N/A</c:v>
                </c:pt>
                <c:pt idx="324">
                  <c:v>#N/A</c:v>
                </c:pt>
                <c:pt idx="325">
                  <c:v>#N/A</c:v>
                </c:pt>
                <c:pt idx="326">
                  <c:v>#N/A</c:v>
                </c:pt>
                <c:pt idx="327">
                  <c:v>#N/A</c:v>
                </c:pt>
                <c:pt idx="328">
                  <c:v>546.47361638181849</c:v>
                </c:pt>
                <c:pt idx="329">
                  <c:v>#N/A</c:v>
                </c:pt>
                <c:pt idx="330">
                  <c:v>#N/A</c:v>
                </c:pt>
                <c:pt idx="331">
                  <c:v>#N/A</c:v>
                </c:pt>
                <c:pt idx="332">
                  <c:v>#N/A</c:v>
                </c:pt>
                <c:pt idx="333">
                  <c:v>#N/A</c:v>
                </c:pt>
                <c:pt idx="334">
                  <c:v>#N/A</c:v>
                </c:pt>
                <c:pt idx="335">
                  <c:v>#N/A</c:v>
                </c:pt>
                <c:pt idx="336">
                  <c:v>#N/A</c:v>
                </c:pt>
                <c:pt idx="337">
                  <c:v>#N/A</c:v>
                </c:pt>
                <c:pt idx="338">
                  <c:v>555.78591791607573</c:v>
                </c:pt>
                <c:pt idx="339">
                  <c:v>#N/A</c:v>
                </c:pt>
                <c:pt idx="340">
                  <c:v>#N/A</c:v>
                </c:pt>
                <c:pt idx="341">
                  <c:v>#N/A</c:v>
                </c:pt>
                <c:pt idx="342">
                  <c:v>#N/A</c:v>
                </c:pt>
                <c:pt idx="343">
                  <c:v>#N/A</c:v>
                </c:pt>
                <c:pt idx="344">
                  <c:v>#N/A</c:v>
                </c:pt>
                <c:pt idx="345">
                  <c:v>#N/A</c:v>
                </c:pt>
                <c:pt idx="346">
                  <c:v>#N/A</c:v>
                </c:pt>
                <c:pt idx="347">
                  <c:v>#N/A</c:v>
                </c:pt>
                <c:pt idx="348">
                  <c:v>564.34561823445449</c:v>
                </c:pt>
                <c:pt idx="349">
                  <c:v>#N/A</c:v>
                </c:pt>
                <c:pt idx="350">
                  <c:v>#N/A</c:v>
                </c:pt>
                <c:pt idx="351">
                  <c:v>#N/A</c:v>
                </c:pt>
                <c:pt idx="352">
                  <c:v>#N/A</c:v>
                </c:pt>
                <c:pt idx="353">
                  <c:v>#N/A</c:v>
                </c:pt>
                <c:pt idx="354">
                  <c:v>#N/A</c:v>
                </c:pt>
                <c:pt idx="355">
                  <c:v>#N/A</c:v>
                </c:pt>
                <c:pt idx="356">
                  <c:v>#N/A</c:v>
                </c:pt>
                <c:pt idx="357">
                  <c:v>#N/A</c:v>
                </c:pt>
                <c:pt idx="358">
                  <c:v>572.19278272923771</c:v>
                </c:pt>
                <c:pt idx="359">
                  <c:v>#N/A</c:v>
                </c:pt>
                <c:pt idx="360">
                  <c:v>#N/A</c:v>
                </c:pt>
                <c:pt idx="361">
                  <c:v>#N/A</c:v>
                </c:pt>
                <c:pt idx="362">
                  <c:v>#N/A</c:v>
                </c:pt>
                <c:pt idx="363">
                  <c:v>#N/A</c:v>
                </c:pt>
                <c:pt idx="364">
                  <c:v>#N/A</c:v>
                </c:pt>
                <c:pt idx="365">
                  <c:v>#N/A</c:v>
                </c:pt>
                <c:pt idx="366">
                  <c:v>#N/A</c:v>
                </c:pt>
                <c:pt idx="367">
                  <c:v>#N/A</c:v>
                </c:pt>
                <c:pt idx="368">
                  <c:v>579.36989677806025</c:v>
                </c:pt>
                <c:pt idx="369">
                  <c:v>#N/A</c:v>
                </c:pt>
                <c:pt idx="370">
                  <c:v>#N/A</c:v>
                </c:pt>
                <c:pt idx="371">
                  <c:v>#N/A</c:v>
                </c:pt>
                <c:pt idx="372">
                  <c:v>#N/A</c:v>
                </c:pt>
                <c:pt idx="373">
                  <c:v>#N/A</c:v>
                </c:pt>
                <c:pt idx="374">
                  <c:v>#N/A</c:v>
                </c:pt>
                <c:pt idx="375">
                  <c:v>#N/A</c:v>
                </c:pt>
                <c:pt idx="376">
                  <c:v>#N/A</c:v>
                </c:pt>
                <c:pt idx="377">
                  <c:v>#N/A</c:v>
                </c:pt>
                <c:pt idx="378">
                  <c:v>585.92055806795577</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xVal>
          <c:yVal>
            <c:numRef>
              <c:f>Calculs!$K$4:$K$1004</c:f>
              <c:numCache>
                <c:formatCode>0.00</c:formatCode>
                <c:ptCount val="1001"/>
                <c:pt idx="0">
                  <c:v>487.84771914632313</c:v>
                </c:pt>
                <c:pt idx="1">
                  <c:v>489.54718062018776</c:v>
                </c:pt>
                <c:pt idx="2">
                  <c:v>491.24294032459193</c:v>
                </c:pt>
                <c:pt idx="3">
                  <c:v>492.93501052437801</c:v>
                </c:pt>
                <c:pt idx="4">
                  <c:v>494.62340341378064</c:v>
                </c:pt>
                <c:pt idx="5">
                  <c:v>496.30813111696835</c:v>
                </c:pt>
                <c:pt idx="6">
                  <c:v>497.98920568858028</c:v>
                </c:pt>
                <c:pt idx="7">
                  <c:v>499.66663911425746</c:v>
                </c:pt>
                <c:pt idx="8">
                  <c:v>501.34044331116917</c:v>
                </c:pt>
                <c:pt idx="9">
                  <c:v>503.01063012853422</c:v>
                </c:pt>
                <c:pt idx="10">
                  <c:v>504.67721134813729</c:v>
                </c:pt>
                <c:pt idx="11">
                  <c:v>506.34019866652045</c:v>
                </c:pt>
                <c:pt idx="12">
                  <c:v>507.99960367772184</c:v>
                </c:pt>
                <c:pt idx="13">
                  <c:v>509.65543789319361</c:v>
                </c:pt>
                <c:pt idx="14">
                  <c:v>511.30771276114598</c:v>
                </c:pt>
                <c:pt idx="15">
                  <c:v>512.95643966700504</c:v>
                </c:pt>
                <c:pt idx="16">
                  <c:v>514.60162993386643</c:v>
                </c:pt>
                <c:pt idx="17">
                  <c:v>516.24329482294513</c:v>
                </c:pt>
                <c:pt idx="18">
                  <c:v>517.88144553402083</c:v>
                </c:pt>
                <c:pt idx="19">
                  <c:v>519.51609320587932</c:v>
                </c:pt>
                <c:pt idx="20">
                  <c:v>521.14724891675007</c:v>
                </c:pt>
                <c:pt idx="21">
                  <c:v>522.77492369390814</c:v>
                </c:pt>
                <c:pt idx="22">
                  <c:v>524.39912852300677</c:v>
                </c:pt>
                <c:pt idx="23">
                  <c:v>526.01987433880925</c:v>
                </c:pt>
                <c:pt idx="24">
                  <c:v>527.63717201618897</c:v>
                </c:pt>
                <c:pt idx="25">
                  <c:v>529.25103237056396</c:v>
                </c:pt>
                <c:pt idx="26">
                  <c:v>530.86146615832718</c:v>
                </c:pt>
                <c:pt idx="27">
                  <c:v>532.46848407727305</c:v>
                </c:pt>
                <c:pt idx="28">
                  <c:v>534.07209676702007</c:v>
                </c:pt>
                <c:pt idx="29">
                  <c:v>535.67231480942951</c:v>
                </c:pt>
                <c:pt idx="30">
                  <c:v>537.26914872902034</c:v>
                </c:pt>
                <c:pt idx="31">
                  <c:v>538.8626089933806</c:v>
                </c:pt>
                <c:pt idx="32">
                  <c:v>540.45270601357493</c:v>
                </c:pt>
                <c:pt idx="33">
                  <c:v>542.03945014454814</c:v>
                </c:pt>
                <c:pt idx="34">
                  <c:v>543.6228516855258</c:v>
                </c:pt>
                <c:pt idx="35">
                  <c:v>545.2029208804106</c:v>
                </c:pt>
                <c:pt idx="36">
                  <c:v>546.77966791817539</c:v>
                </c:pt>
                <c:pt idx="37">
                  <c:v>548.35310293325301</c:v>
                </c:pt>
                <c:pt idx="38">
                  <c:v>549.92323600592215</c:v>
                </c:pt>
                <c:pt idx="39">
                  <c:v>551.49007716269</c:v>
                </c:pt>
                <c:pt idx="40">
                  <c:v>553.05363637667176</c:v>
                </c:pt>
                <c:pt idx="41">
                  <c:v>554.61392356796614</c:v>
                </c:pt>
                <c:pt idx="42">
                  <c:v>556.17094860402813</c:v>
                </c:pt>
                <c:pt idx="43">
                  <c:v>557.72472130003825</c:v>
                </c:pt>
                <c:pt idx="44">
                  <c:v>559.27525141926856</c:v>
                </c:pt>
                <c:pt idx="45">
                  <c:v>560.82254867344523</c:v>
                </c:pt>
                <c:pt idx="46">
                  <c:v>562.36662272310855</c:v>
                </c:pt>
                <c:pt idx="47">
                  <c:v>563.90748317796897</c:v>
                </c:pt>
                <c:pt idx="48">
                  <c:v>565.44513959726044</c:v>
                </c:pt>
                <c:pt idx="49">
                  <c:v>566.97960149009089</c:v>
                </c:pt>
                <c:pt idx="50">
                  <c:v>568.51087831578911</c:v>
                </c:pt>
                <c:pt idx="51">
                  <c:v>570.03897948424901</c:v>
                </c:pt>
                <c:pt idx="52">
                  <c:v>571.56391435627074</c:v>
                </c:pt>
                <c:pt idx="53">
                  <c:v>573.08569224389885</c:v>
                </c:pt>
                <c:pt idx="54">
                  <c:v>574.6043224107575</c:v>
                </c:pt>
                <c:pt idx="55">
                  <c:v>576.11981407238295</c:v>
                </c:pt>
                <c:pt idx="56">
                  <c:v>577.63217639655272</c:v>
                </c:pt>
                <c:pt idx="57">
                  <c:v>579.14141850361273</c:v>
                </c:pt>
                <c:pt idx="58">
                  <c:v>580.64754946680046</c:v>
                </c:pt>
                <c:pt idx="59">
                  <c:v>582.15057831256649</c:v>
                </c:pt>
                <c:pt idx="60">
                  <c:v>583.6505140208925</c:v>
                </c:pt>
                <c:pt idx="61">
                  <c:v>585.14736552560703</c:v>
                </c:pt>
                <c:pt idx="62">
                  <c:v>586.64114171469828</c:v>
                </c:pt>
                <c:pt idx="63">
                  <c:v>588.13185143062412</c:v>
                </c:pt>
                <c:pt idx="64">
                  <c:v>589.61950347061975</c:v>
                </c:pt>
                <c:pt idx="65">
                  <c:v>591.10410658700266</c:v>
                </c:pt>
                <c:pt idx="66">
                  <c:v>592.585669487475</c:v>
                </c:pt>
                <c:pt idx="67">
                  <c:v>594.06420083542309</c:v>
                </c:pt>
                <c:pt idx="68">
                  <c:v>595.53970925021508</c:v>
                </c:pt>
                <c:pt idx="69">
                  <c:v>597.01220330749527</c:v>
                </c:pt>
                <c:pt idx="70">
                  <c:v>598.48169153947663</c:v>
                </c:pt>
                <c:pt idx="71">
                  <c:v>599.94818243523036</c:v>
                </c:pt>
                <c:pt idx="72">
                  <c:v>601.41168444097343</c:v>
                </c:pt>
                <c:pt idx="73">
                  <c:v>602.87220596035343</c:v>
                </c:pt>
                <c:pt idx="74">
                  <c:v>604.32975535473099</c:v>
                </c:pt>
                <c:pt idx="75">
                  <c:v>605.78434094346017</c:v>
                </c:pt>
                <c:pt idx="76">
                  <c:v>607.23597100416623</c:v>
                </c:pt>
                <c:pt idx="77">
                  <c:v>608.68465377302118</c:v>
                </c:pt>
                <c:pt idx="78">
                  <c:v>610.1303974450168</c:v>
                </c:pt>
                <c:pt idx="79">
                  <c:v>611.57321017423601</c:v>
                </c:pt>
                <c:pt idx="80">
                  <c:v>613.01310007412121</c:v>
                </c:pt>
                <c:pt idx="81">
                  <c:v>614.45007521774107</c:v>
                </c:pt>
                <c:pt idx="82">
                  <c:v>615.88414363805452</c:v>
                </c:pt>
                <c:pt idx="83">
                  <c:v>617.31531332817315</c:v>
                </c:pt>
                <c:pt idx="84">
                  <c:v>618.74359224162106</c:v>
                </c:pt>
                <c:pt idx="85">
                  <c:v>620.16898829259253</c:v>
                </c:pt>
                <c:pt idx="86">
                  <c:v>621.59150935620801</c:v>
                </c:pt>
                <c:pt idx="87">
                  <c:v>623.0111632687674</c:v>
                </c:pt>
                <c:pt idx="88">
                  <c:v>624.42795782800181</c:v>
                </c:pt>
                <c:pt idx="89">
                  <c:v>625.84190079332302</c:v>
                </c:pt>
                <c:pt idx="90">
                  <c:v>627.25299988607094</c:v>
                </c:pt>
                <c:pt idx="91">
                  <c:v>628.66126278975878</c:v>
                </c:pt>
                <c:pt idx="92">
                  <c:v>630.06669715031683</c:v>
                </c:pt>
                <c:pt idx="93">
                  <c:v>631.46931057633356</c:v>
                </c:pt>
                <c:pt idx="94">
                  <c:v>632.86911063929551</c:v>
                </c:pt>
                <c:pt idx="95">
                  <c:v>634.26610487382459</c:v>
                </c:pt>
                <c:pt idx="96">
                  <c:v>635.66030077791379</c:v>
                </c:pt>
                <c:pt idx="97">
                  <c:v>637.05170581316088</c:v>
                </c:pt>
                <c:pt idx="98">
                  <c:v>638.4403274050004</c:v>
                </c:pt>
                <c:pt idx="99">
                  <c:v>639.82617294293357</c:v>
                </c:pt>
                <c:pt idx="100">
                  <c:v>641.20924978075629</c:v>
                </c:pt>
                <c:pt idx="101">
                  <c:v>654.8883064246296</c:v>
                </c:pt>
                <c:pt idx="102">
                  <c:v>668.29518584562084</c:v>
                </c:pt>
                <c:pt idx="103">
                  <c:v>681.4369102654988</c:v>
                </c:pt>
                <c:pt idx="104">
                  <c:v>694.32017301844894</c:v>
                </c:pt>
                <c:pt idx="105">
                  <c:v>706.95135849586541</c:v>
                </c:pt>
                <c:pt idx="106">
                  <c:v>719.33656058114059</c:v>
                </c:pt>
                <c:pt idx="107">
                  <c:v>731.48159971003008</c:v>
                </c:pt>
                <c:pt idx="108">
                  <c:v>743.39203867812012</c:v>
                </c:pt>
                <c:pt idx="109">
                  <c:v>755.07319730452218</c:v>
                </c:pt>
                <c:pt idx="110">
                  <c:v>766.53016604994252</c:v>
                </c:pt>
                <c:pt idx="111">
                  <c:v>777.76781867754846</c:v>
                </c:pt>
                <c:pt idx="112">
                  <c:v>788.79082403641416</c:v>
                </c:pt>
                <c:pt idx="113">
                  <c:v>799.60365703964408</c:v>
                </c:pt>
                <c:pt idx="114">
                  <c:v>810.21060890242518</c:v>
                </c:pt>
                <c:pt idx="115">
                  <c:v>820.61579669914533</c:v>
                </c:pt>
                <c:pt idx="116">
                  <c:v>830.82317229325099</c:v>
                </c:pt>
                <c:pt idx="117">
                  <c:v>840.83653068862282</c:v>
                </c:pt>
                <c:pt idx="118">
                  <c:v>850.65951784685899</c:v>
                </c:pt>
                <c:pt idx="119">
                  <c:v>860.29563801091285</c:v>
                </c:pt>
                <c:pt idx="120">
                  <c:v>869.74826057198595</c:v>
                </c:pt>
                <c:pt idx="121">
                  <c:v>879.02062651338156</c:v>
                </c:pt>
                <c:pt idx="122">
                  <c:v>888.11585446214428</c:v>
                </c:pt>
                <c:pt idx="123">
                  <c:v>897.03694637670628</c:v>
                </c:pt>
                <c:pt idx="124">
                  <c:v>905.7867928964082</c:v>
                </c:pt>
                <c:pt idx="125">
                  <c:v>914.36817837663011</c:v>
                </c:pt>
                <c:pt idx="126">
                  <c:v>922.78378563133606</c:v>
                </c:pt>
                <c:pt idx="127">
                  <c:v>931.03620040307953</c:v>
                </c:pt>
                <c:pt idx="128">
                  <c:v>939.12791557892479</c:v>
                </c:pt>
                <c:pt idx="129">
                  <c:v>947.0613351692848</c:v>
                </c:pt>
                <c:pt idx="130">
                  <c:v>954.83877806535861</c:v>
                </c:pt>
                <c:pt idx="131">
                  <c:v>962.46248158964181</c:v>
                </c:pt>
                <c:pt idx="132">
                  <c:v>969.93460485288688</c:v>
                </c:pt>
                <c:pt idx="133">
                  <c:v>977.25723192988255</c:v>
                </c:pt>
                <c:pt idx="134">
                  <c:v>984.43237486550208</c:v>
                </c:pt>
                <c:pt idx="135">
                  <c:v>991.46197652162948</c:v>
                </c:pt>
                <c:pt idx="136">
                  <c:v>998.34791327479911</c:v>
                </c:pt>
                <c:pt idx="137">
                  <c:v>1005.0919975736781</c:v>
                </c:pt>
                <c:pt idx="138">
                  <c:v>1011.6959803648698</c:v>
                </c:pt>
                <c:pt idx="139">
                  <c:v>1018.1615533949202</c:v>
                </c:pt>
                <c:pt idx="140">
                  <c:v>1024.4903513958591</c:v>
                </c:pt>
                <c:pt idx="141">
                  <c:v>1030.6839541611039</c:v>
                </c:pt>
                <c:pt idx="142">
                  <c:v>1036.7438885180875</c:v>
                </c:pt>
                <c:pt idx="143">
                  <c:v>1042.6716302035431</c:v>
                </c:pt>
                <c:pt idx="144">
                  <c:v>1048.4686056469832</c:v>
                </c:pt>
                <c:pt idx="145">
                  <c:v>1054.1361936675453</c:v>
                </c:pt>
                <c:pt idx="146">
                  <c:v>1059.6757270890419</c:v>
                </c:pt>
                <c:pt idx="147">
                  <c:v>1065.0884942777361</c:v>
                </c:pt>
                <c:pt idx="148">
                  <c:v>1070.3757406070858</c:v>
                </c:pt>
                <c:pt idx="149">
                  <c:v>1075.5386698534239</c:v>
                </c:pt>
                <c:pt idx="150">
                  <c:v>1080.5784455263081</c:v>
                </c:pt>
                <c:pt idx="151">
                  <c:v>1085.496192137038</c:v>
                </c:pt>
                <c:pt idx="152">
                  <c:v>1090.2929964086363</c:v>
                </c:pt>
                <c:pt idx="153">
                  <c:v>1094.9699084303936</c:v>
                </c:pt>
                <c:pt idx="154">
                  <c:v>1099.5279427599037</c:v>
                </c:pt>
                <c:pt idx="155">
                  <c:v>1103.968079475351</c:v>
                </c:pt>
                <c:pt idx="156">
                  <c:v>1108.2912651806644</c:v>
                </c:pt>
                <c:pt idx="157">
                  <c:v>1112.4984139660166</c:v>
                </c:pt>
                <c:pt idx="158">
                  <c:v>1116.5904083260243</c:v>
                </c:pt>
                <c:pt idx="159">
                  <c:v>1120.5681000378938</c:v>
                </c:pt>
                <c:pt idx="160">
                  <c:v>1124.432311001658</c:v>
                </c:pt>
                <c:pt idx="161">
                  <c:v>1128.1838340445643</c:v>
                </c:pt>
                <c:pt idx="162">
                  <c:v>1131.8234336915939</c:v>
                </c:pt>
                <c:pt idx="163">
                  <c:v>1135.3518469040362</c:v>
                </c:pt>
                <c:pt idx="164">
                  <c:v>1138.7697837879821</c:v>
                </c:pt>
                <c:pt idx="165">
                  <c:v>1142.0779282745702</c:v>
                </c:pt>
                <c:pt idx="166">
                  <c:v>1145.2769387737878</c:v>
                </c:pt>
                <c:pt idx="167">
                  <c:v>1148.3674488036224</c:v>
                </c:pt>
                <c:pt idx="168">
                  <c:v>1151.3500675963605</c:v>
                </c:pt>
                <c:pt idx="169">
                  <c:v>1154.2253806838569</c:v>
                </c:pt>
                <c:pt idx="170">
                  <c:v>1156.9939504636304</c:v>
                </c:pt>
                <c:pt idx="171">
                  <c:v>1159.6563167477091</c:v>
                </c:pt>
                <c:pt idx="172">
                  <c:v>1162.2129972962246</c:v>
                </c:pt>
                <c:pt idx="173">
                  <c:v>1164.6644883378669</c:v>
                </c:pt>
                <c:pt idx="174">
                  <c:v>1167.0112650794408</c:v>
                </c:pt>
                <c:pt idx="175">
                  <c:v>1169.2537822069319</c:v>
                </c:pt>
                <c:pt idx="176">
                  <c:v>1171.3924743806851</c:v>
                </c:pt>
                <c:pt idx="177">
                  <c:v>1173.427756727531</c:v>
                </c:pt>
                <c:pt idx="178">
                  <c:v>1175.3600253329564</c:v>
                </c:pt>
                <c:pt idx="179">
                  <c:v>1177.1896577367297</c:v>
                </c:pt>
                <c:pt idx="180">
                  <c:v>1178.9170134357166</c:v>
                </c:pt>
                <c:pt idx="181">
                  <c:v>1180.542434398003</c:v>
                </c:pt>
                <c:pt idx="182">
                  <c:v>1182.0662455928264</c:v>
                </c:pt>
                <c:pt idx="183">
                  <c:v>1183.4887555412233</c:v>
                </c:pt>
                <c:pt idx="184">
                  <c:v>1184.8102568926899</c:v>
                </c:pt>
                <c:pt idx="185">
                  <c:v>1186.0310270335058</c:v>
                </c:pt>
                <c:pt idx="186">
                  <c:v>1187.1513287326436</c:v>
                </c:pt>
                <c:pt idx="187">
                  <c:v>1188.1714108313329</c:v>
                </c:pt>
                <c:pt idx="188">
                  <c:v>1189.0915089823011</c:v>
                </c:pt>
                <c:pt idx="189">
                  <c:v>1189.9118464444084</c:v>
                </c:pt>
                <c:pt idx="190">
                  <c:v>1190.6326349377516</c:v>
                </c:pt>
                <c:pt idx="191">
                  <c:v>1191.2540755632692</c:v>
                </c:pt>
                <c:pt idx="192">
                  <c:v>1191.7763597893713</c:v>
                </c:pt>
                <c:pt idx="193">
                  <c:v>1192.1996705061306</c:v>
                </c:pt>
                <c:pt idx="194">
                  <c:v>1192.5241831451251</c:v>
                </c:pt>
                <c:pt idx="195">
                  <c:v>1192.7500668602081</c:v>
                </c:pt>
                <c:pt idx="196">
                  <c:v>1192.8774857614485</c:v>
                </c:pt>
                <c:pt idx="197">
                  <c:v>1192.9066001914607</c:v>
                </c:pt>
                <c:pt idx="198">
                  <c:v>1192.8375680305887</c:v>
                </c:pt>
                <c:pt idx="199">
                  <c:v>1192.6705460152034</c:v>
                </c:pt>
                <c:pt idx="200">
                  <c:v>1192.4056910519494</c:v>
                </c:pt>
                <c:pt idx="201">
                  <c:v>1192.0431615103162</c:v>
                </c:pt>
                <c:pt idx="202">
                  <c:v>1191.5831184764559</c:v>
                </c:pt>
                <c:pt idx="203">
                  <c:v>1191.0257269526617</c:v>
                </c:pt>
                <c:pt idx="204">
                  <c:v>1190.3711569891998</c:v>
                </c:pt>
                <c:pt idx="205">
                  <c:v>1189.6195847379886</c:v>
                </c:pt>
                <c:pt idx="206">
                  <c:v>1188.7711934206761</c:v>
                </c:pt>
                <c:pt idx="207">
                  <c:v>1187.826174206712</c:v>
                </c:pt>
                <c:pt idx="208">
                  <c:v>1186.7847269998153</c:v>
                </c:pt>
                <c:pt idx="209">
                  <c:v>1185.6470611336642</c:v>
                </c:pt>
                <c:pt idx="210">
                  <c:v>1184.4133959795777</c:v>
                </c:pt>
                <c:pt idx="211">
                  <c:v>1183.0839614704189</c:v>
                </c:pt>
                <c:pt idx="212">
                  <c:v>1181.6589985459332</c:v>
                </c:pt>
                <c:pt idx="213">
                  <c:v>1180.1387595253143</c:v>
                </c:pt>
                <c:pt idx="214">
                  <c:v>1178.5235084130379</c:v>
                </c:pt>
                <c:pt idx="215">
                  <c:v>1176.8135211439803</c:v>
                </c:pt>
                <c:pt idx="216">
                  <c:v>1175.0090857736438</c:v>
                </c:pt>
                <c:pt idx="217">
                  <c:v>1173.1105026189746</c:v>
                </c:pt>
                <c:pt idx="218">
                  <c:v>1171.1180843548634</c:v>
                </c:pt>
                <c:pt idx="219">
                  <c:v>1169.032156070976</c:v>
                </c:pt>
                <c:pt idx="220">
                  <c:v>1166.8530552931154</c:v>
                </c:pt>
                <c:pt idx="221">
                  <c:v>1164.5811319728855</c:v>
                </c:pt>
                <c:pt idx="222">
                  <c:v>1162.2167484490139</c:v>
                </c:pt>
                <c:pt idx="223">
                  <c:v>1159.7602793833171</c:v>
                </c:pt>
                <c:pt idx="224">
                  <c:v>1157.2121116739461</c:v>
                </c:pt>
                <c:pt idx="225">
                  <c:v>1154.5726443482492</c:v>
                </c:pt>
                <c:pt idx="226">
                  <c:v>1151.8422884373131</c:v>
                </c:pt>
                <c:pt idx="227">
                  <c:v>1149.0214668340068</c:v>
                </c:pt>
                <c:pt idx="228">
                  <c:v>1146.1106141361497</c:v>
                </c:pt>
                <c:pt idx="229">
                  <c:v>1143.1101764762343</c:v>
                </c:pt>
                <c:pt idx="230">
                  <c:v>1140.02061133899</c:v>
                </c:pt>
                <c:pt idx="231">
                  <c:v>1136.8423873679276</c:v>
                </c:pt>
                <c:pt idx="232">
                  <c:v>1133.575984161896</c:v>
                </c:pt>
                <c:pt idx="233">
                  <c:v>1130.2218920625769</c:v>
                </c:pt>
                <c:pt idx="234">
                  <c:v>1126.780611933757</c:v>
                </c:pt>
                <c:pt idx="235">
                  <c:v>1123.2526549331451</c:v>
                </c:pt>
                <c:pt idx="236">
                  <c:v>1119.6385422774331</c:v>
                </c:pt>
                <c:pt idx="237">
                  <c:v>1115.9388050012469</c:v>
                </c:pt>
                <c:pt idx="238">
                  <c:v>1112.1539837105815</c:v>
                </c:pt>
                <c:pt idx="239">
                  <c:v>1108.2846283312751</c:v>
                </c:pt>
                <c:pt idx="240">
                  <c:v>1104.3312978530391</c:v>
                </c:pt>
                <c:pt idx="241">
                  <c:v>1100.2945600695273</c:v>
                </c:pt>
                <c:pt idx="242">
                  <c:v>1096.1749913148999</c:v>
                </c:pt>
                <c:pt idx="243">
                  <c:v>1091.9731761973151</c:v>
                </c:pt>
                <c:pt idx="244">
                  <c:v>1087.6897073297523</c:v>
                </c:pt>
                <c:pt idx="245">
                  <c:v>1083.3251850585584</c:v>
                </c:pt>
                <c:pt idx="246">
                  <c:v>1078.8802171900829</c:v>
                </c:pt>
                <c:pt idx="247">
                  <c:v>1074.3554187157586</c:v>
                </c:pt>
                <c:pt idx="248">
                  <c:v>1069.7514115359613</c:v>
                </c:pt>
                <c:pt idx="249">
                  <c:v>1065.0688241829755</c:v>
                </c:pt>
                <c:pt idx="250">
                  <c:v>1060.3082915433745</c:v>
                </c:pt>
                <c:pt idx="251">
                  <c:v>1055.4704545801139</c:v>
                </c:pt>
                <c:pt idx="252">
                  <c:v>1050.5559600546253</c:v>
                </c:pt>
                <c:pt idx="253">
                  <c:v>1045.565460249185</c:v>
                </c:pt>
                <c:pt idx="254">
                  <c:v>1040.4996126898247</c:v>
                </c:pt>
                <c:pt idx="255">
                  <c:v>1035.3590798700379</c:v>
                </c:pt>
                <c:pt idx="256">
                  <c:v>1030.1445289755272</c:v>
                </c:pt>
                <c:pt idx="257">
                  <c:v>1024.856631610231</c:v>
                </c:pt>
                <c:pt idx="258">
                  <c:v>1019.4960635238532</c:v>
                </c:pt>
                <c:pt idx="259">
                  <c:v>1014.0635043411161</c:v>
                </c:pt>
                <c:pt idx="260">
                  <c:v>1008.5596372929447</c:v>
                </c:pt>
                <c:pt idx="261">
                  <c:v>1002.9851489497829</c:v>
                </c:pt>
                <c:pt idx="262">
                  <c:v>997.34072895723364</c:v>
                </c:pt>
                <c:pt idx="263">
                  <c:v>991.62706977420589</c:v>
                </c:pt>
                <c:pt idx="264">
                  <c:v>985.84486641374497</c:v>
                </c:pt>
                <c:pt idx="265">
                  <c:v>979.99481618671211</c:v>
                </c:pt>
                <c:pt idx="266">
                  <c:v>974.07761844847232</c:v>
                </c:pt>
                <c:pt idx="267">
                  <c:v>968.09397434874245</c:v>
                </c:pt>
                <c:pt idx="268">
                  <c:v>962.04458658474141</c:v>
                </c:pt>
                <c:pt idx="269">
                  <c:v>955.93015915777846</c:v>
                </c:pt>
                <c:pt idx="270">
                  <c:v>949.75139713340729</c:v>
                </c:pt>
                <c:pt idx="271">
                  <c:v>943.50900640526504</c:v>
                </c:pt>
                <c:pt idx="272">
                  <c:v>937.20369346270957</c:v>
                </c:pt>
                <c:pt idx="273">
                  <c:v>930.83616516235986</c:v>
                </c:pt>
                <c:pt idx="274">
                  <c:v>924.40712850363661</c:v>
                </c:pt>
                <c:pt idx="275">
                  <c:v>917.91729040839471</c:v>
                </c:pt>
                <c:pt idx="276">
                  <c:v>911.36735750473008</c:v>
                </c:pt>
                <c:pt idx="277">
                  <c:v>904.75803591503779</c:v>
                </c:pt>
                <c:pt idx="278">
                  <c:v>898.09003104839167</c:v>
                </c:pt>
                <c:pt idx="279">
                  <c:v>891.36404739730756</c:v>
                </c:pt>
                <c:pt idx="280">
                  <c:v>884.5807883389474</c:v>
                </c:pt>
                <c:pt idx="281">
                  <c:v>877.74095594081382</c:v>
                </c:pt>
                <c:pt idx="282">
                  <c:v>870.84525077097942</c:v>
                </c:pt>
                <c:pt idx="283">
                  <c:v>863.89437171288807</c:v>
                </c:pt>
                <c:pt idx="284">
                  <c:v>856.8890157847602</c:v>
                </c:pt>
                <c:pt idx="285">
                  <c:v>849.82987796362818</c:v>
                </c:pt>
                <c:pt idx="286">
                  <c:v>842.71765101402116</c:v>
                </c:pt>
                <c:pt idx="287">
                  <c:v>835.55302532131589</c:v>
                </c:pt>
                <c:pt idx="288">
                  <c:v>828.33668872976136</c:v>
                </c:pt>
                <c:pt idx="289">
                  <c:v>821.06932638518219</c:v>
                </c:pt>
                <c:pt idx="290">
                  <c:v>813.75162058236083</c:v>
                </c:pt>
                <c:pt idx="291">
                  <c:v>806.38425061709177</c:v>
                </c:pt>
                <c:pt idx="292">
                  <c:v>798.96789264289896</c:v>
                </c:pt>
                <c:pt idx="293">
                  <c:v>791.50321953240143</c:v>
                </c:pt>
                <c:pt idx="294">
                  <c:v>783.99090074330763</c:v>
                </c:pt>
                <c:pt idx="295">
                  <c:v>776.43160218901698</c:v>
                </c:pt>
                <c:pt idx="296">
                  <c:v>768.82598611380047</c:v>
                </c:pt>
                <c:pt idx="297">
                  <c:v>761.17471097253008</c:v>
                </c:pt>
                <c:pt idx="298">
                  <c:v>753.47843131492334</c:v>
                </c:pt>
                <c:pt idx="299">
                  <c:v>745.73779767426458</c:v>
                </c:pt>
                <c:pt idx="300">
                  <c:v>737.95345646056228</c:v>
                </c:pt>
                <c:pt idx="301">
                  <c:v>730.12604985809855</c:v>
                </c:pt>
                <c:pt idx="302">
                  <c:v>722.25621572732439</c:v>
                </c:pt>
                <c:pt idx="303">
                  <c:v>714.34458751104967</c:v>
                </c:pt>
                <c:pt idx="304">
                  <c:v>706.39179414487705</c:v>
                </c:pt>
                <c:pt idx="305">
                  <c:v>698.39845997182454</c:v>
                </c:pt>
                <c:pt idx="306">
                  <c:v>690.36520466107982</c:v>
                </c:pt>
                <c:pt idx="307">
                  <c:v>682.29264313082706</c:v>
                </c:pt>
                <c:pt idx="308">
                  <c:v>674.18138547508579</c:v>
                </c:pt>
                <c:pt idx="309">
                  <c:v>666.03203689449856</c:v>
                </c:pt>
                <c:pt idx="310">
                  <c:v>657.84519763100297</c:v>
                </c:pt>
                <c:pt idx="311">
                  <c:v>649.62146290632199</c:v>
                </c:pt>
                <c:pt idx="312">
                  <c:v>641.36142286420568</c:v>
                </c:pt>
                <c:pt idx="313">
                  <c:v>633.06566251635491</c:v>
                </c:pt>
                <c:pt idx="314">
                  <c:v>624.7347616919576</c:v>
                </c:pt>
                <c:pt idx="315">
                  <c:v>616.36929499076689</c:v>
                </c:pt>
                <c:pt idx="316">
                  <c:v>607.96983173964952</c:v>
                </c:pt>
                <c:pt idx="317">
                  <c:v>599.53693595253185</c:v>
                </c:pt>
                <c:pt idx="318">
                  <c:v>591.07116629367033</c:v>
                </c:pt>
                <c:pt idx="319">
                  <c:v>582.5730760441736</c:v>
                </c:pt>
                <c:pt idx="320">
                  <c:v>574.04321307170119</c:v>
                </c:pt>
                <c:pt idx="321">
                  <c:v>565.48211980326528</c:v>
                </c:pt>
                <c:pt idx="322">
                  <c:v>556.89033320106091</c:v>
                </c:pt>
                <c:pt idx="323">
                  <c:v>548.26838474124929</c:v>
                </c:pt>
                <c:pt idx="324">
                  <c:v>539.616800395621</c:v>
                </c:pt>
                <c:pt idx="325">
                  <c:v>530.9361006160625</c:v>
                </c:pt>
                <c:pt idx="326">
                  <c:v>522.22680032175333</c:v>
                </c:pt>
                <c:pt idx="327">
                  <c:v>513.4894088890187</c:v>
                </c:pt>
                <c:pt idx="328">
                  <c:v>504.72443014376347</c:v>
                </c:pt>
                <c:pt idx="329">
                  <c:v>495.93236235641467</c:v>
                </c:pt>
                <c:pt idx="330">
                  <c:v>487.11369823929857</c:v>
                </c:pt>
                <c:pt idx="331">
                  <c:v>478.26892494638025</c:v>
                </c:pt>
                <c:pt idx="332">
                  <c:v>469.39852407529332</c:v>
                </c:pt>
                <c:pt idx="333">
                  <c:v>460.50297167158828</c:v>
                </c:pt>
                <c:pt idx="334">
                  <c:v>451.58273823512894</c:v>
                </c:pt>
                <c:pt idx="335">
                  <c:v>442.63828872856652</c:v>
                </c:pt>
                <c:pt idx="336">
                  <c:v>433.67008258782238</c:v>
                </c:pt>
                <c:pt idx="337">
                  <c:v>424.67857373451085</c:v>
                </c:pt>
                <c:pt idx="338">
                  <c:v>415.66421059023457</c:v>
                </c:pt>
                <c:pt idx="339">
                  <c:v>406.6274360926854</c:v>
                </c:pt>
                <c:pt idx="340">
                  <c:v>397.56868771348525</c:v>
                </c:pt>
                <c:pt idx="341">
                  <c:v>388.48839747770222</c:v>
                </c:pt>
                <c:pt idx="342">
                  <c:v>379.38699198497767</c:v>
                </c:pt>
                <c:pt idx="343">
                  <c:v>370.26489243220198</c:v>
                </c:pt>
                <c:pt idx="344">
                  <c:v>361.12251463767672</c:v>
                </c:pt>
                <c:pt idx="345">
                  <c:v>351.96026906670289</c:v>
                </c:pt>
                <c:pt idx="346">
                  <c:v>342.77856085853557</c:v>
                </c:pt>
                <c:pt idx="347">
                  <c:v>333.57778985464586</c:v>
                </c:pt>
                <c:pt idx="348">
                  <c:v>324.35835062823372</c:v>
                </c:pt>
                <c:pt idx="349">
                  <c:v>315.12063251493453</c:v>
                </c:pt>
                <c:pt idx="350">
                  <c:v>305.86501964466459</c:v>
                </c:pt>
                <c:pt idx="351">
                  <c:v>296.59189097455169</c:v>
                </c:pt>
                <c:pt idx="352">
                  <c:v>287.30162032289758</c:v>
                </c:pt>
                <c:pt idx="353">
                  <c:v>277.99457640412089</c:v>
                </c:pt>
                <c:pt idx="354">
                  <c:v>268.67112286462987</c:v>
                </c:pt>
                <c:pt idx="355">
                  <c:v>259.33161831957568</c:v>
                </c:pt>
                <c:pt idx="356">
                  <c:v>249.97641639043798</c:v>
                </c:pt>
                <c:pt idx="357">
                  <c:v>240.60586574339555</c:v>
                </c:pt>
                <c:pt idx="358">
                  <c:v>231.22031012843672</c:v>
                </c:pt>
                <c:pt idx="359">
                  <c:v>221.82008841916411</c:v>
                </c:pt>
                <c:pt idx="360">
                  <c:v>212.40553465325058</c:v>
                </c:pt>
                <c:pt idx="361">
                  <c:v>202.97697807350397</c:v>
                </c:pt>
                <c:pt idx="362">
                  <c:v>193.53474316949905</c:v>
                </c:pt>
                <c:pt idx="363">
                  <c:v>184.07914971973685</c:v>
                </c:pt>
                <c:pt idx="364">
                  <c:v>174.61051283429205</c:v>
                </c:pt>
                <c:pt idx="365">
                  <c:v>165.12914299791078</c:v>
                </c:pt>
                <c:pt idx="366">
                  <c:v>155.63534611352159</c:v>
                </c:pt>
                <c:pt idx="367">
                  <c:v>146.12942354612437</c:v>
                </c:pt>
                <c:pt idx="368">
                  <c:v>136.61167216702205</c:v>
                </c:pt>
                <c:pt idx="369">
                  <c:v>127.08238439836165</c:v>
                </c:pt>
                <c:pt idx="370">
                  <c:v>117.54184825795227</c:v>
                </c:pt>
                <c:pt idx="371">
                  <c:v>107.99034740432809</c:v>
                </c:pt>
                <c:pt idx="372">
                  <c:v>98.428161182026258</c:v>
                </c:pt>
                <c:pt idx="373">
                  <c:v>88.855564667049734</c:v>
                </c:pt>
                <c:pt idx="374">
                  <c:v>79.272828712486884</c:v>
                </c:pt>
                <c:pt idx="375">
                  <c:v>69.680219994259986</c:v>
                </c:pt>
                <c:pt idx="376">
                  <c:v>60.078001056976142</c:v>
                </c:pt>
                <c:pt idx="377">
                  <c:v>50.46643035985484</c:v>
                </c:pt>
                <c:pt idx="378">
                  <c:v>40.845762322707415</c:v>
                </c:pt>
                <c:pt idx="379">
                  <c:v>31.216247371944455</c:v>
                </c:pt>
                <c:pt idx="380">
                  <c:v>21.578131986588218</c:v>
                </c:pt>
                <c:pt idx="381">
                  <c:v>11.931658744267859</c:v>
                </c:pt>
                <c:pt idx="382">
                  <c:v>2.2770663671762055</c:v>
                </c:pt>
                <c:pt idx="383">
                  <c:v>-7.3854102320324149</c:v>
                </c:pt>
                <c:pt idx="384">
                  <c:v>-7.395076596257061</c:v>
                </c:pt>
                <c:pt idx="385">
                  <c:v>-7.4047429680200283</c:v>
                </c:pt>
                <c:pt idx="386">
                  <c:v>-7.4144093473210919</c:v>
                </c:pt>
                <c:pt idx="387">
                  <c:v>-7.4240757341600263</c:v>
                </c:pt>
                <c:pt idx="388">
                  <c:v>-7.4337421285366059</c:v>
                </c:pt>
                <c:pt idx="389">
                  <c:v>-7.4434085304506059</c:v>
                </c:pt>
                <c:pt idx="390">
                  <c:v>-7.4530749399018008</c:v>
                </c:pt>
                <c:pt idx="391">
                  <c:v>-7.462741356889965</c:v>
                </c:pt>
                <c:pt idx="392">
                  <c:v>-7.4724077814148728</c:v>
                </c:pt>
                <c:pt idx="393">
                  <c:v>-7.4820742134762996</c:v>
                </c:pt>
                <c:pt idx="394">
                  <c:v>-7.4917406530740207</c:v>
                </c:pt>
                <c:pt idx="395">
                  <c:v>-7.5014071002078104</c:v>
                </c:pt>
                <c:pt idx="396">
                  <c:v>-7.5110735548774432</c:v>
                </c:pt>
                <c:pt idx="397">
                  <c:v>-7.5207400170826935</c:v>
                </c:pt>
                <c:pt idx="398">
                  <c:v>-7.5304064868233365</c:v>
                </c:pt>
                <c:pt idx="399">
                  <c:v>-7.5400729640991466</c:v>
                </c:pt>
                <c:pt idx="400">
                  <c:v>-7.5497394489098992</c:v>
                </c:pt>
                <c:pt idx="401">
                  <c:v>-7.5594059412553687</c:v>
                </c:pt>
                <c:pt idx="402">
                  <c:v>-7.5690724411353294</c:v>
                </c:pt>
                <c:pt idx="403">
                  <c:v>-7.5787389485495567</c:v>
                </c:pt>
                <c:pt idx="404">
                  <c:v>-7.5884054634978249</c:v>
                </c:pt>
                <c:pt idx="405">
                  <c:v>-7.5980719859799093</c:v>
                </c:pt>
                <c:pt idx="406">
                  <c:v>-7.6077385159955844</c:v>
                </c:pt>
                <c:pt idx="407">
                  <c:v>-7.6174050535446254</c:v>
                </c:pt>
                <c:pt idx="408">
                  <c:v>-7.6270715986268058</c:v>
                </c:pt>
                <c:pt idx="409">
                  <c:v>-7.6367381512419019</c:v>
                </c:pt>
                <c:pt idx="410">
                  <c:v>-7.6464047113896871</c:v>
                </c:pt>
                <c:pt idx="411">
                  <c:v>-7.6560712790699377</c:v>
                </c:pt>
                <c:pt idx="412">
                  <c:v>-7.665737854282427</c:v>
                </c:pt>
                <c:pt idx="413">
                  <c:v>-7.6754044370269305</c:v>
                </c:pt>
                <c:pt idx="414">
                  <c:v>-7.6850710273032234</c:v>
                </c:pt>
                <c:pt idx="415">
                  <c:v>-7.6947376251110802</c:v>
                </c:pt>
                <c:pt idx="416">
                  <c:v>-7.7044042304502751</c:v>
                </c:pt>
                <c:pt idx="417">
                  <c:v>-7.7140708433205836</c:v>
                </c:pt>
                <c:pt idx="418">
                  <c:v>-7.7237374637217808</c:v>
                </c:pt>
                <c:pt idx="419">
                  <c:v>-7.7334040916536404</c:v>
                </c:pt>
                <c:pt idx="420">
                  <c:v>-7.7430707271159385</c:v>
                </c:pt>
                <c:pt idx="421">
                  <c:v>-7.7527373701084485</c:v>
                </c:pt>
                <c:pt idx="422">
                  <c:v>-7.7624040206309468</c:v>
                </c:pt>
                <c:pt idx="423">
                  <c:v>-7.7720706786832068</c:v>
                </c:pt>
                <c:pt idx="424">
                  <c:v>-7.7817373442650046</c:v>
                </c:pt>
                <c:pt idx="425">
                  <c:v>-7.7914040173761139</c:v>
                </c:pt>
                <c:pt idx="426">
                  <c:v>-7.8010706980163098</c:v>
                </c:pt>
                <c:pt idx="427">
                  <c:v>-7.8107373861853677</c:v>
                </c:pt>
                <c:pt idx="428">
                  <c:v>-7.820404081883062</c:v>
                </c:pt>
                <c:pt idx="429">
                  <c:v>-7.830070785109168</c:v>
                </c:pt>
                <c:pt idx="430">
                  <c:v>-7.83973749586346</c:v>
                </c:pt>
                <c:pt idx="431">
                  <c:v>-7.8494042141457134</c:v>
                </c:pt>
                <c:pt idx="432">
                  <c:v>-7.8590709399557026</c:v>
                </c:pt>
                <c:pt idx="433">
                  <c:v>-7.8687376732932028</c:v>
                </c:pt>
                <c:pt idx="434">
                  <c:v>-7.8784044141579885</c:v>
                </c:pt>
                <c:pt idx="435">
                  <c:v>-7.888071162549835</c:v>
                </c:pt>
                <c:pt idx="436">
                  <c:v>-7.8977379184685175</c:v>
                </c:pt>
                <c:pt idx="437">
                  <c:v>-7.9074046819138104</c:v>
                </c:pt>
                <c:pt idx="438">
                  <c:v>-7.9170714528854882</c:v>
                </c:pt>
                <c:pt idx="439">
                  <c:v>-7.9267382313833261</c:v>
                </c:pt>
                <c:pt idx="440">
                  <c:v>-7.9364050174070995</c:v>
                </c:pt>
                <c:pt idx="441">
                  <c:v>-7.9460718109565827</c:v>
                </c:pt>
                <c:pt idx="442">
                  <c:v>-7.9557386120315501</c:v>
                </c:pt>
                <c:pt idx="443">
                  <c:v>-7.9654054206317779</c:v>
                </c:pt>
                <c:pt idx="444">
                  <c:v>-7.9750722367570406</c:v>
                </c:pt>
                <c:pt idx="445">
                  <c:v>-7.9847390604071125</c:v>
                </c:pt>
                <c:pt idx="446">
                  <c:v>-7.9944058915817688</c:v>
                </c:pt>
                <c:pt idx="447">
                  <c:v>-8.0040727302807841</c:v>
                </c:pt>
                <c:pt idx="448">
                  <c:v>-8.0137395765039336</c:v>
                </c:pt>
                <c:pt idx="449">
                  <c:v>-8.0234064302509935</c:v>
                </c:pt>
                <c:pt idx="450">
                  <c:v>-8.0330732915217364</c:v>
                </c:pt>
                <c:pt idx="451">
                  <c:v>-8.0427401603159385</c:v>
                </c:pt>
                <c:pt idx="452">
                  <c:v>-8.052407036633376</c:v>
                </c:pt>
                <c:pt idx="453">
                  <c:v>-8.0620739204738214</c:v>
                </c:pt>
                <c:pt idx="454">
                  <c:v>-8.0717408118370511</c:v>
                </c:pt>
                <c:pt idx="455">
                  <c:v>-8.0814077107228393</c:v>
                </c:pt>
                <c:pt idx="456">
                  <c:v>-8.0910746171309622</c:v>
                </c:pt>
                <c:pt idx="457">
                  <c:v>-8.1007415310611925</c:v>
                </c:pt>
                <c:pt idx="458">
                  <c:v>-8.1104084525133082</c:v>
                </c:pt>
                <c:pt idx="459">
                  <c:v>-8.1200753814870819</c:v>
                </c:pt>
                <c:pt idx="460">
                  <c:v>-8.1297423179822896</c:v>
                </c:pt>
                <c:pt idx="461">
                  <c:v>-8.139409261998706</c:v>
                </c:pt>
                <c:pt idx="462">
                  <c:v>-8.1490762135361052</c:v>
                </c:pt>
                <c:pt idx="463">
                  <c:v>-8.1587431725942636</c:v>
                </c:pt>
                <c:pt idx="464">
                  <c:v>-8.1684101391729556</c:v>
                </c:pt>
                <c:pt idx="465">
                  <c:v>-8.1780771132719554</c:v>
                </c:pt>
                <c:pt idx="466">
                  <c:v>-8.1877440948910394</c:v>
                </c:pt>
                <c:pt idx="467">
                  <c:v>-8.1974110840299819</c:v>
                </c:pt>
                <c:pt idx="468">
                  <c:v>-8.2070780806885573</c:v>
                </c:pt>
                <c:pt idx="469">
                  <c:v>-8.2167450848665418</c:v>
                </c:pt>
                <c:pt idx="470">
                  <c:v>-8.2264120965637098</c:v>
                </c:pt>
                <c:pt idx="471">
                  <c:v>-8.2360791157798374</c:v>
                </c:pt>
                <c:pt idx="472">
                  <c:v>-8.2457461425146974</c:v>
                </c:pt>
                <c:pt idx="473">
                  <c:v>-8.2554131767680659</c:v>
                </c:pt>
                <c:pt idx="474">
                  <c:v>-8.265080218539719</c:v>
                </c:pt>
                <c:pt idx="475">
                  <c:v>-8.2747472678294294</c:v>
                </c:pt>
                <c:pt idx="476">
                  <c:v>-8.284414324636975</c:v>
                </c:pt>
                <c:pt idx="477">
                  <c:v>-8.2940813889621285</c:v>
                </c:pt>
                <c:pt idx="478">
                  <c:v>-8.3037484608046661</c:v>
                </c:pt>
                <c:pt idx="479">
                  <c:v>-8.3134155401643621</c:v>
                </c:pt>
                <c:pt idx="480">
                  <c:v>-8.3230826270409928</c:v>
                </c:pt>
                <c:pt idx="481">
                  <c:v>-8.3327497214343307</c:v>
                </c:pt>
                <c:pt idx="482">
                  <c:v>-8.3424168233441538</c:v>
                </c:pt>
                <c:pt idx="483">
                  <c:v>-8.3520839327702348</c:v>
                </c:pt>
                <c:pt idx="484">
                  <c:v>-8.3617510497123497</c:v>
                </c:pt>
                <c:pt idx="485">
                  <c:v>-8.3714181741702749</c:v>
                </c:pt>
                <c:pt idx="486">
                  <c:v>-8.3810853061437829</c:v>
                </c:pt>
                <c:pt idx="487">
                  <c:v>-8.3907524456326499</c:v>
                </c:pt>
                <c:pt idx="488">
                  <c:v>-8.4004195926366521</c:v>
                </c:pt>
                <c:pt idx="489">
                  <c:v>-8.4100867471555638</c:v>
                </c:pt>
                <c:pt idx="490">
                  <c:v>-8.4197539091891596</c:v>
                </c:pt>
                <c:pt idx="491">
                  <c:v>-8.4294210787372155</c:v>
                </c:pt>
                <c:pt idx="492">
                  <c:v>-8.4390882557995042</c:v>
                </c:pt>
                <c:pt idx="493">
                  <c:v>-8.4487554403758036</c:v>
                </c:pt>
                <c:pt idx="494">
                  <c:v>-8.4584226324658882</c:v>
                </c:pt>
                <c:pt idx="495">
                  <c:v>-8.4680898320695324</c:v>
                </c:pt>
                <c:pt idx="496">
                  <c:v>-8.4777570391865105</c:v>
                </c:pt>
                <c:pt idx="497">
                  <c:v>-8.4874242538165987</c:v>
                </c:pt>
                <c:pt idx="498">
                  <c:v>-8.4970914759595733</c:v>
                </c:pt>
                <c:pt idx="499">
                  <c:v>-8.5067587056152068</c:v>
                </c:pt>
                <c:pt idx="500">
                  <c:v>-8.5164259427832754</c:v>
                </c:pt>
                <c:pt idx="501">
                  <c:v>-8.5260931874635553</c:v>
                </c:pt>
                <c:pt idx="502">
                  <c:v>-8.5357604396558209</c:v>
                </c:pt>
                <c:pt idx="503">
                  <c:v>-8.5454276993598466</c:v>
                </c:pt>
                <c:pt idx="504">
                  <c:v>-8.5550949665754086</c:v>
                </c:pt>
                <c:pt idx="505">
                  <c:v>-8.5647622413022813</c:v>
                </c:pt>
                <c:pt idx="506">
                  <c:v>-8.5744295235402408</c:v>
                </c:pt>
                <c:pt idx="507">
                  <c:v>-8.5840968132890616</c:v>
                </c:pt>
                <c:pt idx="508">
                  <c:v>-8.5937641105485181</c:v>
                </c:pt>
                <c:pt idx="509">
                  <c:v>-8.6034314153183864</c:v>
                </c:pt>
                <c:pt idx="510">
                  <c:v>-8.613098727598441</c:v>
                </c:pt>
                <c:pt idx="511">
                  <c:v>-8.622766047388458</c:v>
                </c:pt>
                <c:pt idx="512">
                  <c:v>-8.6324333746882118</c:v>
                </c:pt>
                <c:pt idx="513">
                  <c:v>-8.6421007094974769</c:v>
                </c:pt>
                <c:pt idx="514">
                  <c:v>-8.6517680518160294</c:v>
                </c:pt>
                <c:pt idx="515">
                  <c:v>-8.6614354016436437</c:v>
                </c:pt>
                <c:pt idx="516">
                  <c:v>-8.671102758980096</c:v>
                </c:pt>
                <c:pt idx="517">
                  <c:v>-8.6807701238251607</c:v>
                </c:pt>
                <c:pt idx="518">
                  <c:v>-8.6904374961786139</c:v>
                </c:pt>
                <c:pt idx="519">
                  <c:v>-8.7001048760402302</c:v>
                </c:pt>
                <c:pt idx="520">
                  <c:v>-8.7097722634097856</c:v>
                </c:pt>
                <c:pt idx="521">
                  <c:v>-8.7194396582870546</c:v>
                </c:pt>
                <c:pt idx="522">
                  <c:v>-8.7291070606718115</c:v>
                </c:pt>
                <c:pt idx="523">
                  <c:v>-8.7387744705638326</c:v>
                </c:pt>
                <c:pt idx="524">
                  <c:v>-8.7484418879628922</c:v>
                </c:pt>
                <c:pt idx="525">
                  <c:v>-8.7581093128687666</c:v>
                </c:pt>
                <c:pt idx="526">
                  <c:v>-8.7677767452812301</c:v>
                </c:pt>
                <c:pt idx="527">
                  <c:v>-8.7774441852000589</c:v>
                </c:pt>
                <c:pt idx="528">
                  <c:v>-8.7871116326250274</c:v>
                </c:pt>
                <c:pt idx="529">
                  <c:v>-8.7967790875559118</c:v>
                </c:pt>
                <c:pt idx="530">
                  <c:v>-8.8064465499924864</c:v>
                </c:pt>
                <c:pt idx="531">
                  <c:v>-8.8161140199345258</c:v>
                </c:pt>
                <c:pt idx="532">
                  <c:v>-8.8257814973818061</c:v>
                </c:pt>
                <c:pt idx="533">
                  <c:v>-8.8354489823341016</c:v>
                </c:pt>
                <c:pt idx="534">
                  <c:v>-8.8451164747911886</c:v>
                </c:pt>
                <c:pt idx="535">
                  <c:v>-8.8547839747528432</c:v>
                </c:pt>
                <c:pt idx="536">
                  <c:v>-8.8644514822188398</c:v>
                </c:pt>
                <c:pt idx="537">
                  <c:v>-8.8741189971889529</c:v>
                </c:pt>
                <c:pt idx="538">
                  <c:v>-8.8837865196629586</c:v>
                </c:pt>
                <c:pt idx="539">
                  <c:v>-8.8934540496406314</c:v>
                </c:pt>
                <c:pt idx="540">
                  <c:v>-8.9031215871217473</c:v>
                </c:pt>
                <c:pt idx="541">
                  <c:v>-8.9127891321060808</c:v>
                </c:pt>
                <c:pt idx="542">
                  <c:v>-8.9224566845934081</c:v>
                </c:pt>
                <c:pt idx="543">
                  <c:v>-8.9321242445835036</c:v>
                </c:pt>
                <c:pt idx="544">
                  <c:v>-8.9417918120761435</c:v>
                </c:pt>
                <c:pt idx="545">
                  <c:v>-8.9514593870711021</c:v>
                </c:pt>
                <c:pt idx="546">
                  <c:v>-8.9611269695681539</c:v>
                </c:pt>
                <c:pt idx="547">
                  <c:v>-8.9707945595670768</c:v>
                </c:pt>
                <c:pt idx="548">
                  <c:v>-8.9804621570676435</c:v>
                </c:pt>
                <c:pt idx="549">
                  <c:v>-8.9901297620696301</c:v>
                </c:pt>
                <c:pt idx="550">
                  <c:v>-8.9997973745728128</c:v>
                </c:pt>
                <c:pt idx="551">
                  <c:v>-9.009464994576966</c:v>
                </c:pt>
                <c:pt idx="552">
                  <c:v>-9.0191326220818659</c:v>
                </c:pt>
                <c:pt idx="553">
                  <c:v>-9.028800257087287</c:v>
                </c:pt>
                <c:pt idx="554">
                  <c:v>-9.0384678995930052</c:v>
                </c:pt>
                <c:pt idx="555">
                  <c:v>-9.0481355495987952</c:v>
                </c:pt>
                <c:pt idx="556">
                  <c:v>-9.057803207104433</c:v>
                </c:pt>
                <c:pt idx="557">
                  <c:v>-9.067470872109693</c:v>
                </c:pt>
                <c:pt idx="558">
                  <c:v>-9.0771385446143515</c:v>
                </c:pt>
                <c:pt idx="559">
                  <c:v>-9.0868062246181829</c:v>
                </c:pt>
                <c:pt idx="560">
                  <c:v>-9.0964739121209632</c:v>
                </c:pt>
                <c:pt idx="561">
                  <c:v>-9.106141607122467</c:v>
                </c:pt>
                <c:pt idx="562">
                  <c:v>-9.1158093096224704</c:v>
                </c:pt>
                <c:pt idx="563">
                  <c:v>-9.1254770196207478</c:v>
                </c:pt>
                <c:pt idx="564">
                  <c:v>-9.1351447371170753</c:v>
                </c:pt>
                <c:pt idx="565">
                  <c:v>-9.1448124621112292</c:v>
                </c:pt>
                <c:pt idx="566">
                  <c:v>-9.1544801946029839</c:v>
                </c:pt>
                <c:pt idx="567">
                  <c:v>-9.1641479345921137</c:v>
                </c:pt>
                <c:pt idx="568">
                  <c:v>-9.1738156820783949</c:v>
                </c:pt>
                <c:pt idx="569">
                  <c:v>-9.1834834370616036</c:v>
                </c:pt>
                <c:pt idx="570">
                  <c:v>-9.1931511995415143</c:v>
                </c:pt>
                <c:pt idx="571">
                  <c:v>-9.202818969517903</c:v>
                </c:pt>
                <c:pt idx="572">
                  <c:v>-9.2124867469905443</c:v>
                </c:pt>
                <c:pt idx="573">
                  <c:v>-9.2221545319592124</c:v>
                </c:pt>
                <c:pt idx="574">
                  <c:v>-9.2318223244236854</c:v>
                </c:pt>
                <c:pt idx="575">
                  <c:v>-9.2414901243837377</c:v>
                </c:pt>
                <c:pt idx="576">
                  <c:v>-9.2511579318391437</c:v>
                </c:pt>
                <c:pt idx="577">
                  <c:v>-9.2608257467896795</c:v>
                </c:pt>
                <c:pt idx="578">
                  <c:v>-9.2704935692351214</c:v>
                </c:pt>
                <c:pt idx="579">
                  <c:v>-9.2801613991752436</c:v>
                </c:pt>
                <c:pt idx="580">
                  <c:v>-9.2898292366098207</c:v>
                </c:pt>
                <c:pt idx="581">
                  <c:v>-9.2994970815386306</c:v>
                </c:pt>
                <c:pt idx="582">
                  <c:v>-9.309164933961446</c:v>
                </c:pt>
                <c:pt idx="583">
                  <c:v>-9.3188327938780446</c:v>
                </c:pt>
                <c:pt idx="584">
                  <c:v>-9.3285006612882011</c:v>
                </c:pt>
                <c:pt idx="585">
                  <c:v>-9.3381685361916897</c:v>
                </c:pt>
                <c:pt idx="586">
                  <c:v>-9.3478364185882867</c:v>
                </c:pt>
                <c:pt idx="587">
                  <c:v>-9.3575043084777683</c:v>
                </c:pt>
                <c:pt idx="588">
                  <c:v>-9.3671722058599087</c:v>
                </c:pt>
                <c:pt idx="589">
                  <c:v>-9.3768401107344843</c:v>
                </c:pt>
                <c:pt idx="590">
                  <c:v>-9.3865080231012694</c:v>
                </c:pt>
                <c:pt idx="591">
                  <c:v>-9.3961759429600402</c:v>
                </c:pt>
                <c:pt idx="592">
                  <c:v>-9.4058438703105729</c:v>
                </c:pt>
                <c:pt idx="593">
                  <c:v>-9.4155118051526419</c:v>
                </c:pt>
                <c:pt idx="594">
                  <c:v>-9.4251797474860233</c:v>
                </c:pt>
                <c:pt idx="595">
                  <c:v>-9.4348476973104916</c:v>
                </c:pt>
                <c:pt idx="596">
                  <c:v>-9.4445156546258229</c:v>
                </c:pt>
                <c:pt idx="597">
                  <c:v>-9.4541836194317916</c:v>
                </c:pt>
                <c:pt idx="598">
                  <c:v>-9.463851591728174</c:v>
                </c:pt>
                <c:pt idx="599">
                  <c:v>-9.4735195715147462</c:v>
                </c:pt>
                <c:pt idx="600">
                  <c:v>-9.4831875587912826</c:v>
                </c:pt>
                <c:pt idx="601">
                  <c:v>-9.4928555535575594</c:v>
                </c:pt>
                <c:pt idx="602">
                  <c:v>-9.5025235558133527</c:v>
                </c:pt>
                <c:pt idx="603">
                  <c:v>-9.512191565558437</c:v>
                </c:pt>
                <c:pt idx="604">
                  <c:v>-9.5218595827925885</c:v>
                </c:pt>
                <c:pt idx="605">
                  <c:v>-9.5315276075155815</c:v>
                </c:pt>
                <c:pt idx="606">
                  <c:v>-9.5411956397271922</c:v>
                </c:pt>
                <c:pt idx="607">
                  <c:v>-9.5508636794271968</c:v>
                </c:pt>
                <c:pt idx="608">
                  <c:v>-9.5605317266153698</c:v>
                </c:pt>
                <c:pt idx="609">
                  <c:v>-9.5701997812914872</c:v>
                </c:pt>
                <c:pt idx="610">
                  <c:v>-9.5798678434553235</c:v>
                </c:pt>
                <c:pt idx="611">
                  <c:v>-9.5895359131066549</c:v>
                </c:pt>
                <c:pt idx="612">
                  <c:v>-9.5992039902452575</c:v>
                </c:pt>
                <c:pt idx="613">
                  <c:v>-9.6088720748709058</c:v>
                </c:pt>
                <c:pt idx="614">
                  <c:v>-9.6185401669833759</c:v>
                </c:pt>
                <c:pt idx="615">
                  <c:v>-9.628208266582444</c:v>
                </c:pt>
                <c:pt idx="616">
                  <c:v>-9.6378763736678845</c:v>
                </c:pt>
                <c:pt idx="617">
                  <c:v>-9.6475444882394736</c:v>
                </c:pt>
                <c:pt idx="618">
                  <c:v>-9.6572126102969875</c:v>
                </c:pt>
                <c:pt idx="619">
                  <c:v>-9.6668807398402006</c:v>
                </c:pt>
                <c:pt idx="620">
                  <c:v>-9.676548876868889</c:v>
                </c:pt>
                <c:pt idx="621">
                  <c:v>-9.6862170213828271</c:v>
                </c:pt>
                <c:pt idx="622">
                  <c:v>-9.6958851733817912</c:v>
                </c:pt>
                <c:pt idx="623">
                  <c:v>-9.7055533328655574</c:v>
                </c:pt>
                <c:pt idx="624">
                  <c:v>-9.7152214998339002</c:v>
                </c:pt>
                <c:pt idx="625">
                  <c:v>-9.7248896742865956</c:v>
                </c:pt>
                <c:pt idx="626">
                  <c:v>-9.7345578562234198</c:v>
                </c:pt>
                <c:pt idx="627">
                  <c:v>-9.7442260456441492</c:v>
                </c:pt>
                <c:pt idx="628">
                  <c:v>-9.753894242548558</c:v>
                </c:pt>
                <c:pt idx="629">
                  <c:v>-9.7635624469364206</c:v>
                </c:pt>
                <c:pt idx="630">
                  <c:v>-9.7732306588075151</c:v>
                </c:pt>
                <c:pt idx="631">
                  <c:v>-9.7828988781616157</c:v>
                </c:pt>
                <c:pt idx="632">
                  <c:v>-9.792567104998497</c:v>
                </c:pt>
                <c:pt idx="633">
                  <c:v>-9.8022353393179369</c:v>
                </c:pt>
                <c:pt idx="634">
                  <c:v>-9.8119035811197097</c:v>
                </c:pt>
                <c:pt idx="635">
                  <c:v>-9.8215718304035899</c:v>
                </c:pt>
                <c:pt idx="636">
                  <c:v>-9.8312400871693555</c:v>
                </c:pt>
                <c:pt idx="637">
                  <c:v>-9.8409083514167808</c:v>
                </c:pt>
                <c:pt idx="638">
                  <c:v>-9.850576623145642</c:v>
                </c:pt>
                <c:pt idx="639">
                  <c:v>-9.8602449023557135</c:v>
                </c:pt>
                <c:pt idx="640">
                  <c:v>-9.8699131890467715</c:v>
                </c:pt>
                <c:pt idx="641">
                  <c:v>-9.8795814832185922</c:v>
                </c:pt>
                <c:pt idx="642">
                  <c:v>-9.88924978487095</c:v>
                </c:pt>
                <c:pt idx="643">
                  <c:v>-9.8989180940036228</c:v>
                </c:pt>
                <c:pt idx="644">
                  <c:v>-9.908586410616385</c:v>
                </c:pt>
                <c:pt idx="645">
                  <c:v>-9.9182547347090111</c:v>
                </c:pt>
                <c:pt idx="646">
                  <c:v>-9.9279230662812772</c:v>
                </c:pt>
                <c:pt idx="647">
                  <c:v>-9.9375914053329595</c:v>
                </c:pt>
                <c:pt idx="648">
                  <c:v>-9.9472597518638342</c:v>
                </c:pt>
                <c:pt idx="649">
                  <c:v>-9.9569281058736756</c:v>
                </c:pt>
                <c:pt idx="650">
                  <c:v>-9.96659646736226</c:v>
                </c:pt>
                <c:pt idx="651">
                  <c:v>-9.9762648363293636</c:v>
                </c:pt>
                <c:pt idx="652">
                  <c:v>-9.9859332127747624</c:v>
                </c:pt>
                <c:pt idx="653">
                  <c:v>-9.995601596698231</c:v>
                </c:pt>
                <c:pt idx="654">
                  <c:v>-10.005269988099545</c:v>
                </c:pt>
                <c:pt idx="655">
                  <c:v>-10.01493838697848</c:v>
                </c:pt>
                <c:pt idx="656">
                  <c:v>-10.024606793334813</c:v>
                </c:pt>
                <c:pt idx="657">
                  <c:v>-10.034275207168319</c:v>
                </c:pt>
                <c:pt idx="658">
                  <c:v>-10.043943628478774</c:v>
                </c:pt>
                <c:pt idx="659">
                  <c:v>-10.053612057265951</c:v>
                </c:pt>
                <c:pt idx="660">
                  <c:v>-10.063280493529629</c:v>
                </c:pt>
                <c:pt idx="661">
                  <c:v>-10.072948937269581</c:v>
                </c:pt>
                <c:pt idx="662">
                  <c:v>-10.082617388485586</c:v>
                </c:pt>
                <c:pt idx="663">
                  <c:v>-10.092285847177417</c:v>
                </c:pt>
                <c:pt idx="664">
                  <c:v>-10.101954313344851</c:v>
                </c:pt>
                <c:pt idx="665">
                  <c:v>-10.111622786987663</c:v>
                </c:pt>
                <c:pt idx="666">
                  <c:v>-10.12129126810563</c:v>
                </c:pt>
                <c:pt idx="667">
                  <c:v>-10.130959756698525</c:v>
                </c:pt>
                <c:pt idx="668">
                  <c:v>-10.140628252766128</c:v>
                </c:pt>
                <c:pt idx="669">
                  <c:v>-10.15029675630821</c:v>
                </c:pt>
                <c:pt idx="670">
                  <c:v>-10.15996526732455</c:v>
                </c:pt>
                <c:pt idx="671">
                  <c:v>-10.169633785814922</c:v>
                </c:pt>
                <c:pt idx="672">
                  <c:v>-10.179302311779102</c:v>
                </c:pt>
                <c:pt idx="673">
                  <c:v>-10.188970845216867</c:v>
                </c:pt>
                <c:pt idx="674">
                  <c:v>-10.198639386127992</c:v>
                </c:pt>
                <c:pt idx="675">
                  <c:v>-10.208307934512252</c:v>
                </c:pt>
                <c:pt idx="676">
                  <c:v>-10.217976490369423</c:v>
                </c:pt>
                <c:pt idx="677">
                  <c:v>-10.227645053699282</c:v>
                </c:pt>
                <c:pt idx="678">
                  <c:v>-10.237313624501605</c:v>
                </c:pt>
                <c:pt idx="679">
                  <c:v>-10.246982202776165</c:v>
                </c:pt>
                <c:pt idx="680">
                  <c:v>-10.256650788522739</c:v>
                </c:pt>
                <c:pt idx="681">
                  <c:v>-10.266319381741104</c:v>
                </c:pt>
                <c:pt idx="682">
                  <c:v>-10.275987982431035</c:v>
                </c:pt>
                <c:pt idx="683">
                  <c:v>-10.285656590592307</c:v>
                </c:pt>
                <c:pt idx="684">
                  <c:v>-10.295325206224698</c:v>
                </c:pt>
                <c:pt idx="685">
                  <c:v>-10.304993829327982</c:v>
                </c:pt>
                <c:pt idx="686">
                  <c:v>-10.314662459901934</c:v>
                </c:pt>
                <c:pt idx="687">
                  <c:v>-10.324331097946331</c:v>
                </c:pt>
                <c:pt idx="688">
                  <c:v>-10.333999743460948</c:v>
                </c:pt>
                <c:pt idx="689">
                  <c:v>-10.343668396445564</c:v>
                </c:pt>
                <c:pt idx="690">
                  <c:v>-10.353337056899951</c:v>
                </c:pt>
                <c:pt idx="691">
                  <c:v>-10.363005724823886</c:v>
                </c:pt>
                <c:pt idx="692">
                  <c:v>-10.372674400217145</c:v>
                </c:pt>
                <c:pt idx="693">
                  <c:v>-10.382343083079503</c:v>
                </c:pt>
                <c:pt idx="694">
                  <c:v>-10.392011773410736</c:v>
                </c:pt>
                <c:pt idx="695">
                  <c:v>-10.401680471210621</c:v>
                </c:pt>
                <c:pt idx="696">
                  <c:v>-10.411349176478934</c:v>
                </c:pt>
                <c:pt idx="697">
                  <c:v>-10.421017889215449</c:v>
                </c:pt>
                <c:pt idx="698">
                  <c:v>-10.430686609419944</c:v>
                </c:pt>
                <c:pt idx="699">
                  <c:v>-10.440355337092193</c:v>
                </c:pt>
                <c:pt idx="700">
                  <c:v>-10.450024072231972</c:v>
                </c:pt>
                <c:pt idx="701">
                  <c:v>-10.459692814839057</c:v>
                </c:pt>
                <c:pt idx="702">
                  <c:v>-10.469361564913225</c:v>
                </c:pt>
                <c:pt idx="703">
                  <c:v>-10.47903032245425</c:v>
                </c:pt>
                <c:pt idx="704">
                  <c:v>-10.488699087461908</c:v>
                </c:pt>
                <c:pt idx="705">
                  <c:v>-10.498367859935977</c:v>
                </c:pt>
                <c:pt idx="706">
                  <c:v>-10.508036639876231</c:v>
                </c:pt>
                <c:pt idx="707">
                  <c:v>-10.517705427282447</c:v>
                </c:pt>
                <c:pt idx="708">
                  <c:v>-10.5273742221544</c:v>
                </c:pt>
                <c:pt idx="709">
                  <c:v>-10.537043024491865</c:v>
                </c:pt>
                <c:pt idx="710">
                  <c:v>-10.546711834294619</c:v>
                </c:pt>
                <c:pt idx="711">
                  <c:v>-10.556380651562439</c:v>
                </c:pt>
                <c:pt idx="712">
                  <c:v>-10.566049476295099</c:v>
                </c:pt>
                <c:pt idx="713">
                  <c:v>-10.575718308492377</c:v>
                </c:pt>
                <c:pt idx="714">
                  <c:v>-10.585387148154046</c:v>
                </c:pt>
                <c:pt idx="715">
                  <c:v>-10.595055995279884</c:v>
                </c:pt>
                <c:pt idx="716">
                  <c:v>-10.604724849869665</c:v>
                </c:pt>
                <c:pt idx="717">
                  <c:v>-10.614393711923167</c:v>
                </c:pt>
                <c:pt idx="718">
                  <c:v>-10.624062581440166</c:v>
                </c:pt>
                <c:pt idx="719">
                  <c:v>-10.633731458420437</c:v>
                </c:pt>
                <c:pt idx="720">
                  <c:v>-10.643400342863755</c:v>
                </c:pt>
                <c:pt idx="721">
                  <c:v>-10.653069234769898</c:v>
                </c:pt>
                <c:pt idx="722">
                  <c:v>-10.662738134138641</c:v>
                </c:pt>
                <c:pt idx="723">
                  <c:v>-10.672407040969759</c:v>
                </c:pt>
                <c:pt idx="724">
                  <c:v>-10.682075955263029</c:v>
                </c:pt>
                <c:pt idx="725">
                  <c:v>-10.691744877018225</c:v>
                </c:pt>
                <c:pt idx="726">
                  <c:v>-10.701413806235125</c:v>
                </c:pt>
                <c:pt idx="727">
                  <c:v>-10.711082742913504</c:v>
                </c:pt>
                <c:pt idx="728">
                  <c:v>-10.72075168705314</c:v>
                </c:pt>
                <c:pt idx="729">
                  <c:v>-10.730420638653806</c:v>
                </c:pt>
                <c:pt idx="730">
                  <c:v>-10.740089597715279</c:v>
                </c:pt>
                <c:pt idx="731">
                  <c:v>-10.749758564237336</c:v>
                </c:pt>
                <c:pt idx="732">
                  <c:v>-10.759427538219752</c:v>
                </c:pt>
                <c:pt idx="733">
                  <c:v>-10.769096519662302</c:v>
                </c:pt>
                <c:pt idx="734">
                  <c:v>-10.778765508564764</c:v>
                </c:pt>
                <c:pt idx="735">
                  <c:v>-10.788434504926911</c:v>
                </c:pt>
                <c:pt idx="736">
                  <c:v>-10.798103508748524</c:v>
                </c:pt>
                <c:pt idx="737">
                  <c:v>-10.807772520029374</c:v>
                </c:pt>
                <c:pt idx="738">
                  <c:v>-10.81744153876924</c:v>
                </c:pt>
                <c:pt idx="739">
                  <c:v>-10.827110564967896</c:v>
                </c:pt>
                <c:pt idx="740">
                  <c:v>-10.836779598625119</c:v>
                </c:pt>
                <c:pt idx="741">
                  <c:v>-10.846448639740684</c:v>
                </c:pt>
                <c:pt idx="742">
                  <c:v>-10.856117688314368</c:v>
                </c:pt>
                <c:pt idx="743">
                  <c:v>-10.865786744345947</c:v>
                </c:pt>
                <c:pt idx="744">
                  <c:v>-10.875455807835197</c:v>
                </c:pt>
                <c:pt idx="745">
                  <c:v>-10.885124878781893</c:v>
                </c:pt>
                <c:pt idx="746">
                  <c:v>-10.894793957185811</c:v>
                </c:pt>
                <c:pt idx="747">
                  <c:v>-10.90446304304673</c:v>
                </c:pt>
                <c:pt idx="748">
                  <c:v>-10.914132136364424</c:v>
                </c:pt>
                <c:pt idx="749">
                  <c:v>-10.923801237138667</c:v>
                </c:pt>
                <c:pt idx="750">
                  <c:v>-10.933470345369237</c:v>
                </c:pt>
                <c:pt idx="751">
                  <c:v>-10.94313946105591</c:v>
                </c:pt>
                <c:pt idx="752">
                  <c:v>-10.952808584198463</c:v>
                </c:pt>
                <c:pt idx="753">
                  <c:v>-10.96247771479667</c:v>
                </c:pt>
                <c:pt idx="754">
                  <c:v>-10.972146852850308</c:v>
                </c:pt>
                <c:pt idx="755">
                  <c:v>-10.981815998359153</c:v>
                </c:pt>
                <c:pt idx="756">
                  <c:v>-10.991485151322982</c:v>
                </c:pt>
                <c:pt idx="757">
                  <c:v>-11.001154311741569</c:v>
                </c:pt>
                <c:pt idx="758">
                  <c:v>-11.010823479614691</c:v>
                </c:pt>
                <c:pt idx="759">
                  <c:v>-11.020492654942124</c:v>
                </c:pt>
                <c:pt idx="760">
                  <c:v>-11.030161837723645</c:v>
                </c:pt>
                <c:pt idx="761">
                  <c:v>-11.039831027959028</c:v>
                </c:pt>
                <c:pt idx="762">
                  <c:v>-11.049500225648051</c:v>
                </c:pt>
                <c:pt idx="763">
                  <c:v>-11.05916943079049</c:v>
                </c:pt>
                <c:pt idx="764">
                  <c:v>-11.068838643386121</c:v>
                </c:pt>
                <c:pt idx="765">
                  <c:v>-11.078507863434718</c:v>
                </c:pt>
                <c:pt idx="766">
                  <c:v>-11.088177090936059</c:v>
                </c:pt>
                <c:pt idx="767">
                  <c:v>-11.097846325889918</c:v>
                </c:pt>
                <c:pt idx="768">
                  <c:v>-11.107515568296074</c:v>
                </c:pt>
                <c:pt idx="769">
                  <c:v>-11.117184818154302</c:v>
                </c:pt>
                <c:pt idx="770">
                  <c:v>-11.126854075464378</c:v>
                </c:pt>
                <c:pt idx="771">
                  <c:v>-11.136523340226077</c:v>
                </c:pt>
                <c:pt idx="772">
                  <c:v>-11.146192612439178</c:v>
                </c:pt>
                <c:pt idx="773">
                  <c:v>-11.155861892103454</c:v>
                </c:pt>
                <c:pt idx="774">
                  <c:v>-11.165531179218682</c:v>
                </c:pt>
                <c:pt idx="775">
                  <c:v>-11.175200473784638</c:v>
                </c:pt>
                <c:pt idx="776">
                  <c:v>-11.184869775801101</c:v>
                </c:pt>
                <c:pt idx="777">
                  <c:v>-11.194539085267843</c:v>
                </c:pt>
                <c:pt idx="778">
                  <c:v>-11.204208402184642</c:v>
                </c:pt>
                <c:pt idx="779">
                  <c:v>-11.213877726551274</c:v>
                </c:pt>
                <c:pt idx="780">
                  <c:v>-11.223547058367515</c:v>
                </c:pt>
                <c:pt idx="781">
                  <c:v>-11.233216397633141</c:v>
                </c:pt>
                <c:pt idx="782">
                  <c:v>-11.242885744347928</c:v>
                </c:pt>
                <c:pt idx="783">
                  <c:v>-11.252555098511653</c:v>
                </c:pt>
                <c:pt idx="784">
                  <c:v>-11.262224460124092</c:v>
                </c:pt>
                <c:pt idx="785">
                  <c:v>-11.27189382918502</c:v>
                </c:pt>
                <c:pt idx="786">
                  <c:v>-11.281563205694214</c:v>
                </c:pt>
                <c:pt idx="787">
                  <c:v>-11.291232589651448</c:v>
                </c:pt>
                <c:pt idx="788">
                  <c:v>-11.300901981056501</c:v>
                </c:pt>
                <c:pt idx="789">
                  <c:v>-11.310571379909149</c:v>
                </c:pt>
                <c:pt idx="790">
                  <c:v>-11.320240786209167</c:v>
                </c:pt>
                <c:pt idx="791">
                  <c:v>-11.329910199956332</c:v>
                </c:pt>
                <c:pt idx="792">
                  <c:v>-11.339579621150421</c:v>
                </c:pt>
                <c:pt idx="793">
                  <c:v>-11.349249049791206</c:v>
                </c:pt>
                <c:pt idx="794">
                  <c:v>-11.358918485878467</c:v>
                </c:pt>
                <c:pt idx="795">
                  <c:v>-11.36858792941198</c:v>
                </c:pt>
                <c:pt idx="796">
                  <c:v>-11.378257380391521</c:v>
                </c:pt>
                <c:pt idx="797">
                  <c:v>-11.387926838816865</c:v>
                </c:pt>
                <c:pt idx="798">
                  <c:v>-11.397596304687788</c:v>
                </c:pt>
                <c:pt idx="799">
                  <c:v>-11.407265778004067</c:v>
                </c:pt>
                <c:pt idx="800">
                  <c:v>-11.416935258765479</c:v>
                </c:pt>
                <c:pt idx="801">
                  <c:v>-11.426604746971799</c:v>
                </c:pt>
                <c:pt idx="802">
                  <c:v>-11.436274242622805</c:v>
                </c:pt>
                <c:pt idx="803">
                  <c:v>-11.445943745718271</c:v>
                </c:pt>
                <c:pt idx="804">
                  <c:v>-11.455613256257974</c:v>
                </c:pt>
                <c:pt idx="805">
                  <c:v>-11.465282774241691</c:v>
                </c:pt>
                <c:pt idx="806">
                  <c:v>-11.474952299669198</c:v>
                </c:pt>
                <c:pt idx="807">
                  <c:v>-11.48462183254027</c:v>
                </c:pt>
                <c:pt idx="808">
                  <c:v>-11.494291372854684</c:v>
                </c:pt>
                <c:pt idx="809">
                  <c:v>-11.503960920612217</c:v>
                </c:pt>
                <c:pt idx="810">
                  <c:v>-11.513630475812644</c:v>
                </c:pt>
                <c:pt idx="811">
                  <c:v>-11.523300038455741</c:v>
                </c:pt>
                <c:pt idx="812">
                  <c:v>-11.532969608541285</c:v>
                </c:pt>
                <c:pt idx="813">
                  <c:v>-11.542639186069051</c:v>
                </c:pt>
                <c:pt idx="814">
                  <c:v>-11.552308771038817</c:v>
                </c:pt>
                <c:pt idx="815">
                  <c:v>-11.561978363450358</c:v>
                </c:pt>
                <c:pt idx="816">
                  <c:v>-11.571647963303452</c:v>
                </c:pt>
                <c:pt idx="817">
                  <c:v>-11.581317570597873</c:v>
                </c:pt>
                <c:pt idx="818">
                  <c:v>-11.590987185333399</c:v>
                </c:pt>
                <c:pt idx="819">
                  <c:v>-11.600656807509806</c:v>
                </c:pt>
                <c:pt idx="820">
                  <c:v>-11.610326437126869</c:v>
                </c:pt>
                <c:pt idx="821">
                  <c:v>-11.619996074184366</c:v>
                </c:pt>
                <c:pt idx="822">
                  <c:v>-11.629665718682071</c:v>
                </c:pt>
                <c:pt idx="823">
                  <c:v>-11.639335370619763</c:v>
                </c:pt>
                <c:pt idx="824">
                  <c:v>-11.649005029997218</c:v>
                </c:pt>
                <c:pt idx="825">
                  <c:v>-11.658674696814211</c:v>
                </c:pt>
                <c:pt idx="826">
                  <c:v>-11.668344371070518</c:v>
                </c:pt>
                <c:pt idx="827">
                  <c:v>-11.678014052765915</c:v>
                </c:pt>
                <c:pt idx="828">
                  <c:v>-11.68768374190018</c:v>
                </c:pt>
                <c:pt idx="829">
                  <c:v>-11.697353438473089</c:v>
                </c:pt>
                <c:pt idx="830">
                  <c:v>-11.707023142484417</c:v>
                </c:pt>
                <c:pt idx="831">
                  <c:v>-11.716692853933942</c:v>
                </c:pt>
                <c:pt idx="832">
                  <c:v>-11.72636257282144</c:v>
                </c:pt>
                <c:pt idx="833">
                  <c:v>-11.736032299146686</c:v>
                </c:pt>
                <c:pt idx="834">
                  <c:v>-11.745702032909456</c:v>
                </c:pt>
                <c:pt idx="835">
                  <c:v>-11.755371774109529</c:v>
                </c:pt>
                <c:pt idx="836">
                  <c:v>-11.76504152274668</c:v>
                </c:pt>
                <c:pt idx="837">
                  <c:v>-11.774711278820684</c:v>
                </c:pt>
                <c:pt idx="838">
                  <c:v>-11.784381042331319</c:v>
                </c:pt>
                <c:pt idx="839">
                  <c:v>-11.794050813278361</c:v>
                </c:pt>
                <c:pt idx="840">
                  <c:v>-11.803720591661586</c:v>
                </c:pt>
                <c:pt idx="841">
                  <c:v>-11.81339037748077</c:v>
                </c:pt>
                <c:pt idx="842">
                  <c:v>-11.82306017073569</c:v>
                </c:pt>
                <c:pt idx="843">
                  <c:v>-11.832729971426122</c:v>
                </c:pt>
                <c:pt idx="844">
                  <c:v>-11.842399779551842</c:v>
                </c:pt>
                <c:pt idx="845">
                  <c:v>-11.852069595112628</c:v>
                </c:pt>
                <c:pt idx="846">
                  <c:v>-11.861739418108254</c:v>
                </c:pt>
                <c:pt idx="847">
                  <c:v>-11.871409248538498</c:v>
                </c:pt>
                <c:pt idx="848">
                  <c:v>-11.881079086403137</c:v>
                </c:pt>
                <c:pt idx="849">
                  <c:v>-11.890748931701944</c:v>
                </c:pt>
                <c:pt idx="850">
                  <c:v>-11.900418784434699</c:v>
                </c:pt>
                <c:pt idx="851">
                  <c:v>-11.910088644601176</c:v>
                </c:pt>
                <c:pt idx="852">
                  <c:v>-11.919758512201154</c:v>
                </c:pt>
                <c:pt idx="853">
                  <c:v>-11.929428387234408</c:v>
                </c:pt>
                <c:pt idx="854">
                  <c:v>-11.939098269700713</c:v>
                </c:pt>
                <c:pt idx="855">
                  <c:v>-11.948768159599847</c:v>
                </c:pt>
                <c:pt idx="856">
                  <c:v>-11.958438056931586</c:v>
                </c:pt>
                <c:pt idx="857">
                  <c:v>-11.968107961695706</c:v>
                </c:pt>
                <c:pt idx="858">
                  <c:v>-11.977777873891984</c:v>
                </c:pt>
                <c:pt idx="859">
                  <c:v>-11.987447793520197</c:v>
                </c:pt>
                <c:pt idx="860">
                  <c:v>-11.997117720580119</c:v>
                </c:pt>
                <c:pt idx="861">
                  <c:v>-12.00678765507153</c:v>
                </c:pt>
                <c:pt idx="862">
                  <c:v>-12.016457596994204</c:v>
                </c:pt>
                <c:pt idx="863">
                  <c:v>-12.026127546347919</c:v>
                </c:pt>
                <c:pt idx="864">
                  <c:v>-12.035797503132448</c:v>
                </c:pt>
                <c:pt idx="865">
                  <c:v>-12.045467467347571</c:v>
                </c:pt>
                <c:pt idx="866">
                  <c:v>-12.055137438993063</c:v>
                </c:pt>
                <c:pt idx="867">
                  <c:v>-12.0648074180687</c:v>
                </c:pt>
                <c:pt idx="868">
                  <c:v>-12.07447740457426</c:v>
                </c:pt>
                <c:pt idx="869">
                  <c:v>-12.084147398509518</c:v>
                </c:pt>
                <c:pt idx="870">
                  <c:v>-12.093817399874252</c:v>
                </c:pt>
                <c:pt idx="871">
                  <c:v>-12.103487408668236</c:v>
                </c:pt>
                <c:pt idx="872">
                  <c:v>-12.113157424891249</c:v>
                </c:pt>
                <c:pt idx="873">
                  <c:v>-12.122827448543065</c:v>
                </c:pt>
                <c:pt idx="874">
                  <c:v>-12.132497479623463</c:v>
                </c:pt>
                <c:pt idx="875">
                  <c:v>-12.142167518132219</c:v>
                </c:pt>
                <c:pt idx="876">
                  <c:v>-12.151837564069108</c:v>
                </c:pt>
                <c:pt idx="877">
                  <c:v>-12.161507617433907</c:v>
                </c:pt>
                <c:pt idx="878">
                  <c:v>-12.171177678226393</c:v>
                </c:pt>
                <c:pt idx="879">
                  <c:v>-12.180847746446341</c:v>
                </c:pt>
                <c:pt idx="880">
                  <c:v>-12.190517822093531</c:v>
                </c:pt>
                <c:pt idx="881">
                  <c:v>-12.200187905167736</c:v>
                </c:pt>
                <c:pt idx="882">
                  <c:v>-12.209857995668735</c:v>
                </c:pt>
                <c:pt idx="883">
                  <c:v>-12.219528093596301</c:v>
                </c:pt>
                <c:pt idx="884">
                  <c:v>-12.229198198950213</c:v>
                </c:pt>
                <c:pt idx="885">
                  <c:v>-12.238868311730247</c:v>
                </c:pt>
                <c:pt idx="886">
                  <c:v>-12.248538431936181</c:v>
                </c:pt>
                <c:pt idx="887">
                  <c:v>-12.258208559567789</c:v>
                </c:pt>
                <c:pt idx="888">
                  <c:v>-12.26787869462485</c:v>
                </c:pt>
                <c:pt idx="889">
                  <c:v>-12.277548837107139</c:v>
                </c:pt>
                <c:pt idx="890">
                  <c:v>-12.287218987014432</c:v>
                </c:pt>
                <c:pt idx="891">
                  <c:v>-12.296889144346506</c:v>
                </c:pt>
                <c:pt idx="892">
                  <c:v>-12.30655930910314</c:v>
                </c:pt>
                <c:pt idx="893">
                  <c:v>-12.316229481284106</c:v>
                </c:pt>
                <c:pt idx="894">
                  <c:v>-12.325899660889183</c:v>
                </c:pt>
                <c:pt idx="895">
                  <c:v>-12.335569847918148</c:v>
                </c:pt>
                <c:pt idx="896">
                  <c:v>-12.345240042370776</c:v>
                </c:pt>
                <c:pt idx="897">
                  <c:v>-12.354910244246845</c:v>
                </c:pt>
                <c:pt idx="898">
                  <c:v>-12.364580453546132</c:v>
                </c:pt>
                <c:pt idx="899">
                  <c:v>-12.374250670268413</c:v>
                </c:pt>
                <c:pt idx="900">
                  <c:v>-12.383920894413464</c:v>
                </c:pt>
                <c:pt idx="901">
                  <c:v>-12.393591125981061</c:v>
                </c:pt>
                <c:pt idx="902">
                  <c:v>-12.403261364970982</c:v>
                </c:pt>
                <c:pt idx="903">
                  <c:v>-12.412931611383001</c:v>
                </c:pt>
                <c:pt idx="904">
                  <c:v>-12.422601865216897</c:v>
                </c:pt>
                <c:pt idx="905">
                  <c:v>-12.432272126472448</c:v>
                </c:pt>
                <c:pt idx="906">
                  <c:v>-12.441942395149427</c:v>
                </c:pt>
                <c:pt idx="907">
                  <c:v>-12.451612671247613</c:v>
                </c:pt>
                <c:pt idx="908">
                  <c:v>-12.461282954766782</c:v>
                </c:pt>
                <c:pt idx="909">
                  <c:v>-12.47095324570671</c:v>
                </c:pt>
                <c:pt idx="910">
                  <c:v>-12.480623544067173</c:v>
                </c:pt>
                <c:pt idx="911">
                  <c:v>-12.49029384984795</c:v>
                </c:pt>
                <c:pt idx="912">
                  <c:v>-12.499964163048814</c:v>
                </c:pt>
                <c:pt idx="913">
                  <c:v>-12.509634483669545</c:v>
                </c:pt>
                <c:pt idx="914">
                  <c:v>-12.519304811709919</c:v>
                </c:pt>
                <c:pt idx="915">
                  <c:v>-12.52897514716971</c:v>
                </c:pt>
                <c:pt idx="916">
                  <c:v>-12.538645490048697</c:v>
                </c:pt>
                <c:pt idx="917">
                  <c:v>-12.548315840346657</c:v>
                </c:pt>
                <c:pt idx="918">
                  <c:v>-12.557986198063366</c:v>
                </c:pt>
                <c:pt idx="919">
                  <c:v>-12.5676565631986</c:v>
                </c:pt>
                <c:pt idx="920">
                  <c:v>-12.577326935752136</c:v>
                </c:pt>
                <c:pt idx="921">
                  <c:v>-12.586997315723751</c:v>
                </c:pt>
                <c:pt idx="922">
                  <c:v>-12.596667703113221</c:v>
                </c:pt>
                <c:pt idx="923">
                  <c:v>-12.606338097920323</c:v>
                </c:pt>
                <c:pt idx="924">
                  <c:v>-12.616008500144835</c:v>
                </c:pt>
                <c:pt idx="925">
                  <c:v>-12.625678909786531</c:v>
                </c:pt>
                <c:pt idx="926">
                  <c:v>-12.635349326845189</c:v>
                </c:pt>
                <c:pt idx="927">
                  <c:v>-12.645019751320586</c:v>
                </c:pt>
                <c:pt idx="928">
                  <c:v>-12.654690183212498</c:v>
                </c:pt>
                <c:pt idx="929">
                  <c:v>-12.664360622520702</c:v>
                </c:pt>
                <c:pt idx="930">
                  <c:v>-12.674031069244974</c:v>
                </c:pt>
                <c:pt idx="931">
                  <c:v>-12.683701523385091</c:v>
                </c:pt>
                <c:pt idx="932">
                  <c:v>-12.69337198494083</c:v>
                </c:pt>
                <c:pt idx="933">
                  <c:v>-12.703042453911968</c:v>
                </c:pt>
                <c:pt idx="934">
                  <c:v>-12.712712930298281</c:v>
                </c:pt>
                <c:pt idx="935">
                  <c:v>-12.722383414099546</c:v>
                </c:pt>
                <c:pt idx="936">
                  <c:v>-12.73205390531554</c:v>
                </c:pt>
                <c:pt idx="937">
                  <c:v>-12.741724403946039</c:v>
                </c:pt>
                <c:pt idx="938">
                  <c:v>-12.75139490999082</c:v>
                </c:pt>
                <c:pt idx="939">
                  <c:v>-12.76106542344966</c:v>
                </c:pt>
                <c:pt idx="940">
                  <c:v>-12.770735944322334</c:v>
                </c:pt>
                <c:pt idx="941">
                  <c:v>-12.780406472608622</c:v>
                </c:pt>
                <c:pt idx="942">
                  <c:v>-12.790077008308298</c:v>
                </c:pt>
                <c:pt idx="943">
                  <c:v>-12.79974755142114</c:v>
                </c:pt>
                <c:pt idx="944">
                  <c:v>-12.809418101946925</c:v>
                </c:pt>
                <c:pt idx="945">
                  <c:v>-12.819088659885429</c:v>
                </c:pt>
                <c:pt idx="946">
                  <c:v>-12.828759225236428</c:v>
                </c:pt>
                <c:pt idx="947">
                  <c:v>-12.8384297979997</c:v>
                </c:pt>
                <c:pt idx="948">
                  <c:v>-12.848100378175021</c:v>
                </c:pt>
                <c:pt idx="949">
                  <c:v>-12.857770965762167</c:v>
                </c:pt>
                <c:pt idx="950">
                  <c:v>-12.867441560760916</c:v>
                </c:pt>
                <c:pt idx="951">
                  <c:v>-12.877112163171045</c:v>
                </c:pt>
                <c:pt idx="952">
                  <c:v>-12.88678277299233</c:v>
                </c:pt>
                <c:pt idx="953">
                  <c:v>-12.896453390224547</c:v>
                </c:pt>
                <c:pt idx="954">
                  <c:v>-12.906124014867475</c:v>
                </c:pt>
                <c:pt idx="955">
                  <c:v>-12.915794646920888</c:v>
                </c:pt>
                <c:pt idx="956">
                  <c:v>-12.925465286384565</c:v>
                </c:pt>
                <c:pt idx="957">
                  <c:v>-12.935135933258282</c:v>
                </c:pt>
                <c:pt idx="958">
                  <c:v>-12.944806587541816</c:v>
                </c:pt>
                <c:pt idx="959">
                  <c:v>-12.954477249234943</c:v>
                </c:pt>
                <c:pt idx="960">
                  <c:v>-12.96414791833744</c:v>
                </c:pt>
                <c:pt idx="961">
                  <c:v>-12.973818594849085</c:v>
                </c:pt>
                <c:pt idx="962">
                  <c:v>-12.983489278769653</c:v>
                </c:pt>
                <c:pt idx="963">
                  <c:v>-12.993159970098922</c:v>
                </c:pt>
                <c:pt idx="964">
                  <c:v>-13.002830668836669</c:v>
                </c:pt>
                <c:pt idx="965">
                  <c:v>-13.012501374982669</c:v>
                </c:pt>
                <c:pt idx="966">
                  <c:v>-13.022172088536701</c:v>
                </c:pt>
                <c:pt idx="967">
                  <c:v>-13.03184280949854</c:v>
                </c:pt>
                <c:pt idx="968">
                  <c:v>-13.041513537867964</c:v>
                </c:pt>
                <c:pt idx="969">
                  <c:v>-13.051184273644749</c:v>
                </c:pt>
                <c:pt idx="970">
                  <c:v>-13.060855016828672</c:v>
                </c:pt>
                <c:pt idx="971">
                  <c:v>-13.070525767419509</c:v>
                </c:pt>
                <c:pt idx="972">
                  <c:v>-13.080196525417039</c:v>
                </c:pt>
                <c:pt idx="973">
                  <c:v>-13.089867290821037</c:v>
                </c:pt>
                <c:pt idx="974">
                  <c:v>-13.099538063631281</c:v>
                </c:pt>
                <c:pt idx="975">
                  <c:v>-13.109208843847547</c:v>
                </c:pt>
                <c:pt idx="976">
                  <c:v>-13.118879631469612</c:v>
                </c:pt>
                <c:pt idx="977">
                  <c:v>-13.128550426497254</c:v>
                </c:pt>
                <c:pt idx="978">
                  <c:v>-13.138221228930249</c:v>
                </c:pt>
                <c:pt idx="979">
                  <c:v>-13.147892038768372</c:v>
                </c:pt>
                <c:pt idx="980">
                  <c:v>-13.157562856011403</c:v>
                </c:pt>
                <c:pt idx="981">
                  <c:v>-13.167233680659116</c:v>
                </c:pt>
                <c:pt idx="982">
                  <c:v>-13.176904512711289</c:v>
                </c:pt>
                <c:pt idx="983">
                  <c:v>-13.186575352167699</c:v>
                </c:pt>
                <c:pt idx="984">
                  <c:v>-13.196246199028122</c:v>
                </c:pt>
                <c:pt idx="985">
                  <c:v>-13.205917053292337</c:v>
                </c:pt>
                <c:pt idx="986">
                  <c:v>-13.215587914960119</c:v>
                </c:pt>
                <c:pt idx="987">
                  <c:v>-13.225258784031247</c:v>
                </c:pt>
                <c:pt idx="988">
                  <c:v>-13.234929660505495</c:v>
                </c:pt>
                <c:pt idx="989">
                  <c:v>-13.244600544382642</c:v>
                </c:pt>
                <c:pt idx="990">
                  <c:v>-13.254271435662464</c:v>
                </c:pt>
                <c:pt idx="991">
                  <c:v>-13.263942334344737</c:v>
                </c:pt>
                <c:pt idx="992">
                  <c:v>-13.27361324042924</c:v>
                </c:pt>
                <c:pt idx="993">
                  <c:v>-13.28328415391575</c:v>
                </c:pt>
                <c:pt idx="994">
                  <c:v>-13.292955074804041</c:v>
                </c:pt>
                <c:pt idx="995">
                  <c:v>-13.302626003093891</c:v>
                </c:pt>
                <c:pt idx="996">
                  <c:v>-13.312296938785078</c:v>
                </c:pt>
                <c:pt idx="997">
                  <c:v>-13.321967881877379</c:v>
                </c:pt>
                <c:pt idx="998">
                  <c:v>-13.331638832370571</c:v>
                </c:pt>
                <c:pt idx="999">
                  <c:v>-13.341309790264429</c:v>
                </c:pt>
                <c:pt idx="1000">
                  <c:v>-13.350980755558732</c:v>
                </c:pt>
              </c:numCache>
            </c:numRef>
          </c:yVal>
          <c:smooth val="1"/>
          <c:extLst>
            <c:ext xmlns:c16="http://schemas.microsoft.com/office/drawing/2014/chart" uri="{C3380CC4-5D6E-409C-BE32-E72D297353CC}">
              <c16:uniqueId val="{00000001-432A-49A9-9499-7ED3E32DDB07}"/>
            </c:ext>
          </c:extLst>
        </c:ser>
        <c:ser>
          <c:idx val="2"/>
          <c:order val="2"/>
          <c:tx>
            <c:strRef>
              <c:f>Trajecto!$B$108</c:f>
              <c:strCache>
                <c:ptCount val="1"/>
                <c:pt idx="0">
                  <c:v>Descente balistique</c:v>
                </c:pt>
              </c:strCache>
            </c:strRef>
          </c:tx>
          <c:spPr>
            <a:ln w="12700">
              <a:solidFill>
                <a:srgbClr val="808080"/>
              </a:solidFill>
              <a:prstDash val="sysDash"/>
            </a:ln>
          </c:spPr>
          <c:marker>
            <c:symbol val="none"/>
          </c:marker>
          <c:xVal>
            <c:numRef>
              <c:f>Calculs!$J$4:$J$1004</c:f>
              <c:numCache>
                <c:formatCode>0.00</c:formatCode>
                <c:ptCount val="1001"/>
                <c:pt idx="0">
                  <c:v>98.964688107976272</c:v>
                </c:pt>
                <c:pt idx="1">
                  <c:v>99.334522222300691</c:v>
                </c:pt>
                <c:pt idx="2">
                  <c:v>99.703764247284326</c:v>
                </c:pt>
                <c:pt idx="3">
                  <c:v>100.07241651100099</c:v>
                </c:pt>
                <c:pt idx="4">
                  <c:v>100.44048132829238</c:v>
                </c:pt>
                <c:pt idx="5">
                  <c:v>100.80796100086987</c:v>
                </c:pt>
                <c:pt idx="6">
                  <c:v>101.17485781741556</c:v>
                </c:pt>
                <c:pt idx="7">
                  <c:v>101.54117405368216</c:v>
                </c:pt>
                <c:pt idx="8">
                  <c:v>101.90691197259203</c:v>
                </c:pt>
                <c:pt idx="9">
                  <c:v>102.27207382433525</c:v>
                </c:pt>
                <c:pt idx="10">
                  <c:v>102.63666184646672</c:v>
                </c:pt>
                <c:pt idx="11">
                  <c:v>103.00067825999349</c:v>
                </c:pt>
                <c:pt idx="12">
                  <c:v>103.36412526557487</c:v>
                </c:pt>
                <c:pt idx="13">
                  <c:v>103.72700504785658</c:v>
                </c:pt>
                <c:pt idx="14">
                  <c:v>104.08931977968683</c:v>
                </c:pt>
                <c:pt idx="15">
                  <c:v>104.45107162220215</c:v>
                </c:pt>
                <c:pt idx="16">
                  <c:v>104.81226272491242</c:v>
                </c:pt>
                <c:pt idx="17">
                  <c:v>105.17289522578515</c:v>
                </c:pt>
                <c:pt idx="18">
                  <c:v>105.53297125132904</c:v>
                </c:pt>
                <c:pt idx="19">
                  <c:v>105.89249291667666</c:v>
                </c:pt>
                <c:pt idx="20">
                  <c:v>106.25146232566647</c:v>
                </c:pt>
                <c:pt idx="21">
                  <c:v>106.60988157294238</c:v>
                </c:pt>
                <c:pt idx="22">
                  <c:v>106.96775274599791</c:v>
                </c:pt>
                <c:pt idx="23">
                  <c:v>107.32507792312646</c:v>
                </c:pt>
                <c:pt idx="24">
                  <c:v>107.68185917142733</c:v>
                </c:pt>
                <c:pt idx="25">
                  <c:v>108.03809854688733</c:v>
                </c:pt>
                <c:pt idx="26">
                  <c:v>108.39379809446156</c:v>
                </c:pt>
                <c:pt idx="27">
                  <c:v>108.74895984815356</c:v>
                </c:pt>
                <c:pt idx="28">
                  <c:v>109.10358583109466</c:v>
                </c:pt>
                <c:pt idx="29">
                  <c:v>109.45767805562264</c:v>
                </c:pt>
                <c:pt idx="30">
                  <c:v>109.81123852335966</c:v>
                </c:pt>
                <c:pt idx="31">
                  <c:v>110.16426922528956</c:v>
                </c:pt>
                <c:pt idx="32">
                  <c:v>110.51677214183431</c:v>
                </c:pt>
                <c:pt idx="33">
                  <c:v>110.86874924292995</c:v>
                </c:pt>
                <c:pt idx="34">
                  <c:v>111.22020248810172</c:v>
                </c:pt>
                <c:pt idx="35">
                  <c:v>111.57113382653857</c:v>
                </c:pt>
                <c:pt idx="36">
                  <c:v>111.92154519716701</c:v>
                </c:pt>
                <c:pt idx="37">
                  <c:v>112.27143852872423</c:v>
                </c:pt>
                <c:pt idx="38">
                  <c:v>112.6208157398307</c:v>
                </c:pt>
                <c:pt idx="39">
                  <c:v>112.969678739062</c:v>
                </c:pt>
                <c:pt idx="40">
                  <c:v>113.31802942502007</c:v>
                </c:pt>
                <c:pt idx="41">
                  <c:v>113.66586968640379</c:v>
                </c:pt>
                <c:pt idx="42">
                  <c:v>114.01320140207901</c:v>
                </c:pt>
                <c:pt idx="43">
                  <c:v>114.36002644114785</c:v>
                </c:pt>
                <c:pt idx="44">
                  <c:v>114.70634666301754</c:v>
                </c:pt>
                <c:pt idx="45">
                  <c:v>115.05216391746848</c:v>
                </c:pt>
                <c:pt idx="46">
                  <c:v>115.39748004472183</c:v>
                </c:pt>
                <c:pt idx="47">
                  <c:v>115.74229687550647</c:v>
                </c:pt>
                <c:pt idx="48">
                  <c:v>116.08661623112533</c:v>
                </c:pt>
                <c:pt idx="49">
                  <c:v>116.43043992352123</c:v>
                </c:pt>
                <c:pt idx="50">
                  <c:v>116.77376975534206</c:v>
                </c:pt>
                <c:pt idx="51">
                  <c:v>117.11660752000542</c:v>
                </c:pt>
                <c:pt idx="52">
                  <c:v>117.45895500176273</c:v>
                </c:pt>
                <c:pt idx="53">
                  <c:v>117.80081397576276</c:v>
                </c:pt>
                <c:pt idx="54">
                  <c:v>118.14218620811459</c:v>
                </c:pt>
                <c:pt idx="55">
                  <c:v>118.48307345595003</c:v>
                </c:pt>
                <c:pt idx="56">
                  <c:v>118.82347746748556</c:v>
                </c:pt>
                <c:pt idx="57">
                  <c:v>119.16339998208363</c:v>
                </c:pt>
                <c:pt idx="58">
                  <c:v>119.50284273031356</c:v>
                </c:pt>
                <c:pt idx="59">
                  <c:v>119.8418074340118</c:v>
                </c:pt>
                <c:pt idx="60">
                  <c:v>120.18029580634175</c:v>
                </c:pt>
                <c:pt idx="61">
                  <c:v>120.51830955185302</c:v>
                </c:pt>
                <c:pt idx="62">
                  <c:v>120.85585036654024</c:v>
                </c:pt>
                <c:pt idx="63">
                  <c:v>121.19291993790127</c:v>
                </c:pt>
                <c:pt idx="64">
                  <c:v>121.52951994499506</c:v>
                </c:pt>
                <c:pt idx="65">
                  <c:v>121.86565205849888</c:v>
                </c:pt>
                <c:pt idx="66">
                  <c:v>122.20131794076515</c:v>
                </c:pt>
                <c:pt idx="67">
                  <c:v>122.53651924587773</c:v>
                </c:pt>
                <c:pt idx="68">
                  <c:v>122.87125761970779</c:v>
                </c:pt>
                <c:pt idx="69">
                  <c:v>123.20553469996918</c:v>
                </c:pt>
                <c:pt idx="70">
                  <c:v>123.53935211627332</c:v>
                </c:pt>
                <c:pt idx="71">
                  <c:v>123.87271149018366</c:v>
                </c:pt>
                <c:pt idx="72">
                  <c:v>124.20561443526965</c:v>
                </c:pt>
                <c:pt idx="73">
                  <c:v>124.53806255716032</c:v>
                </c:pt>
                <c:pt idx="74">
                  <c:v>124.87005745359728</c:v>
                </c:pt>
                <c:pt idx="75">
                  <c:v>125.20160071448747</c:v>
                </c:pt>
                <c:pt idx="76">
                  <c:v>125.53269392195526</c:v>
                </c:pt>
                <c:pt idx="77">
                  <c:v>125.8633386503943</c:v>
                </c:pt>
                <c:pt idx="78">
                  <c:v>126.19353646651882</c:v>
                </c:pt>
                <c:pt idx="79">
                  <c:v>126.52328892941455</c:v>
                </c:pt>
                <c:pt idx="80">
                  <c:v>126.85259759058921</c:v>
                </c:pt>
                <c:pt idx="81">
                  <c:v>127.18146399402259</c:v>
                </c:pt>
                <c:pt idx="82">
                  <c:v>127.5098896762162</c:v>
                </c:pt>
                <c:pt idx="83">
                  <c:v>127.83787616624254</c:v>
                </c:pt>
                <c:pt idx="84">
                  <c:v>128.16542498579392</c:v>
                </c:pt>
                <c:pt idx="85">
                  <c:v>128.49253764923094</c:v>
                </c:pt>
                <c:pt idx="86">
                  <c:v>128.81921566363047</c:v>
                </c:pt>
                <c:pt idx="87">
                  <c:v>129.14546052883341</c:v>
                </c:pt>
                <c:pt idx="88">
                  <c:v>129.47127373749188</c:v>
                </c:pt>
                <c:pt idx="89">
                  <c:v>129.79665677511608</c:v>
                </c:pt>
                <c:pt idx="90">
                  <c:v>130.12161112012086</c:v>
                </c:pt>
                <c:pt idx="91">
                  <c:v>130.44613824387179</c:v>
                </c:pt>
                <c:pt idx="92">
                  <c:v>130.7702396107309</c:v>
                </c:pt>
                <c:pt idx="93">
                  <c:v>131.09391667810209</c:v>
                </c:pt>
                <c:pt idx="94">
                  <c:v>131.41717089647611</c:v>
                </c:pt>
                <c:pt idx="95">
                  <c:v>131.74000370947519</c:v>
                </c:pt>
                <c:pt idx="96">
                  <c:v>132.06241655389738</c:v>
                </c:pt>
                <c:pt idx="97">
                  <c:v>132.38441085976044</c:v>
                </c:pt>
                <c:pt idx="98">
                  <c:v>132.70598805034538</c:v>
                </c:pt>
                <c:pt idx="99">
                  <c:v>133.02714954223975</c:v>
                </c:pt>
                <c:pt idx="100">
                  <c:v>133.34789674538047</c:v>
                </c:pt>
                <c:pt idx="101">
                  <c:v>136.53269157921852</c:v>
                </c:pt>
                <c:pt idx="102">
                  <c:v>139.67695883210803</c:v>
                </c:pt>
                <c:pt idx="103">
                  <c:v>142.78204878969362</c:v>
                </c:pt>
                <c:pt idx="104">
                  <c:v>145.84925042247235</c:v>
                </c:pt>
                <c:pt idx="105">
                  <c:v>148.87979514229718</c:v>
                </c:pt>
                <c:pt idx="106">
                  <c:v>151.87486027486506</c:v>
                </c:pt>
                <c:pt idx="107">
                  <c:v>154.83557227369886</c:v>
                </c:pt>
                <c:pt idx="108">
                  <c:v>157.76300969848924</c:v>
                </c:pt>
                <c:pt idx="109">
                  <c:v>160.65820597832757</c:v>
                </c:pt>
                <c:pt idx="110">
                  <c:v>163.52215197829582</c:v>
                </c:pt>
                <c:pt idx="111">
                  <c:v>166.35579838604843</c:v>
                </c:pt>
                <c:pt idx="112">
                  <c:v>169.16005793339585</c:v>
                </c:pt>
                <c:pt idx="113">
                  <c:v>171.93580746645253</c:v>
                </c:pt>
                <c:pt idx="114">
                  <c:v>174.68388987662399</c:v>
                </c:pt>
                <c:pt idx="115">
                  <c:v>177.40511590355632</c:v>
                </c:pt>
                <c:pt idx="116">
                  <c:v>180.10026582014351</c:v>
                </c:pt>
                <c:pt idx="117">
                  <c:v>182.77009100876609</c:v>
                </c:pt>
                <c:pt idx="118">
                  <c:v>185.41531543710866</c:v>
                </c:pt>
                <c:pt idx="119">
                  <c:v>188.03663704116127</c:v>
                </c:pt>
                <c:pt idx="120">
                  <c:v>190.63472902234204</c:v>
                </c:pt>
                <c:pt idx="121">
                  <c:v>193.21024106507673</c:v>
                </c:pt>
                <c:pt idx="122">
                  <c:v>195.76380048062799</c:v>
                </c:pt>
                <c:pt idx="123">
                  <c:v>198.29601328247676</c:v>
                </c:pt>
                <c:pt idx="124">
                  <c:v>200.80746519811473</c:v>
                </c:pt>
                <c:pt idx="125">
                  <c:v>203.29872262170446</c:v>
                </c:pt>
                <c:pt idx="126">
                  <c:v>205.77033351169982</c:v>
                </c:pt>
                <c:pt idx="127">
                  <c:v>208.22282823718777</c:v>
                </c:pt>
                <c:pt idx="128">
                  <c:v>210.65672037641173</c:v>
                </c:pt>
                <c:pt idx="129">
                  <c:v>213.07250747066232</c:v>
                </c:pt>
                <c:pt idx="130">
                  <c:v>215.47067173647179</c:v>
                </c:pt>
                <c:pt idx="131">
                  <c:v>217.85168073881979</c:v>
                </c:pt>
                <c:pt idx="132">
                  <c:v>220.21598802784982</c:v>
                </c:pt>
                <c:pt idx="133">
                  <c:v>222.56403374140476</c:v>
                </c:pt>
                <c:pt idx="134">
                  <c:v>224.89624517551525</c:v>
                </c:pt>
                <c:pt idx="135">
                  <c:v>227.21303732481383</c:v>
                </c:pt>
                <c:pt idx="136">
                  <c:v>229.51481339470064</c:v>
                </c:pt>
                <c:pt idx="137">
                  <c:v>231.80196528695063</c:v>
                </c:pt>
                <c:pt idx="138">
                  <c:v>234.07487406032732</c:v>
                </c:pt>
                <c:pt idx="139">
                  <c:v>236.33391036765275</c:v>
                </c:pt>
                <c:pt idx="140">
                  <c:v>238.57943487067686</c:v>
                </c:pt>
                <c:pt idx="141">
                  <c:v>240.81179863399018</c:v>
                </c:pt>
                <c:pt idx="142">
                  <c:v>243.03134349913284</c:v>
                </c:pt>
                <c:pt idx="143">
                  <c:v>245.23840243996733</c:v>
                </c:pt>
                <c:pt idx="144">
                  <c:v>247.43329990030287</c:v>
                </c:pt>
                <c:pt idx="145">
                  <c:v>249.61635211468572</c:v>
                </c:pt>
                <c:pt idx="146">
                  <c:v>251.78786741319973</c:v>
                </c:pt>
                <c:pt idx="147">
                  <c:v>253.94814651105634</c:v>
                </c:pt>
                <c:pt idx="148">
                  <c:v>256.09748278369182</c:v>
                </c:pt>
                <c:pt idx="149">
                  <c:v>258.23616252803146</c:v>
                </c:pt>
                <c:pt idx="150">
                  <c:v>260.36446521052426</c:v>
                </c:pt>
                <c:pt idx="151">
                  <c:v>262.48266370250008</c:v>
                </c:pt>
                <c:pt idx="152">
                  <c:v>264.59102450334956</c:v>
                </c:pt>
                <c:pt idx="153">
                  <c:v>266.68980795197837</c:v>
                </c:pt>
                <c:pt idx="154">
                  <c:v>268.77926842694018</c:v>
                </c:pt>
                <c:pt idx="155">
                  <c:v>270.8596545356059</c:v>
                </c:pt>
                <c:pt idx="156">
                  <c:v>272.9312092926815</c:v>
                </c:pt>
                <c:pt idx="157">
                  <c:v>274.99417028834102</c:v>
                </c:pt>
                <c:pt idx="158">
                  <c:v>277.04876984619654</c:v>
                </c:pt>
                <c:pt idx="159">
                  <c:v>279.09523517128139</c:v>
                </c:pt>
                <c:pt idx="160">
                  <c:v>281.13378848817683</c:v>
                </c:pt>
                <c:pt idx="161">
                  <c:v>283.16464716936554</c:v>
                </c:pt>
                <c:pt idx="162">
                  <c:v>285.18802385384714</c:v>
                </c:pt>
                <c:pt idx="163">
                  <c:v>287.20412655600114</c:v>
                </c:pt>
                <c:pt idx="164">
                  <c:v>289.21315876463115</c:v>
                </c:pt>
                <c:pt idx="165">
                  <c:v>291.21531953207068</c:v>
                </c:pt>
                <c:pt idx="166">
                  <c:v>293.21080355317366</c:v>
                </c:pt>
                <c:pt idx="167">
                  <c:v>295.19980123395527</c:v>
                </c:pt>
                <c:pt idx="168">
                  <c:v>297.18249874958599</c:v>
                </c:pt>
                <c:pt idx="169">
                  <c:v>299.15907809137809</c:v>
                </c:pt>
                <c:pt idx="170">
                  <c:v>301.12971710233666</c:v>
                </c:pt>
                <c:pt idx="171">
                  <c:v>303.09458950077845</c:v>
                </c:pt>
                <c:pt idx="172">
                  <c:v>305.05386489145189</c:v>
                </c:pt>
                <c:pt idx="173">
                  <c:v>307.00770876352095</c:v>
                </c:pt>
                <c:pt idx="174">
                  <c:v>308.95628247470756</c:v>
                </c:pt>
                <c:pt idx="175">
                  <c:v>310.89974322082338</c:v>
                </c:pt>
                <c:pt idx="176">
                  <c:v>312.83824398986462</c:v>
                </c:pt>
                <c:pt idx="177">
                  <c:v>314.77193349980206</c:v>
                </c:pt>
                <c:pt idx="178">
                  <c:v>316.70095611917264</c:v>
                </c:pt>
                <c:pt idx="179">
                  <c:v>318.62545176958355</c:v>
                </c:pt>
                <c:pt idx="180">
                  <c:v>320.54555580927905</c:v>
                </c:pt>
                <c:pt idx="181">
                  <c:v>322.46139889701254</c:v>
                </c:pt>
                <c:pt idx="182">
                  <c:v>324.37310683562049</c:v>
                </c:pt>
                <c:pt idx="183">
                  <c:v>326.28080039493409</c:v>
                </c:pt>
                <c:pt idx="184">
                  <c:v>328.18459511400226</c:v>
                </c:pt>
                <c:pt idx="185">
                  <c:v>330.0846010830586</c:v>
                </c:pt>
                <c:pt idx="186">
                  <c:v>331.98092270626137</c:v>
                </c:pt>
                <c:pt idx="187">
                  <c:v>333.87365844698127</c:v>
                </c:pt>
                <c:pt idx="188">
                  <c:v>335.76290055831367</c:v>
                </c:pt>
                <c:pt idx="189">
                  <c:v>337.64873480253556</c:v>
                </c:pt>
                <c:pt idx="190">
                  <c:v>339.53124016438824</c:v>
                </c:pt>
                <c:pt idx="191">
                  <c:v>341.41048856428432</c:v>
                </c:pt>
                <c:pt idx="192">
                  <c:v>343.28654457873182</c:v>
                </c:pt>
                <c:pt idx="193">
                  <c:v>345.15946517632494</c:v>
                </c:pt>
                <c:pt idx="194">
                  <c:v>347.02929947843893</c:v>
                </c:pt>
                <c:pt idx="195">
                  <c:v>348.89608855413923</c:v>
                </c:pt>
                <c:pt idx="196">
                  <c:v>350.75986525864886</c:v>
                </c:pt>
                <c:pt idx="197">
                  <c:v>352.62065412391956</c:v>
                </c:pt>
                <c:pt idx="198">
                  <c:v>354.47847130839716</c:v>
                </c:pt>
                <c:pt idx="199">
                  <c:v>356.33332461101747</c:v>
                </c:pt>
                <c:pt idx="200">
                  <c:v>358.18521355195759</c:v>
                </c:pt>
                <c:pt idx="201">
                  <c:v>360.03412951991385</c:v>
                </c:pt>
                <c:pt idx="202">
                  <c:v>361.88005598293637</c:v>
                </c:pt>
                <c:pt idx="203">
                  <c:v>363.7229687573755</c:v>
                </c:pt>
                <c:pt idx="204">
                  <c:v>365.56283632749751</c:v>
                </c:pt>
                <c:pt idx="205">
                  <c:v>367.39962020694549</c:v>
                </c:pt>
                <c:pt idx="206">
                  <c:v>369.23327533250665</c:v>
                </c:pt>
                <c:pt idx="207">
                  <c:v>371.06375048056799</c:v>
                </c:pt>
                <c:pt idx="208">
                  <c:v>372.89098869710108</c:v>
                </c:pt>
                <c:pt idx="209">
                  <c:v>374.71492773288338</c:v>
                </c:pt>
                <c:pt idx="210">
                  <c:v>376.535500476788</c:v>
                </c:pt>
                <c:pt idx="211">
                  <c:v>378.35263538122251</c:v>
                </c:pt>
                <c:pt idx="212">
                  <c:v>380.16625687505837</c:v>
                </c:pt>
                <c:pt idx="213">
                  <c:v>381.97628576057923</c:v>
                </c:pt>
                <c:pt idx="214">
                  <c:v>383.78263959203906</c:v>
                </c:pt>
                <c:pt idx="215">
                  <c:v>385.58523303432855</c:v>
                </c:pt>
                <c:pt idx="216">
                  <c:v>387.38397820099539</c:v>
                </c:pt>
                <c:pt idx="217">
                  <c:v>389.1787849714533</c:v>
                </c:pt>
                <c:pt idx="218">
                  <c:v>390.96956128766641</c:v>
                </c:pt>
                <c:pt idx="219">
                  <c:v>392.75621343092212</c:v>
                </c:pt>
                <c:pt idx="220">
                  <c:v>394.53864627953243</c:v>
                </c:pt>
                <c:pt idx="221">
                  <c:v>396.31676354844967</c:v>
                </c:pt>
                <c:pt idx="222">
                  <c:v>398.09046801186241</c:v>
                </c:pt>
                <c:pt idx="223">
                  <c:v>399.85966170987075</c:v>
                </c:pt>
                <c:pt idx="224">
                  <c:v>401.62424614033631</c:v>
                </c:pt>
                <c:pt idx="225">
                  <c:v>403.38412243697485</c:v>
                </c:pt>
                <c:pt idx="226">
                  <c:v>405.13919153471227</c:v>
                </c:pt>
                <c:pt idx="227">
                  <c:v>406.88935432326991</c:v>
                </c:pt>
                <c:pt idx="228">
                  <c:v>408.63451178988117</c:v>
                </c:pt>
                <c:pt idx="229">
                  <c:v>410.37456515197715</c:v>
                </c:pt>
                <c:pt idx="230">
                  <c:v>412.10941598061311</c:v>
                </c:pt>
                <c:pt idx="231">
                  <c:v>413.83896631534469</c:v>
                </c:pt>
                <c:pt idx="232">
                  <c:v>415.5631187712014</c:v>
                </c:pt>
                <c:pt idx="233">
                  <c:v>417.28177663834805</c:v>
                </c:pt>
                <c:pt idx="234">
                  <c:v>418.99484397497093</c:v>
                </c:pt>
                <c:pt idx="235">
                  <c:v>420.70222569387761</c:v>
                </c:pt>
                <c:pt idx="236">
                  <c:v>422.40382764325221</c:v>
                </c:pt>
                <c:pt idx="237">
                  <c:v>424.09955668196858</c:v>
                </c:pt>
                <c:pt idx="238">
                  <c:v>425.78932074982544</c:v>
                </c:pt>
                <c:pt idx="239">
                  <c:v>427.47302893303402</c:v>
                </c:pt>
                <c:pt idx="240">
                  <c:v>429.15059152525833</c:v>
                </c:pt>
                <c:pt idx="241">
                  <c:v>430.82192008448089</c:v>
                </c:pt>
                <c:pt idx="242">
                  <c:v>432.48692748594135</c:v>
                </c:pt>
                <c:pt idx="243">
                  <c:v>434.14552797137463</c:v>
                </c:pt>
                <c:pt idx="244">
                  <c:v>435.79763719475403</c:v>
                </c:pt>
                <c:pt idx="245">
                  <c:v>437.44317226472833</c:v>
                </c:pt>
                <c:pt idx="246">
                  <c:v>439.08205178392478</c:v>
                </c:pt>
                <c:pt idx="247">
                  <c:v>440.71419588527698</c:v>
                </c:pt>
                <c:pt idx="248">
                  <c:v>442.33952626552292</c:v>
                </c:pt>
                <c:pt idx="249">
                  <c:v>443.95796621600817</c:v>
                </c:pt>
                <c:pt idx="250">
                  <c:v>445.56944065091824</c:v>
                </c:pt>
                <c:pt idx="251">
                  <c:v>447.17387613305533</c:v>
                </c:pt>
                <c:pt idx="252">
                  <c:v>448.77120089726742</c:v>
                </c:pt>
                <c:pt idx="253">
                  <c:v>450.36134487162917</c:v>
                </c:pt>
                <c:pt idx="254">
                  <c:v>451.9442396964688</c:v>
                </c:pt>
                <c:pt idx="255">
                  <c:v>453.51981874132883</c:v>
                </c:pt>
                <c:pt idx="256">
                  <c:v>455.08801711994329</c:v>
                </c:pt>
                <c:pt idx="257">
                  <c:v>456.64877170330971</c:v>
                </c:pt>
                <c:pt idx="258">
                  <c:v>458.20202113093046</c:v>
                </c:pt>
                <c:pt idx="259">
                  <c:v>459.74770582029288</c:v>
                </c:pt>
                <c:pt idx="260">
                  <c:v>461.28576797465621</c:v>
                </c:pt>
                <c:pt idx="261">
                  <c:v>462.81615158920869</c:v>
                </c:pt>
                <c:pt idx="262">
                  <c:v>464.33880245565666</c:v>
                </c:pt>
                <c:pt idx="263">
                  <c:v>465.85366816530421</c:v>
                </c:pt>
                <c:pt idx="264">
                  <c:v>467.36069811068006</c:v>
                </c:pt>
                <c:pt idx="265">
                  <c:v>468.85984348576682</c:v>
                </c:pt>
                <c:pt idx="266">
                  <c:v>470.3510572848848</c:v>
                </c:pt>
                <c:pt idx="267">
                  <c:v>471.83429430028201</c:v>
                </c:pt>
                <c:pt idx="268">
                  <c:v>473.30951111847963</c:v>
                </c:pt>
                <c:pt idx="269">
                  <c:v>474.77666611542145</c:v>
                </c:pt>
                <c:pt idx="270">
                  <c:v>476.23571945047377</c:v>
                </c:pt>
                <c:pt idx="271">
                  <c:v>477.68663305932182</c:v>
                </c:pt>
                <c:pt idx="272">
                  <c:v>479.12937064580683</c:v>
                </c:pt>
                <c:pt idx="273">
                  <c:v>480.56389767274743</c:v>
                </c:pt>
                <c:pt idx="274">
                  <c:v>481.99018135178756</c:v>
                </c:pt>
                <c:pt idx="275">
                  <c:v>483.40819063231254</c:v>
                </c:pt>
                <c:pt idx="276">
                  <c:v>484.81789618947374</c:v>
                </c:pt>
                <c:pt idx="277">
                  <c:v>486.21927041136126</c:v>
                </c:pt>
                <c:pt idx="278">
                  <c:v>487.61228738536397</c:v>
                </c:pt>
                <c:pt idx="279">
                  <c:v>488.99692288375428</c:v>
                </c:pt>
                <c:pt idx="280">
                  <c:v>490.37315434853514</c:v>
                </c:pt>
                <c:pt idx="281">
                  <c:v>491.74096087558542</c:v>
                </c:pt>
                <c:pt idx="282">
                  <c:v>493.10032319813968</c:v>
                </c:pt>
                <c:pt idx="283">
                  <c:v>494.45122366963687</c:v>
                </c:pt>
                <c:pt idx="284">
                  <c:v>495.79364624597213</c:v>
                </c:pt>
                <c:pt idx="285">
                  <c:v>497.12757646718524</c:v>
                </c:pt>
                <c:pt idx="286">
                  <c:v>498.45300143861817</c:v>
                </c:pt>
                <c:pt idx="287">
                  <c:v>499.76990981157411</c:v>
                </c:pt>
                <c:pt idx="288">
                  <c:v>501.07829176350856</c:v>
                </c:pt>
                <c:pt idx="289">
                  <c:v>502.37813897778386</c:v>
                </c:pt>
                <c:pt idx="290">
                  <c:v>503.66944462301615</c:v>
                </c:pt>
                <c:pt idx="291">
                  <c:v>504.95220333204458</c:v>
                </c:pt>
                <c:pt idx="292">
                  <c:v>506.22641118055071</c:v>
                </c:pt>
                <c:pt idx="293">
                  <c:v>507.49206566535605</c:v>
                </c:pt>
                <c:pt idx="294">
                  <c:v>508.74916568242492</c:v>
                </c:pt>
                <c:pt idx="295">
                  <c:v>509.99771150459844</c:v>
                </c:pt>
                <c:pt idx="296">
                  <c:v>511.23770475908606</c:v>
                </c:pt>
                <c:pt idx="297">
                  <c:v>512.4691484047388</c:v>
                </c:pt>
                <c:pt idx="298">
                  <c:v>513.6920467091287</c:v>
                </c:pt>
                <c:pt idx="299">
                  <c:v>514.9064052254588</c:v>
                </c:pt>
                <c:pt idx="300">
                  <c:v>516.11223076932492</c:v>
                </c:pt>
                <c:pt idx="301">
                  <c:v>517.30953139535325</c:v>
                </c:pt>
                <c:pt idx="302">
                  <c:v>518.4983163737337</c:v>
                </c:pt>
                <c:pt idx="303">
                  <c:v>519.67859616667101</c:v>
                </c:pt>
                <c:pt idx="304">
                  <c:v>520.85038240477297</c:v>
                </c:pt>
                <c:pt idx="305">
                  <c:v>522.01368786339594</c:v>
                </c:pt>
                <c:pt idx="306">
                  <c:v>523.16852643896596</c:v>
                </c:pt>
                <c:pt idx="307">
                  <c:v>524.31491312529374</c:v>
                </c:pt>
                <c:pt idx="308">
                  <c:v>525.4528639899014</c:v>
                </c:pt>
                <c:pt idx="309">
                  <c:v>526.58239615037746</c:v>
                </c:pt>
                <c:pt idx="310">
                  <c:v>527.7035277507764</c:v>
                </c:pt>
                <c:pt idx="311">
                  <c:v>528.81627793807854</c:v>
                </c:pt>
                <c:pt idx="312">
                  <c:v>529.92066683872531</c:v>
                </c:pt>
                <c:pt idx="313">
                  <c:v>531.0167155352442</c:v>
                </c:pt>
                <c:pt idx="314">
                  <c:v>532.10444604297663</c:v>
                </c:pt>
                <c:pt idx="315">
                  <c:v>533.18388128692322</c:v>
                </c:pt>
                <c:pt idx="316">
                  <c:v>534.25504507871779</c:v>
                </c:pt>
                <c:pt idx="317">
                  <c:v>535.31796209374261</c:v>
                </c:pt>
                <c:pt idx="318">
                  <c:v>536.37265784839633</c:v>
                </c:pt>
                <c:pt idx="319">
                  <c:v>537.41915867752607</c:v>
                </c:pt>
                <c:pt idx="320">
                  <c:v>538.45749171203272</c:v>
                </c:pt>
                <c:pt idx="321">
                  <c:v>539.48768485666028</c:v>
                </c:pt>
                <c:pt idx="322">
                  <c:v>540.50976676797848</c:v>
                </c:pt>
                <c:pt idx="323">
                  <c:v>541.52376683256693</c:v>
                </c:pt>
                <c:pt idx="324">
                  <c:v>542.52971514540991</c:v>
                </c:pt>
                <c:pt idx="325">
                  <c:v>543.52764248850838</c:v>
                </c:pt>
                <c:pt idx="326">
                  <c:v>544.51758030971757</c:v>
                </c:pt>
                <c:pt idx="327">
                  <c:v>545.49956070181702</c:v>
                </c:pt>
                <c:pt idx="328">
                  <c:v>546.47361638181849</c:v>
                </c:pt>
                <c:pt idx="329">
                  <c:v>547.43978067051842</c:v>
                </c:pt>
                <c:pt idx="330">
                  <c:v>548.39808747230052</c:v>
                </c:pt>
                <c:pt idx="331">
                  <c:v>549.34857125519341</c:v>
                </c:pt>
                <c:pt idx="332">
                  <c:v>550.29126703118754</c:v>
                </c:pt>
                <c:pt idx="333">
                  <c:v>551.22621033681651</c:v>
                </c:pt>
                <c:pt idx="334">
                  <c:v>552.1534372140062</c:v>
                </c:pt>
                <c:pt idx="335">
                  <c:v>553.07298419119513</c:v>
                </c:pt>
                <c:pt idx="336">
                  <c:v>553.98488826472976</c:v>
                </c:pt>
                <c:pt idx="337">
                  <c:v>554.88918688053673</c:v>
                </c:pt>
                <c:pt idx="338">
                  <c:v>555.78591791607573</c:v>
                </c:pt>
                <c:pt idx="339">
                  <c:v>556.67511966257371</c:v>
                </c:pt>
                <c:pt idx="340">
                  <c:v>557.55683080754352</c:v>
                </c:pt>
                <c:pt idx="341">
                  <c:v>558.43109041758771</c:v>
                </c:pt>
                <c:pt idx="342">
                  <c:v>559.29793792148939</c:v>
                </c:pt>
                <c:pt idx="343">
                  <c:v>560.15741309359032</c:v>
                </c:pt>
                <c:pt idx="344">
                  <c:v>561.00955603745808</c:v>
                </c:pt>
                <c:pt idx="345">
                  <c:v>561.85440716984158</c:v>
                </c:pt>
                <c:pt idx="346">
                  <c:v>562.6920072049154</c:v>
                </c:pt>
                <c:pt idx="347">
                  <c:v>563.5223971388142</c:v>
                </c:pt>
                <c:pt idx="348">
                  <c:v>564.34561823445449</c:v>
                </c:pt>
                <c:pt idx="349">
                  <c:v>565.16171200664587</c:v>
                </c:pt>
                <c:pt idx="350">
                  <c:v>565.97072020748919</c:v>
                </c:pt>
                <c:pt idx="351">
                  <c:v>566.77268481206147</c:v>
                </c:pt>
                <c:pt idx="352">
                  <c:v>567.56764800438657</c:v>
                </c:pt>
                <c:pt idx="353">
                  <c:v>568.35565216369002</c:v>
                </c:pt>
                <c:pt idx="354">
                  <c:v>569.13673985093715</c:v>
                </c:pt>
                <c:pt idx="355">
                  <c:v>569.91095379565184</c:v>
                </c:pt>
                <c:pt idx="356">
                  <c:v>570.6783368830155</c:v>
                </c:pt>
                <c:pt idx="357">
                  <c:v>571.43893214124364</c:v>
                </c:pt>
                <c:pt idx="358">
                  <c:v>572.19278272923771</c:v>
                </c:pt>
                <c:pt idx="359">
                  <c:v>572.93993192451069</c:v>
                </c:pt>
                <c:pt idx="360">
                  <c:v>573.6804231113839</c:v>
                </c:pt>
                <c:pt idx="361">
                  <c:v>574.4142997694529</c:v>
                </c:pt>
                <c:pt idx="362">
                  <c:v>575.14160546231892</c:v>
                </c:pt>
                <c:pt idx="363">
                  <c:v>575.86238382658485</c:v>
                </c:pt>
                <c:pt idx="364">
                  <c:v>576.57667856111186</c:v>
                </c:pt>
                <c:pt idx="365">
                  <c:v>577.28453341653449</c:v>
                </c:pt>
                <c:pt idx="366">
                  <c:v>577.9859921850308</c:v>
                </c:pt>
                <c:pt idx="367">
                  <c:v>578.68109869034504</c:v>
                </c:pt>
                <c:pt idx="368">
                  <c:v>579.36989677806025</c:v>
                </c:pt>
                <c:pt idx="369">
                  <c:v>580.05243030611655</c:v>
                </c:pt>
                <c:pt idx="370">
                  <c:v>580.7287431355735</c:v>
                </c:pt>
                <c:pt idx="371">
                  <c:v>581.39887912161146</c:v>
                </c:pt>
                <c:pt idx="372">
                  <c:v>582.06288210477112</c:v>
                </c:pt>
                <c:pt idx="373">
                  <c:v>582.72079590242549</c:v>
                </c:pt>
                <c:pt idx="374">
                  <c:v>583.37266430048317</c:v>
                </c:pt>
                <c:pt idx="375">
                  <c:v>584.01853104531767</c:v>
                </c:pt>
                <c:pt idx="376">
                  <c:v>584.65843983592117</c:v>
                </c:pt>
                <c:pt idx="377">
                  <c:v>585.2924343162781</c:v>
                </c:pt>
                <c:pt idx="378">
                  <c:v>585.92055806795577</c:v>
                </c:pt>
                <c:pt idx="379">
                  <c:v>586.54285460290816</c:v>
                </c:pt>
                <c:pt idx="380">
                  <c:v>587.15936735649007</c:v>
                </c:pt>
                <c:pt idx="381">
                  <c:v>587.77013968067752</c:v>
                </c:pt>
                <c:pt idx="382">
                  <c:v>588.37521483749151</c:v>
                </c:pt>
                <c:pt idx="383">
                  <c:v>588.9746359926213</c:v>
                </c:pt>
                <c:pt idx="384">
                  <c:v>588.9746359926213</c:v>
                </c:pt>
                <c:pt idx="385">
                  <c:v>588.9746359926213</c:v>
                </c:pt>
                <c:pt idx="386">
                  <c:v>588.9746359926213</c:v>
                </c:pt>
                <c:pt idx="387">
                  <c:v>588.9746359926213</c:v>
                </c:pt>
                <c:pt idx="388">
                  <c:v>588.9746359926213</c:v>
                </c:pt>
                <c:pt idx="389">
                  <c:v>588.9746359926213</c:v>
                </c:pt>
                <c:pt idx="390">
                  <c:v>588.9746359926213</c:v>
                </c:pt>
                <c:pt idx="391">
                  <c:v>588.9746359926213</c:v>
                </c:pt>
                <c:pt idx="392">
                  <c:v>588.9746359926213</c:v>
                </c:pt>
                <c:pt idx="393">
                  <c:v>588.9746359926213</c:v>
                </c:pt>
                <c:pt idx="394">
                  <c:v>588.9746359926213</c:v>
                </c:pt>
                <c:pt idx="395">
                  <c:v>588.9746359926213</c:v>
                </c:pt>
                <c:pt idx="396">
                  <c:v>588.9746359926213</c:v>
                </c:pt>
                <c:pt idx="397">
                  <c:v>588.9746359926213</c:v>
                </c:pt>
                <c:pt idx="398">
                  <c:v>588.9746359926213</c:v>
                </c:pt>
                <c:pt idx="399">
                  <c:v>588.9746359926213</c:v>
                </c:pt>
                <c:pt idx="400">
                  <c:v>588.9746359926213</c:v>
                </c:pt>
                <c:pt idx="401">
                  <c:v>588.9746359926213</c:v>
                </c:pt>
                <c:pt idx="402">
                  <c:v>588.9746359926213</c:v>
                </c:pt>
                <c:pt idx="403">
                  <c:v>588.9746359926213</c:v>
                </c:pt>
                <c:pt idx="404">
                  <c:v>588.9746359926213</c:v>
                </c:pt>
                <c:pt idx="405">
                  <c:v>588.9746359926213</c:v>
                </c:pt>
                <c:pt idx="406">
                  <c:v>588.9746359926213</c:v>
                </c:pt>
                <c:pt idx="407">
                  <c:v>588.9746359926213</c:v>
                </c:pt>
                <c:pt idx="408">
                  <c:v>588.9746359926213</c:v>
                </c:pt>
                <c:pt idx="409">
                  <c:v>588.9746359926213</c:v>
                </c:pt>
                <c:pt idx="410">
                  <c:v>588.9746359926213</c:v>
                </c:pt>
                <c:pt idx="411">
                  <c:v>588.9746359926213</c:v>
                </c:pt>
                <c:pt idx="412">
                  <c:v>588.9746359926213</c:v>
                </c:pt>
                <c:pt idx="413">
                  <c:v>588.9746359926213</c:v>
                </c:pt>
                <c:pt idx="414">
                  <c:v>588.9746359926213</c:v>
                </c:pt>
                <c:pt idx="415">
                  <c:v>588.9746359926213</c:v>
                </c:pt>
                <c:pt idx="416">
                  <c:v>588.9746359926213</c:v>
                </c:pt>
                <c:pt idx="417">
                  <c:v>588.9746359926213</c:v>
                </c:pt>
                <c:pt idx="418">
                  <c:v>588.9746359926213</c:v>
                </c:pt>
                <c:pt idx="419">
                  <c:v>588.9746359926213</c:v>
                </c:pt>
                <c:pt idx="420">
                  <c:v>588.9746359926213</c:v>
                </c:pt>
                <c:pt idx="421">
                  <c:v>588.9746359926213</c:v>
                </c:pt>
                <c:pt idx="422">
                  <c:v>588.9746359926213</c:v>
                </c:pt>
                <c:pt idx="423">
                  <c:v>588.9746359926213</c:v>
                </c:pt>
                <c:pt idx="424">
                  <c:v>588.9746359926213</c:v>
                </c:pt>
                <c:pt idx="425">
                  <c:v>588.9746359926213</c:v>
                </c:pt>
                <c:pt idx="426">
                  <c:v>588.9746359926213</c:v>
                </c:pt>
                <c:pt idx="427">
                  <c:v>588.9746359926213</c:v>
                </c:pt>
                <c:pt idx="428">
                  <c:v>588.9746359926213</c:v>
                </c:pt>
                <c:pt idx="429">
                  <c:v>588.9746359926213</c:v>
                </c:pt>
                <c:pt idx="430">
                  <c:v>588.9746359926213</c:v>
                </c:pt>
                <c:pt idx="431">
                  <c:v>588.9746359926213</c:v>
                </c:pt>
                <c:pt idx="432">
                  <c:v>588.9746359926213</c:v>
                </c:pt>
                <c:pt idx="433">
                  <c:v>588.9746359926213</c:v>
                </c:pt>
                <c:pt idx="434">
                  <c:v>588.9746359926213</c:v>
                </c:pt>
                <c:pt idx="435">
                  <c:v>588.9746359926213</c:v>
                </c:pt>
                <c:pt idx="436">
                  <c:v>588.9746359926213</c:v>
                </c:pt>
                <c:pt idx="437">
                  <c:v>588.9746359926213</c:v>
                </c:pt>
                <c:pt idx="438">
                  <c:v>588.9746359926213</c:v>
                </c:pt>
                <c:pt idx="439">
                  <c:v>588.9746359926213</c:v>
                </c:pt>
                <c:pt idx="440">
                  <c:v>588.9746359926213</c:v>
                </c:pt>
                <c:pt idx="441">
                  <c:v>588.9746359926213</c:v>
                </c:pt>
                <c:pt idx="442">
                  <c:v>588.9746359926213</c:v>
                </c:pt>
                <c:pt idx="443">
                  <c:v>588.9746359926213</c:v>
                </c:pt>
                <c:pt idx="444">
                  <c:v>588.9746359926213</c:v>
                </c:pt>
                <c:pt idx="445">
                  <c:v>588.9746359926213</c:v>
                </c:pt>
                <c:pt idx="446">
                  <c:v>588.9746359926213</c:v>
                </c:pt>
                <c:pt idx="447">
                  <c:v>588.9746359926213</c:v>
                </c:pt>
                <c:pt idx="448">
                  <c:v>588.9746359926213</c:v>
                </c:pt>
                <c:pt idx="449">
                  <c:v>588.9746359926213</c:v>
                </c:pt>
                <c:pt idx="450">
                  <c:v>588.9746359926213</c:v>
                </c:pt>
                <c:pt idx="451">
                  <c:v>588.9746359926213</c:v>
                </c:pt>
                <c:pt idx="452">
                  <c:v>588.9746359926213</c:v>
                </c:pt>
                <c:pt idx="453">
                  <c:v>588.9746359926213</c:v>
                </c:pt>
                <c:pt idx="454">
                  <c:v>588.9746359926213</c:v>
                </c:pt>
                <c:pt idx="455">
                  <c:v>588.9746359926213</c:v>
                </c:pt>
                <c:pt idx="456">
                  <c:v>588.9746359926213</c:v>
                </c:pt>
                <c:pt idx="457">
                  <c:v>588.9746359926213</c:v>
                </c:pt>
                <c:pt idx="458">
                  <c:v>588.9746359926213</c:v>
                </c:pt>
                <c:pt idx="459">
                  <c:v>588.9746359926213</c:v>
                </c:pt>
                <c:pt idx="460">
                  <c:v>588.9746359926213</c:v>
                </c:pt>
                <c:pt idx="461">
                  <c:v>588.9746359926213</c:v>
                </c:pt>
                <c:pt idx="462">
                  <c:v>588.9746359926213</c:v>
                </c:pt>
                <c:pt idx="463">
                  <c:v>588.9746359926213</c:v>
                </c:pt>
                <c:pt idx="464">
                  <c:v>588.9746359926213</c:v>
                </c:pt>
                <c:pt idx="465">
                  <c:v>588.9746359926213</c:v>
                </c:pt>
                <c:pt idx="466">
                  <c:v>588.9746359926213</c:v>
                </c:pt>
                <c:pt idx="467">
                  <c:v>588.9746359926213</c:v>
                </c:pt>
                <c:pt idx="468">
                  <c:v>588.9746359926213</c:v>
                </c:pt>
                <c:pt idx="469">
                  <c:v>588.9746359926213</c:v>
                </c:pt>
                <c:pt idx="470">
                  <c:v>588.9746359926213</c:v>
                </c:pt>
                <c:pt idx="471">
                  <c:v>588.9746359926213</c:v>
                </c:pt>
                <c:pt idx="472">
                  <c:v>588.9746359926213</c:v>
                </c:pt>
                <c:pt idx="473">
                  <c:v>588.9746359926213</c:v>
                </c:pt>
                <c:pt idx="474">
                  <c:v>588.9746359926213</c:v>
                </c:pt>
                <c:pt idx="475">
                  <c:v>588.9746359926213</c:v>
                </c:pt>
                <c:pt idx="476">
                  <c:v>588.9746359926213</c:v>
                </c:pt>
                <c:pt idx="477">
                  <c:v>588.9746359926213</c:v>
                </c:pt>
                <c:pt idx="478">
                  <c:v>588.9746359926213</c:v>
                </c:pt>
                <c:pt idx="479">
                  <c:v>588.9746359926213</c:v>
                </c:pt>
                <c:pt idx="480">
                  <c:v>588.9746359926213</c:v>
                </c:pt>
                <c:pt idx="481">
                  <c:v>588.9746359926213</c:v>
                </c:pt>
                <c:pt idx="482">
                  <c:v>588.9746359926213</c:v>
                </c:pt>
                <c:pt idx="483">
                  <c:v>588.9746359926213</c:v>
                </c:pt>
                <c:pt idx="484">
                  <c:v>588.9746359926213</c:v>
                </c:pt>
                <c:pt idx="485">
                  <c:v>588.9746359926213</c:v>
                </c:pt>
                <c:pt idx="486">
                  <c:v>588.9746359926213</c:v>
                </c:pt>
                <c:pt idx="487">
                  <c:v>588.9746359926213</c:v>
                </c:pt>
                <c:pt idx="488">
                  <c:v>588.9746359926213</c:v>
                </c:pt>
                <c:pt idx="489">
                  <c:v>588.9746359926213</c:v>
                </c:pt>
                <c:pt idx="490">
                  <c:v>588.9746359926213</c:v>
                </c:pt>
                <c:pt idx="491">
                  <c:v>588.9746359926213</c:v>
                </c:pt>
                <c:pt idx="492">
                  <c:v>588.9746359926213</c:v>
                </c:pt>
                <c:pt idx="493">
                  <c:v>588.9746359926213</c:v>
                </c:pt>
                <c:pt idx="494">
                  <c:v>588.9746359926213</c:v>
                </c:pt>
                <c:pt idx="495">
                  <c:v>588.9746359926213</c:v>
                </c:pt>
                <c:pt idx="496">
                  <c:v>588.9746359926213</c:v>
                </c:pt>
                <c:pt idx="497">
                  <c:v>588.9746359926213</c:v>
                </c:pt>
                <c:pt idx="498">
                  <c:v>588.9746359926213</c:v>
                </c:pt>
                <c:pt idx="499">
                  <c:v>588.9746359926213</c:v>
                </c:pt>
                <c:pt idx="500">
                  <c:v>588.9746359926213</c:v>
                </c:pt>
                <c:pt idx="501">
                  <c:v>588.9746359926213</c:v>
                </c:pt>
                <c:pt idx="502">
                  <c:v>588.9746359926213</c:v>
                </c:pt>
                <c:pt idx="503">
                  <c:v>588.9746359926213</c:v>
                </c:pt>
                <c:pt idx="504">
                  <c:v>588.9746359926213</c:v>
                </c:pt>
                <c:pt idx="505">
                  <c:v>588.9746359926213</c:v>
                </c:pt>
                <c:pt idx="506">
                  <c:v>588.9746359926213</c:v>
                </c:pt>
                <c:pt idx="507">
                  <c:v>588.9746359926213</c:v>
                </c:pt>
                <c:pt idx="508">
                  <c:v>588.9746359926213</c:v>
                </c:pt>
                <c:pt idx="509">
                  <c:v>588.9746359926213</c:v>
                </c:pt>
                <c:pt idx="510">
                  <c:v>588.9746359926213</c:v>
                </c:pt>
                <c:pt idx="511">
                  <c:v>588.9746359926213</c:v>
                </c:pt>
                <c:pt idx="512">
                  <c:v>588.9746359926213</c:v>
                </c:pt>
                <c:pt idx="513">
                  <c:v>588.9746359926213</c:v>
                </c:pt>
                <c:pt idx="514">
                  <c:v>588.9746359926213</c:v>
                </c:pt>
                <c:pt idx="515">
                  <c:v>588.9746359926213</c:v>
                </c:pt>
                <c:pt idx="516">
                  <c:v>588.9746359926213</c:v>
                </c:pt>
                <c:pt idx="517">
                  <c:v>588.9746359926213</c:v>
                </c:pt>
                <c:pt idx="518">
                  <c:v>588.9746359926213</c:v>
                </c:pt>
                <c:pt idx="519">
                  <c:v>588.9746359926213</c:v>
                </c:pt>
                <c:pt idx="520">
                  <c:v>588.9746359926213</c:v>
                </c:pt>
                <c:pt idx="521">
                  <c:v>588.9746359926213</c:v>
                </c:pt>
                <c:pt idx="522">
                  <c:v>588.9746359926213</c:v>
                </c:pt>
                <c:pt idx="523">
                  <c:v>588.9746359926213</c:v>
                </c:pt>
                <c:pt idx="524">
                  <c:v>588.9746359926213</c:v>
                </c:pt>
                <c:pt idx="525">
                  <c:v>588.9746359926213</c:v>
                </c:pt>
                <c:pt idx="526">
                  <c:v>588.9746359926213</c:v>
                </c:pt>
                <c:pt idx="527">
                  <c:v>588.9746359926213</c:v>
                </c:pt>
                <c:pt idx="528">
                  <c:v>588.9746359926213</c:v>
                </c:pt>
                <c:pt idx="529">
                  <c:v>588.9746359926213</c:v>
                </c:pt>
                <c:pt idx="530">
                  <c:v>588.9746359926213</c:v>
                </c:pt>
                <c:pt idx="531">
                  <c:v>588.9746359926213</c:v>
                </c:pt>
                <c:pt idx="532">
                  <c:v>588.9746359926213</c:v>
                </c:pt>
                <c:pt idx="533">
                  <c:v>588.9746359926213</c:v>
                </c:pt>
                <c:pt idx="534">
                  <c:v>588.9746359926213</c:v>
                </c:pt>
                <c:pt idx="535">
                  <c:v>588.9746359926213</c:v>
                </c:pt>
                <c:pt idx="536">
                  <c:v>588.9746359926213</c:v>
                </c:pt>
                <c:pt idx="537">
                  <c:v>588.9746359926213</c:v>
                </c:pt>
                <c:pt idx="538">
                  <c:v>588.9746359926213</c:v>
                </c:pt>
                <c:pt idx="539">
                  <c:v>588.9746359926213</c:v>
                </c:pt>
                <c:pt idx="540">
                  <c:v>588.9746359926213</c:v>
                </c:pt>
                <c:pt idx="541">
                  <c:v>588.9746359926213</c:v>
                </c:pt>
                <c:pt idx="542">
                  <c:v>588.9746359926213</c:v>
                </c:pt>
                <c:pt idx="543">
                  <c:v>588.9746359926213</c:v>
                </c:pt>
                <c:pt idx="544">
                  <c:v>588.9746359926213</c:v>
                </c:pt>
                <c:pt idx="545">
                  <c:v>588.9746359926213</c:v>
                </c:pt>
                <c:pt idx="546">
                  <c:v>588.9746359926213</c:v>
                </c:pt>
                <c:pt idx="547">
                  <c:v>588.9746359926213</c:v>
                </c:pt>
                <c:pt idx="548">
                  <c:v>588.9746359926213</c:v>
                </c:pt>
                <c:pt idx="549">
                  <c:v>588.9746359926213</c:v>
                </c:pt>
                <c:pt idx="550">
                  <c:v>588.9746359926213</c:v>
                </c:pt>
                <c:pt idx="551">
                  <c:v>588.9746359926213</c:v>
                </c:pt>
                <c:pt idx="552">
                  <c:v>588.9746359926213</c:v>
                </c:pt>
                <c:pt idx="553">
                  <c:v>588.9746359926213</c:v>
                </c:pt>
                <c:pt idx="554">
                  <c:v>588.9746359926213</c:v>
                </c:pt>
                <c:pt idx="555">
                  <c:v>588.9746359926213</c:v>
                </c:pt>
                <c:pt idx="556">
                  <c:v>588.9746359926213</c:v>
                </c:pt>
                <c:pt idx="557">
                  <c:v>588.9746359926213</c:v>
                </c:pt>
                <c:pt idx="558">
                  <c:v>588.9746359926213</c:v>
                </c:pt>
                <c:pt idx="559">
                  <c:v>588.9746359926213</c:v>
                </c:pt>
                <c:pt idx="560">
                  <c:v>588.9746359926213</c:v>
                </c:pt>
                <c:pt idx="561">
                  <c:v>588.9746359926213</c:v>
                </c:pt>
                <c:pt idx="562">
                  <c:v>588.9746359926213</c:v>
                </c:pt>
                <c:pt idx="563">
                  <c:v>588.9746359926213</c:v>
                </c:pt>
                <c:pt idx="564">
                  <c:v>588.9746359926213</c:v>
                </c:pt>
                <c:pt idx="565">
                  <c:v>588.9746359926213</c:v>
                </c:pt>
                <c:pt idx="566">
                  <c:v>588.9746359926213</c:v>
                </c:pt>
                <c:pt idx="567">
                  <c:v>588.9746359926213</c:v>
                </c:pt>
                <c:pt idx="568">
                  <c:v>588.9746359926213</c:v>
                </c:pt>
                <c:pt idx="569">
                  <c:v>588.9746359926213</c:v>
                </c:pt>
                <c:pt idx="570">
                  <c:v>588.9746359926213</c:v>
                </c:pt>
                <c:pt idx="571">
                  <c:v>588.9746359926213</c:v>
                </c:pt>
                <c:pt idx="572">
                  <c:v>588.9746359926213</c:v>
                </c:pt>
                <c:pt idx="573">
                  <c:v>588.9746359926213</c:v>
                </c:pt>
                <c:pt idx="574">
                  <c:v>588.9746359926213</c:v>
                </c:pt>
                <c:pt idx="575">
                  <c:v>588.9746359926213</c:v>
                </c:pt>
                <c:pt idx="576">
                  <c:v>588.9746359926213</c:v>
                </c:pt>
                <c:pt idx="577">
                  <c:v>588.9746359926213</c:v>
                </c:pt>
                <c:pt idx="578">
                  <c:v>588.9746359926213</c:v>
                </c:pt>
                <c:pt idx="579">
                  <c:v>588.9746359926213</c:v>
                </c:pt>
                <c:pt idx="580">
                  <c:v>588.9746359926213</c:v>
                </c:pt>
                <c:pt idx="581">
                  <c:v>588.9746359926213</c:v>
                </c:pt>
                <c:pt idx="582">
                  <c:v>588.9746359926213</c:v>
                </c:pt>
                <c:pt idx="583">
                  <c:v>588.9746359926213</c:v>
                </c:pt>
                <c:pt idx="584">
                  <c:v>588.9746359926213</c:v>
                </c:pt>
                <c:pt idx="585">
                  <c:v>588.9746359926213</c:v>
                </c:pt>
                <c:pt idx="586">
                  <c:v>588.9746359926213</c:v>
                </c:pt>
                <c:pt idx="587">
                  <c:v>588.9746359926213</c:v>
                </c:pt>
                <c:pt idx="588">
                  <c:v>588.9746359926213</c:v>
                </c:pt>
                <c:pt idx="589">
                  <c:v>588.9746359926213</c:v>
                </c:pt>
                <c:pt idx="590">
                  <c:v>588.9746359926213</c:v>
                </c:pt>
                <c:pt idx="591">
                  <c:v>588.9746359926213</c:v>
                </c:pt>
                <c:pt idx="592">
                  <c:v>588.9746359926213</c:v>
                </c:pt>
                <c:pt idx="593">
                  <c:v>588.9746359926213</c:v>
                </c:pt>
                <c:pt idx="594">
                  <c:v>588.9746359926213</c:v>
                </c:pt>
                <c:pt idx="595">
                  <c:v>588.9746359926213</c:v>
                </c:pt>
                <c:pt idx="596">
                  <c:v>588.9746359926213</c:v>
                </c:pt>
                <c:pt idx="597">
                  <c:v>588.9746359926213</c:v>
                </c:pt>
                <c:pt idx="598">
                  <c:v>588.9746359926213</c:v>
                </c:pt>
                <c:pt idx="599">
                  <c:v>588.9746359926213</c:v>
                </c:pt>
                <c:pt idx="600">
                  <c:v>588.9746359926213</c:v>
                </c:pt>
                <c:pt idx="601">
                  <c:v>588.9746359926213</c:v>
                </c:pt>
                <c:pt idx="602">
                  <c:v>588.9746359926213</c:v>
                </c:pt>
                <c:pt idx="603">
                  <c:v>588.9746359926213</c:v>
                </c:pt>
                <c:pt idx="604">
                  <c:v>588.9746359926213</c:v>
                </c:pt>
                <c:pt idx="605">
                  <c:v>588.9746359926213</c:v>
                </c:pt>
                <c:pt idx="606">
                  <c:v>588.9746359926213</c:v>
                </c:pt>
                <c:pt idx="607">
                  <c:v>588.9746359926213</c:v>
                </c:pt>
                <c:pt idx="608">
                  <c:v>588.9746359926213</c:v>
                </c:pt>
                <c:pt idx="609">
                  <c:v>588.9746359926213</c:v>
                </c:pt>
                <c:pt idx="610">
                  <c:v>588.9746359926213</c:v>
                </c:pt>
                <c:pt idx="611">
                  <c:v>588.9746359926213</c:v>
                </c:pt>
                <c:pt idx="612">
                  <c:v>588.9746359926213</c:v>
                </c:pt>
                <c:pt idx="613">
                  <c:v>588.9746359926213</c:v>
                </c:pt>
                <c:pt idx="614">
                  <c:v>588.9746359926213</c:v>
                </c:pt>
                <c:pt idx="615">
                  <c:v>588.9746359926213</c:v>
                </c:pt>
                <c:pt idx="616">
                  <c:v>588.9746359926213</c:v>
                </c:pt>
                <c:pt idx="617">
                  <c:v>588.9746359926213</c:v>
                </c:pt>
                <c:pt idx="618">
                  <c:v>588.9746359926213</c:v>
                </c:pt>
                <c:pt idx="619">
                  <c:v>588.9746359926213</c:v>
                </c:pt>
                <c:pt idx="620">
                  <c:v>588.9746359926213</c:v>
                </c:pt>
                <c:pt idx="621">
                  <c:v>588.9746359926213</c:v>
                </c:pt>
                <c:pt idx="622">
                  <c:v>588.9746359926213</c:v>
                </c:pt>
                <c:pt idx="623">
                  <c:v>588.9746359926213</c:v>
                </c:pt>
                <c:pt idx="624">
                  <c:v>588.9746359926213</c:v>
                </c:pt>
                <c:pt idx="625">
                  <c:v>588.9746359926213</c:v>
                </c:pt>
                <c:pt idx="626">
                  <c:v>588.9746359926213</c:v>
                </c:pt>
                <c:pt idx="627">
                  <c:v>588.9746359926213</c:v>
                </c:pt>
                <c:pt idx="628">
                  <c:v>588.9746359926213</c:v>
                </c:pt>
                <c:pt idx="629">
                  <c:v>588.9746359926213</c:v>
                </c:pt>
                <c:pt idx="630">
                  <c:v>588.9746359926213</c:v>
                </c:pt>
                <c:pt idx="631">
                  <c:v>588.9746359926213</c:v>
                </c:pt>
                <c:pt idx="632">
                  <c:v>588.9746359926213</c:v>
                </c:pt>
                <c:pt idx="633">
                  <c:v>588.9746359926213</c:v>
                </c:pt>
                <c:pt idx="634">
                  <c:v>588.9746359926213</c:v>
                </c:pt>
                <c:pt idx="635">
                  <c:v>588.9746359926213</c:v>
                </c:pt>
                <c:pt idx="636">
                  <c:v>588.9746359926213</c:v>
                </c:pt>
                <c:pt idx="637">
                  <c:v>588.9746359926213</c:v>
                </c:pt>
                <c:pt idx="638">
                  <c:v>588.9746359926213</c:v>
                </c:pt>
                <c:pt idx="639">
                  <c:v>588.9746359926213</c:v>
                </c:pt>
                <c:pt idx="640">
                  <c:v>588.9746359926213</c:v>
                </c:pt>
                <c:pt idx="641">
                  <c:v>588.9746359926213</c:v>
                </c:pt>
                <c:pt idx="642">
                  <c:v>588.9746359926213</c:v>
                </c:pt>
                <c:pt idx="643">
                  <c:v>588.9746359926213</c:v>
                </c:pt>
                <c:pt idx="644">
                  <c:v>588.9746359926213</c:v>
                </c:pt>
                <c:pt idx="645">
                  <c:v>588.9746359926213</c:v>
                </c:pt>
                <c:pt idx="646">
                  <c:v>588.9746359926213</c:v>
                </c:pt>
                <c:pt idx="647">
                  <c:v>588.9746359926213</c:v>
                </c:pt>
                <c:pt idx="648">
                  <c:v>588.9746359926213</c:v>
                </c:pt>
                <c:pt idx="649">
                  <c:v>588.9746359926213</c:v>
                </c:pt>
                <c:pt idx="650">
                  <c:v>588.9746359926213</c:v>
                </c:pt>
                <c:pt idx="651">
                  <c:v>588.9746359926213</c:v>
                </c:pt>
                <c:pt idx="652">
                  <c:v>588.9746359926213</c:v>
                </c:pt>
                <c:pt idx="653">
                  <c:v>588.9746359926213</c:v>
                </c:pt>
                <c:pt idx="654">
                  <c:v>588.9746359926213</c:v>
                </c:pt>
                <c:pt idx="655">
                  <c:v>588.9746359926213</c:v>
                </c:pt>
                <c:pt idx="656">
                  <c:v>588.9746359926213</c:v>
                </c:pt>
                <c:pt idx="657">
                  <c:v>588.9746359926213</c:v>
                </c:pt>
                <c:pt idx="658">
                  <c:v>588.9746359926213</c:v>
                </c:pt>
                <c:pt idx="659">
                  <c:v>588.9746359926213</c:v>
                </c:pt>
                <c:pt idx="660">
                  <c:v>588.9746359926213</c:v>
                </c:pt>
                <c:pt idx="661">
                  <c:v>588.9746359926213</c:v>
                </c:pt>
                <c:pt idx="662">
                  <c:v>588.9746359926213</c:v>
                </c:pt>
                <c:pt idx="663">
                  <c:v>588.9746359926213</c:v>
                </c:pt>
                <c:pt idx="664">
                  <c:v>588.9746359926213</c:v>
                </c:pt>
                <c:pt idx="665">
                  <c:v>588.9746359926213</c:v>
                </c:pt>
                <c:pt idx="666">
                  <c:v>588.9746359926213</c:v>
                </c:pt>
                <c:pt idx="667">
                  <c:v>588.9746359926213</c:v>
                </c:pt>
                <c:pt idx="668">
                  <c:v>588.9746359926213</c:v>
                </c:pt>
                <c:pt idx="669">
                  <c:v>588.9746359926213</c:v>
                </c:pt>
                <c:pt idx="670">
                  <c:v>588.9746359926213</c:v>
                </c:pt>
                <c:pt idx="671">
                  <c:v>588.9746359926213</c:v>
                </c:pt>
                <c:pt idx="672">
                  <c:v>588.9746359926213</c:v>
                </c:pt>
                <c:pt idx="673">
                  <c:v>588.9746359926213</c:v>
                </c:pt>
                <c:pt idx="674">
                  <c:v>588.9746359926213</c:v>
                </c:pt>
                <c:pt idx="675">
                  <c:v>588.9746359926213</c:v>
                </c:pt>
                <c:pt idx="676">
                  <c:v>588.9746359926213</c:v>
                </c:pt>
                <c:pt idx="677">
                  <c:v>588.9746359926213</c:v>
                </c:pt>
                <c:pt idx="678">
                  <c:v>588.9746359926213</c:v>
                </c:pt>
                <c:pt idx="679">
                  <c:v>588.9746359926213</c:v>
                </c:pt>
                <c:pt idx="680">
                  <c:v>588.9746359926213</c:v>
                </c:pt>
                <c:pt idx="681">
                  <c:v>588.9746359926213</c:v>
                </c:pt>
                <c:pt idx="682">
                  <c:v>588.9746359926213</c:v>
                </c:pt>
                <c:pt idx="683">
                  <c:v>588.9746359926213</c:v>
                </c:pt>
                <c:pt idx="684">
                  <c:v>588.9746359926213</c:v>
                </c:pt>
                <c:pt idx="685">
                  <c:v>588.9746359926213</c:v>
                </c:pt>
                <c:pt idx="686">
                  <c:v>588.9746359926213</c:v>
                </c:pt>
                <c:pt idx="687">
                  <c:v>588.9746359926213</c:v>
                </c:pt>
                <c:pt idx="688">
                  <c:v>588.9746359926213</c:v>
                </c:pt>
                <c:pt idx="689">
                  <c:v>588.9746359926213</c:v>
                </c:pt>
                <c:pt idx="690">
                  <c:v>588.9746359926213</c:v>
                </c:pt>
                <c:pt idx="691">
                  <c:v>588.9746359926213</c:v>
                </c:pt>
                <c:pt idx="692">
                  <c:v>588.9746359926213</c:v>
                </c:pt>
                <c:pt idx="693">
                  <c:v>588.9746359926213</c:v>
                </c:pt>
                <c:pt idx="694">
                  <c:v>588.9746359926213</c:v>
                </c:pt>
                <c:pt idx="695">
                  <c:v>588.9746359926213</c:v>
                </c:pt>
                <c:pt idx="696">
                  <c:v>588.9746359926213</c:v>
                </c:pt>
                <c:pt idx="697">
                  <c:v>588.9746359926213</c:v>
                </c:pt>
                <c:pt idx="698">
                  <c:v>588.9746359926213</c:v>
                </c:pt>
                <c:pt idx="699">
                  <c:v>588.9746359926213</c:v>
                </c:pt>
                <c:pt idx="700">
                  <c:v>588.9746359926213</c:v>
                </c:pt>
                <c:pt idx="701">
                  <c:v>588.9746359926213</c:v>
                </c:pt>
                <c:pt idx="702">
                  <c:v>588.9746359926213</c:v>
                </c:pt>
                <c:pt idx="703">
                  <c:v>588.9746359926213</c:v>
                </c:pt>
                <c:pt idx="704">
                  <c:v>588.9746359926213</c:v>
                </c:pt>
                <c:pt idx="705">
                  <c:v>588.9746359926213</c:v>
                </c:pt>
                <c:pt idx="706">
                  <c:v>588.9746359926213</c:v>
                </c:pt>
                <c:pt idx="707">
                  <c:v>588.9746359926213</c:v>
                </c:pt>
                <c:pt idx="708">
                  <c:v>588.9746359926213</c:v>
                </c:pt>
                <c:pt idx="709">
                  <c:v>588.9746359926213</c:v>
                </c:pt>
                <c:pt idx="710">
                  <c:v>588.9746359926213</c:v>
                </c:pt>
                <c:pt idx="711">
                  <c:v>588.9746359926213</c:v>
                </c:pt>
                <c:pt idx="712">
                  <c:v>588.9746359926213</c:v>
                </c:pt>
                <c:pt idx="713">
                  <c:v>588.9746359926213</c:v>
                </c:pt>
                <c:pt idx="714">
                  <c:v>588.9746359926213</c:v>
                </c:pt>
                <c:pt idx="715">
                  <c:v>588.9746359926213</c:v>
                </c:pt>
                <c:pt idx="716">
                  <c:v>588.9746359926213</c:v>
                </c:pt>
                <c:pt idx="717">
                  <c:v>588.9746359926213</c:v>
                </c:pt>
                <c:pt idx="718">
                  <c:v>588.9746359926213</c:v>
                </c:pt>
                <c:pt idx="719">
                  <c:v>588.9746359926213</c:v>
                </c:pt>
                <c:pt idx="720">
                  <c:v>588.9746359926213</c:v>
                </c:pt>
                <c:pt idx="721">
                  <c:v>588.9746359926213</c:v>
                </c:pt>
                <c:pt idx="722">
                  <c:v>588.9746359926213</c:v>
                </c:pt>
                <c:pt idx="723">
                  <c:v>588.9746359926213</c:v>
                </c:pt>
                <c:pt idx="724">
                  <c:v>588.9746359926213</c:v>
                </c:pt>
                <c:pt idx="725">
                  <c:v>588.9746359926213</c:v>
                </c:pt>
                <c:pt idx="726">
                  <c:v>588.9746359926213</c:v>
                </c:pt>
                <c:pt idx="727">
                  <c:v>588.9746359926213</c:v>
                </c:pt>
                <c:pt idx="728">
                  <c:v>588.9746359926213</c:v>
                </c:pt>
                <c:pt idx="729">
                  <c:v>588.9746359926213</c:v>
                </c:pt>
                <c:pt idx="730">
                  <c:v>588.9746359926213</c:v>
                </c:pt>
                <c:pt idx="731">
                  <c:v>588.9746359926213</c:v>
                </c:pt>
                <c:pt idx="732">
                  <c:v>588.9746359926213</c:v>
                </c:pt>
                <c:pt idx="733">
                  <c:v>588.9746359926213</c:v>
                </c:pt>
                <c:pt idx="734">
                  <c:v>588.9746359926213</c:v>
                </c:pt>
                <c:pt idx="735">
                  <c:v>588.9746359926213</c:v>
                </c:pt>
                <c:pt idx="736">
                  <c:v>588.9746359926213</c:v>
                </c:pt>
                <c:pt idx="737">
                  <c:v>588.9746359926213</c:v>
                </c:pt>
                <c:pt idx="738">
                  <c:v>588.9746359926213</c:v>
                </c:pt>
                <c:pt idx="739">
                  <c:v>588.9746359926213</c:v>
                </c:pt>
                <c:pt idx="740">
                  <c:v>588.9746359926213</c:v>
                </c:pt>
                <c:pt idx="741">
                  <c:v>588.9746359926213</c:v>
                </c:pt>
                <c:pt idx="742">
                  <c:v>588.9746359926213</c:v>
                </c:pt>
                <c:pt idx="743">
                  <c:v>588.9746359926213</c:v>
                </c:pt>
                <c:pt idx="744">
                  <c:v>588.9746359926213</c:v>
                </c:pt>
                <c:pt idx="745">
                  <c:v>588.9746359926213</c:v>
                </c:pt>
                <c:pt idx="746">
                  <c:v>588.9746359926213</c:v>
                </c:pt>
                <c:pt idx="747">
                  <c:v>588.9746359926213</c:v>
                </c:pt>
                <c:pt idx="748">
                  <c:v>588.9746359926213</c:v>
                </c:pt>
                <c:pt idx="749">
                  <c:v>588.9746359926213</c:v>
                </c:pt>
                <c:pt idx="750">
                  <c:v>588.9746359926213</c:v>
                </c:pt>
                <c:pt idx="751">
                  <c:v>588.9746359926213</c:v>
                </c:pt>
                <c:pt idx="752">
                  <c:v>588.9746359926213</c:v>
                </c:pt>
                <c:pt idx="753">
                  <c:v>588.9746359926213</c:v>
                </c:pt>
                <c:pt idx="754">
                  <c:v>588.9746359926213</c:v>
                </c:pt>
                <c:pt idx="755">
                  <c:v>588.9746359926213</c:v>
                </c:pt>
                <c:pt idx="756">
                  <c:v>588.9746359926213</c:v>
                </c:pt>
                <c:pt idx="757">
                  <c:v>588.9746359926213</c:v>
                </c:pt>
                <c:pt idx="758">
                  <c:v>588.9746359926213</c:v>
                </c:pt>
                <c:pt idx="759">
                  <c:v>588.9746359926213</c:v>
                </c:pt>
                <c:pt idx="760">
                  <c:v>588.9746359926213</c:v>
                </c:pt>
                <c:pt idx="761">
                  <c:v>588.9746359926213</c:v>
                </c:pt>
                <c:pt idx="762">
                  <c:v>588.9746359926213</c:v>
                </c:pt>
                <c:pt idx="763">
                  <c:v>588.9746359926213</c:v>
                </c:pt>
                <c:pt idx="764">
                  <c:v>588.9746359926213</c:v>
                </c:pt>
                <c:pt idx="765">
                  <c:v>588.9746359926213</c:v>
                </c:pt>
                <c:pt idx="766">
                  <c:v>588.9746359926213</c:v>
                </c:pt>
                <c:pt idx="767">
                  <c:v>588.9746359926213</c:v>
                </c:pt>
                <c:pt idx="768">
                  <c:v>588.9746359926213</c:v>
                </c:pt>
                <c:pt idx="769">
                  <c:v>588.9746359926213</c:v>
                </c:pt>
                <c:pt idx="770">
                  <c:v>588.9746359926213</c:v>
                </c:pt>
                <c:pt idx="771">
                  <c:v>588.9746359926213</c:v>
                </c:pt>
                <c:pt idx="772">
                  <c:v>588.9746359926213</c:v>
                </c:pt>
                <c:pt idx="773">
                  <c:v>588.9746359926213</c:v>
                </c:pt>
                <c:pt idx="774">
                  <c:v>588.9746359926213</c:v>
                </c:pt>
                <c:pt idx="775">
                  <c:v>588.9746359926213</c:v>
                </c:pt>
                <c:pt idx="776">
                  <c:v>588.9746359926213</c:v>
                </c:pt>
                <c:pt idx="777">
                  <c:v>588.9746359926213</c:v>
                </c:pt>
                <c:pt idx="778">
                  <c:v>588.9746359926213</c:v>
                </c:pt>
                <c:pt idx="779">
                  <c:v>588.9746359926213</c:v>
                </c:pt>
                <c:pt idx="780">
                  <c:v>588.9746359926213</c:v>
                </c:pt>
                <c:pt idx="781">
                  <c:v>588.9746359926213</c:v>
                </c:pt>
                <c:pt idx="782">
                  <c:v>588.9746359926213</c:v>
                </c:pt>
                <c:pt idx="783">
                  <c:v>588.9746359926213</c:v>
                </c:pt>
                <c:pt idx="784">
                  <c:v>588.9746359926213</c:v>
                </c:pt>
                <c:pt idx="785">
                  <c:v>588.9746359926213</c:v>
                </c:pt>
                <c:pt idx="786">
                  <c:v>588.9746359926213</c:v>
                </c:pt>
                <c:pt idx="787">
                  <c:v>588.9746359926213</c:v>
                </c:pt>
                <c:pt idx="788">
                  <c:v>588.9746359926213</c:v>
                </c:pt>
                <c:pt idx="789">
                  <c:v>588.9746359926213</c:v>
                </c:pt>
                <c:pt idx="790">
                  <c:v>588.9746359926213</c:v>
                </c:pt>
                <c:pt idx="791">
                  <c:v>588.9746359926213</c:v>
                </c:pt>
                <c:pt idx="792">
                  <c:v>588.9746359926213</c:v>
                </c:pt>
                <c:pt idx="793">
                  <c:v>588.9746359926213</c:v>
                </c:pt>
                <c:pt idx="794">
                  <c:v>588.9746359926213</c:v>
                </c:pt>
                <c:pt idx="795">
                  <c:v>588.9746359926213</c:v>
                </c:pt>
                <c:pt idx="796">
                  <c:v>588.9746359926213</c:v>
                </c:pt>
                <c:pt idx="797">
                  <c:v>588.9746359926213</c:v>
                </c:pt>
                <c:pt idx="798">
                  <c:v>588.9746359926213</c:v>
                </c:pt>
                <c:pt idx="799">
                  <c:v>588.9746359926213</c:v>
                </c:pt>
                <c:pt idx="800">
                  <c:v>588.9746359926213</c:v>
                </c:pt>
                <c:pt idx="801">
                  <c:v>588.9746359926213</c:v>
                </c:pt>
                <c:pt idx="802">
                  <c:v>588.9746359926213</c:v>
                </c:pt>
                <c:pt idx="803">
                  <c:v>588.9746359926213</c:v>
                </c:pt>
                <c:pt idx="804">
                  <c:v>588.9746359926213</c:v>
                </c:pt>
                <c:pt idx="805">
                  <c:v>588.9746359926213</c:v>
                </c:pt>
                <c:pt idx="806">
                  <c:v>588.9746359926213</c:v>
                </c:pt>
                <c:pt idx="807">
                  <c:v>588.9746359926213</c:v>
                </c:pt>
                <c:pt idx="808">
                  <c:v>588.9746359926213</c:v>
                </c:pt>
                <c:pt idx="809">
                  <c:v>588.9746359926213</c:v>
                </c:pt>
                <c:pt idx="810">
                  <c:v>588.9746359926213</c:v>
                </c:pt>
                <c:pt idx="811">
                  <c:v>588.9746359926213</c:v>
                </c:pt>
                <c:pt idx="812">
                  <c:v>588.9746359926213</c:v>
                </c:pt>
                <c:pt idx="813">
                  <c:v>588.9746359926213</c:v>
                </c:pt>
                <c:pt idx="814">
                  <c:v>588.9746359926213</c:v>
                </c:pt>
                <c:pt idx="815">
                  <c:v>588.9746359926213</c:v>
                </c:pt>
                <c:pt idx="816">
                  <c:v>588.9746359926213</c:v>
                </c:pt>
                <c:pt idx="817">
                  <c:v>588.9746359926213</c:v>
                </c:pt>
                <c:pt idx="818">
                  <c:v>588.9746359926213</c:v>
                </c:pt>
                <c:pt idx="819">
                  <c:v>588.9746359926213</c:v>
                </c:pt>
                <c:pt idx="820">
                  <c:v>588.9746359926213</c:v>
                </c:pt>
                <c:pt idx="821">
                  <c:v>588.9746359926213</c:v>
                </c:pt>
                <c:pt idx="822">
                  <c:v>588.9746359926213</c:v>
                </c:pt>
                <c:pt idx="823">
                  <c:v>588.9746359926213</c:v>
                </c:pt>
                <c:pt idx="824">
                  <c:v>588.9746359926213</c:v>
                </c:pt>
                <c:pt idx="825">
                  <c:v>588.9746359926213</c:v>
                </c:pt>
                <c:pt idx="826">
                  <c:v>588.9746359926213</c:v>
                </c:pt>
                <c:pt idx="827">
                  <c:v>588.9746359926213</c:v>
                </c:pt>
                <c:pt idx="828">
                  <c:v>588.9746359926213</c:v>
                </c:pt>
                <c:pt idx="829">
                  <c:v>588.9746359926213</c:v>
                </c:pt>
                <c:pt idx="830">
                  <c:v>588.9746359926213</c:v>
                </c:pt>
                <c:pt idx="831">
                  <c:v>588.9746359926213</c:v>
                </c:pt>
                <c:pt idx="832">
                  <c:v>588.9746359926213</c:v>
                </c:pt>
                <c:pt idx="833">
                  <c:v>588.9746359926213</c:v>
                </c:pt>
                <c:pt idx="834">
                  <c:v>588.9746359926213</c:v>
                </c:pt>
                <c:pt idx="835">
                  <c:v>588.9746359926213</c:v>
                </c:pt>
                <c:pt idx="836">
                  <c:v>588.9746359926213</c:v>
                </c:pt>
                <c:pt idx="837">
                  <c:v>588.9746359926213</c:v>
                </c:pt>
                <c:pt idx="838">
                  <c:v>588.9746359926213</c:v>
                </c:pt>
                <c:pt idx="839">
                  <c:v>588.9746359926213</c:v>
                </c:pt>
                <c:pt idx="840">
                  <c:v>588.9746359926213</c:v>
                </c:pt>
                <c:pt idx="841">
                  <c:v>588.9746359926213</c:v>
                </c:pt>
                <c:pt idx="842">
                  <c:v>588.9746359926213</c:v>
                </c:pt>
                <c:pt idx="843">
                  <c:v>588.9746359926213</c:v>
                </c:pt>
                <c:pt idx="844">
                  <c:v>588.9746359926213</c:v>
                </c:pt>
                <c:pt idx="845">
                  <c:v>588.9746359926213</c:v>
                </c:pt>
                <c:pt idx="846">
                  <c:v>588.9746359926213</c:v>
                </c:pt>
                <c:pt idx="847">
                  <c:v>588.9746359926213</c:v>
                </c:pt>
                <c:pt idx="848">
                  <c:v>588.9746359926213</c:v>
                </c:pt>
                <c:pt idx="849">
                  <c:v>588.9746359926213</c:v>
                </c:pt>
                <c:pt idx="850">
                  <c:v>588.9746359926213</c:v>
                </c:pt>
                <c:pt idx="851">
                  <c:v>588.9746359926213</c:v>
                </c:pt>
                <c:pt idx="852">
                  <c:v>588.9746359926213</c:v>
                </c:pt>
                <c:pt idx="853">
                  <c:v>588.9746359926213</c:v>
                </c:pt>
                <c:pt idx="854">
                  <c:v>588.9746359926213</c:v>
                </c:pt>
                <c:pt idx="855">
                  <c:v>588.9746359926213</c:v>
                </c:pt>
                <c:pt idx="856">
                  <c:v>588.9746359926213</c:v>
                </c:pt>
                <c:pt idx="857">
                  <c:v>588.9746359926213</c:v>
                </c:pt>
                <c:pt idx="858">
                  <c:v>588.9746359926213</c:v>
                </c:pt>
                <c:pt idx="859">
                  <c:v>588.9746359926213</c:v>
                </c:pt>
                <c:pt idx="860">
                  <c:v>588.9746359926213</c:v>
                </c:pt>
                <c:pt idx="861">
                  <c:v>588.9746359926213</c:v>
                </c:pt>
                <c:pt idx="862">
                  <c:v>588.9746359926213</c:v>
                </c:pt>
                <c:pt idx="863">
                  <c:v>588.9746359926213</c:v>
                </c:pt>
                <c:pt idx="864">
                  <c:v>588.9746359926213</c:v>
                </c:pt>
                <c:pt idx="865">
                  <c:v>588.9746359926213</c:v>
                </c:pt>
                <c:pt idx="866">
                  <c:v>588.9746359926213</c:v>
                </c:pt>
                <c:pt idx="867">
                  <c:v>588.9746359926213</c:v>
                </c:pt>
                <c:pt idx="868">
                  <c:v>588.9746359926213</c:v>
                </c:pt>
                <c:pt idx="869">
                  <c:v>588.9746359926213</c:v>
                </c:pt>
                <c:pt idx="870">
                  <c:v>588.9746359926213</c:v>
                </c:pt>
                <c:pt idx="871">
                  <c:v>588.9746359926213</c:v>
                </c:pt>
                <c:pt idx="872">
                  <c:v>588.9746359926213</c:v>
                </c:pt>
                <c:pt idx="873">
                  <c:v>588.9746359926213</c:v>
                </c:pt>
                <c:pt idx="874">
                  <c:v>588.9746359926213</c:v>
                </c:pt>
                <c:pt idx="875">
                  <c:v>588.9746359926213</c:v>
                </c:pt>
                <c:pt idx="876">
                  <c:v>588.9746359926213</c:v>
                </c:pt>
                <c:pt idx="877">
                  <c:v>588.9746359926213</c:v>
                </c:pt>
                <c:pt idx="878">
                  <c:v>588.9746359926213</c:v>
                </c:pt>
                <c:pt idx="879">
                  <c:v>588.9746359926213</c:v>
                </c:pt>
                <c:pt idx="880">
                  <c:v>588.9746359926213</c:v>
                </c:pt>
                <c:pt idx="881">
                  <c:v>588.9746359926213</c:v>
                </c:pt>
                <c:pt idx="882">
                  <c:v>588.9746359926213</c:v>
                </c:pt>
                <c:pt idx="883">
                  <c:v>588.9746359926213</c:v>
                </c:pt>
                <c:pt idx="884">
                  <c:v>588.9746359926213</c:v>
                </c:pt>
                <c:pt idx="885">
                  <c:v>588.9746359926213</c:v>
                </c:pt>
                <c:pt idx="886">
                  <c:v>588.9746359926213</c:v>
                </c:pt>
                <c:pt idx="887">
                  <c:v>588.9746359926213</c:v>
                </c:pt>
                <c:pt idx="888">
                  <c:v>588.9746359926213</c:v>
                </c:pt>
                <c:pt idx="889">
                  <c:v>588.9746359926213</c:v>
                </c:pt>
                <c:pt idx="890">
                  <c:v>588.9746359926213</c:v>
                </c:pt>
                <c:pt idx="891">
                  <c:v>588.9746359926213</c:v>
                </c:pt>
                <c:pt idx="892">
                  <c:v>588.9746359926213</c:v>
                </c:pt>
                <c:pt idx="893">
                  <c:v>588.9746359926213</c:v>
                </c:pt>
                <c:pt idx="894">
                  <c:v>588.9746359926213</c:v>
                </c:pt>
                <c:pt idx="895">
                  <c:v>588.9746359926213</c:v>
                </c:pt>
                <c:pt idx="896">
                  <c:v>588.9746359926213</c:v>
                </c:pt>
                <c:pt idx="897">
                  <c:v>588.9746359926213</c:v>
                </c:pt>
                <c:pt idx="898">
                  <c:v>588.9746359926213</c:v>
                </c:pt>
                <c:pt idx="899">
                  <c:v>588.9746359926213</c:v>
                </c:pt>
                <c:pt idx="900">
                  <c:v>588.9746359926213</c:v>
                </c:pt>
                <c:pt idx="901">
                  <c:v>588.9746359926213</c:v>
                </c:pt>
                <c:pt idx="902">
                  <c:v>588.9746359926213</c:v>
                </c:pt>
                <c:pt idx="903">
                  <c:v>588.9746359926213</c:v>
                </c:pt>
                <c:pt idx="904">
                  <c:v>588.9746359926213</c:v>
                </c:pt>
                <c:pt idx="905">
                  <c:v>588.9746359926213</c:v>
                </c:pt>
                <c:pt idx="906">
                  <c:v>588.9746359926213</c:v>
                </c:pt>
                <c:pt idx="907">
                  <c:v>588.9746359926213</c:v>
                </c:pt>
                <c:pt idx="908">
                  <c:v>588.9746359926213</c:v>
                </c:pt>
                <c:pt idx="909">
                  <c:v>588.9746359926213</c:v>
                </c:pt>
                <c:pt idx="910">
                  <c:v>588.9746359926213</c:v>
                </c:pt>
                <c:pt idx="911">
                  <c:v>588.9746359926213</c:v>
                </c:pt>
                <c:pt idx="912">
                  <c:v>588.9746359926213</c:v>
                </c:pt>
                <c:pt idx="913">
                  <c:v>588.9746359926213</c:v>
                </c:pt>
                <c:pt idx="914">
                  <c:v>588.9746359926213</c:v>
                </c:pt>
                <c:pt idx="915">
                  <c:v>588.9746359926213</c:v>
                </c:pt>
                <c:pt idx="916">
                  <c:v>588.9746359926213</c:v>
                </c:pt>
                <c:pt idx="917">
                  <c:v>588.9746359926213</c:v>
                </c:pt>
                <c:pt idx="918">
                  <c:v>588.9746359926213</c:v>
                </c:pt>
                <c:pt idx="919">
                  <c:v>588.9746359926213</c:v>
                </c:pt>
                <c:pt idx="920">
                  <c:v>588.9746359926213</c:v>
                </c:pt>
                <c:pt idx="921">
                  <c:v>588.9746359926213</c:v>
                </c:pt>
                <c:pt idx="922">
                  <c:v>588.9746359926213</c:v>
                </c:pt>
                <c:pt idx="923">
                  <c:v>588.9746359926213</c:v>
                </c:pt>
                <c:pt idx="924">
                  <c:v>588.9746359926213</c:v>
                </c:pt>
                <c:pt idx="925">
                  <c:v>588.9746359926213</c:v>
                </c:pt>
                <c:pt idx="926">
                  <c:v>588.9746359926213</c:v>
                </c:pt>
                <c:pt idx="927">
                  <c:v>588.9746359926213</c:v>
                </c:pt>
                <c:pt idx="928">
                  <c:v>588.9746359926213</c:v>
                </c:pt>
                <c:pt idx="929">
                  <c:v>588.9746359926213</c:v>
                </c:pt>
                <c:pt idx="930">
                  <c:v>588.9746359926213</c:v>
                </c:pt>
                <c:pt idx="931">
                  <c:v>588.9746359926213</c:v>
                </c:pt>
                <c:pt idx="932">
                  <c:v>588.9746359926213</c:v>
                </c:pt>
                <c:pt idx="933">
                  <c:v>588.9746359926213</c:v>
                </c:pt>
                <c:pt idx="934">
                  <c:v>588.9746359926213</c:v>
                </c:pt>
                <c:pt idx="935">
                  <c:v>588.9746359926213</c:v>
                </c:pt>
                <c:pt idx="936">
                  <c:v>588.9746359926213</c:v>
                </c:pt>
                <c:pt idx="937">
                  <c:v>588.9746359926213</c:v>
                </c:pt>
                <c:pt idx="938">
                  <c:v>588.9746359926213</c:v>
                </c:pt>
                <c:pt idx="939">
                  <c:v>588.9746359926213</c:v>
                </c:pt>
                <c:pt idx="940">
                  <c:v>588.9746359926213</c:v>
                </c:pt>
                <c:pt idx="941">
                  <c:v>588.9746359926213</c:v>
                </c:pt>
                <c:pt idx="942">
                  <c:v>588.9746359926213</c:v>
                </c:pt>
                <c:pt idx="943">
                  <c:v>588.9746359926213</c:v>
                </c:pt>
                <c:pt idx="944">
                  <c:v>588.9746359926213</c:v>
                </c:pt>
                <c:pt idx="945">
                  <c:v>588.9746359926213</c:v>
                </c:pt>
                <c:pt idx="946">
                  <c:v>588.9746359926213</c:v>
                </c:pt>
                <c:pt idx="947">
                  <c:v>588.9746359926213</c:v>
                </c:pt>
                <c:pt idx="948">
                  <c:v>588.9746359926213</c:v>
                </c:pt>
                <c:pt idx="949">
                  <c:v>588.9746359926213</c:v>
                </c:pt>
                <c:pt idx="950">
                  <c:v>588.9746359926213</c:v>
                </c:pt>
                <c:pt idx="951">
                  <c:v>588.9746359926213</c:v>
                </c:pt>
                <c:pt idx="952">
                  <c:v>588.9746359926213</c:v>
                </c:pt>
                <c:pt idx="953">
                  <c:v>588.9746359926213</c:v>
                </c:pt>
                <c:pt idx="954">
                  <c:v>588.9746359926213</c:v>
                </c:pt>
                <c:pt idx="955">
                  <c:v>588.9746359926213</c:v>
                </c:pt>
                <c:pt idx="956">
                  <c:v>588.9746359926213</c:v>
                </c:pt>
                <c:pt idx="957">
                  <c:v>588.9746359926213</c:v>
                </c:pt>
                <c:pt idx="958">
                  <c:v>588.9746359926213</c:v>
                </c:pt>
                <c:pt idx="959">
                  <c:v>588.9746359926213</c:v>
                </c:pt>
                <c:pt idx="960">
                  <c:v>588.9746359926213</c:v>
                </c:pt>
                <c:pt idx="961">
                  <c:v>588.9746359926213</c:v>
                </c:pt>
                <c:pt idx="962">
                  <c:v>588.9746359926213</c:v>
                </c:pt>
                <c:pt idx="963">
                  <c:v>588.9746359926213</c:v>
                </c:pt>
                <c:pt idx="964">
                  <c:v>588.9746359926213</c:v>
                </c:pt>
                <c:pt idx="965">
                  <c:v>588.9746359926213</c:v>
                </c:pt>
                <c:pt idx="966">
                  <c:v>588.9746359926213</c:v>
                </c:pt>
                <c:pt idx="967">
                  <c:v>588.9746359926213</c:v>
                </c:pt>
                <c:pt idx="968">
                  <c:v>588.9746359926213</c:v>
                </c:pt>
                <c:pt idx="969">
                  <c:v>588.9746359926213</c:v>
                </c:pt>
                <c:pt idx="970">
                  <c:v>588.9746359926213</c:v>
                </c:pt>
                <c:pt idx="971">
                  <c:v>588.9746359926213</c:v>
                </c:pt>
                <c:pt idx="972">
                  <c:v>588.9746359926213</c:v>
                </c:pt>
                <c:pt idx="973">
                  <c:v>588.9746359926213</c:v>
                </c:pt>
                <c:pt idx="974">
                  <c:v>588.9746359926213</c:v>
                </c:pt>
                <c:pt idx="975">
                  <c:v>588.9746359926213</c:v>
                </c:pt>
                <c:pt idx="976">
                  <c:v>588.9746359926213</c:v>
                </c:pt>
                <c:pt idx="977">
                  <c:v>588.9746359926213</c:v>
                </c:pt>
                <c:pt idx="978">
                  <c:v>588.9746359926213</c:v>
                </c:pt>
                <c:pt idx="979">
                  <c:v>588.9746359926213</c:v>
                </c:pt>
                <c:pt idx="980">
                  <c:v>588.9746359926213</c:v>
                </c:pt>
                <c:pt idx="981">
                  <c:v>588.9746359926213</c:v>
                </c:pt>
                <c:pt idx="982">
                  <c:v>588.9746359926213</c:v>
                </c:pt>
                <c:pt idx="983">
                  <c:v>588.9746359926213</c:v>
                </c:pt>
                <c:pt idx="984">
                  <c:v>588.9746359926213</c:v>
                </c:pt>
                <c:pt idx="985">
                  <c:v>588.9746359926213</c:v>
                </c:pt>
                <c:pt idx="986">
                  <c:v>588.9746359926213</c:v>
                </c:pt>
                <c:pt idx="987">
                  <c:v>588.9746359926213</c:v>
                </c:pt>
                <c:pt idx="988">
                  <c:v>588.9746359926213</c:v>
                </c:pt>
                <c:pt idx="989">
                  <c:v>588.9746359926213</c:v>
                </c:pt>
                <c:pt idx="990">
                  <c:v>588.9746359926213</c:v>
                </c:pt>
                <c:pt idx="991">
                  <c:v>588.9746359926213</c:v>
                </c:pt>
                <c:pt idx="992">
                  <c:v>588.9746359926213</c:v>
                </c:pt>
                <c:pt idx="993">
                  <c:v>588.9746359926213</c:v>
                </c:pt>
                <c:pt idx="994">
                  <c:v>588.9746359926213</c:v>
                </c:pt>
                <c:pt idx="995">
                  <c:v>588.9746359926213</c:v>
                </c:pt>
                <c:pt idx="996">
                  <c:v>588.9746359926213</c:v>
                </c:pt>
                <c:pt idx="997">
                  <c:v>588.9746359926213</c:v>
                </c:pt>
                <c:pt idx="998">
                  <c:v>588.9746359926213</c:v>
                </c:pt>
                <c:pt idx="999">
                  <c:v>588.9746359926213</c:v>
                </c:pt>
                <c:pt idx="1000">
                  <c:v>588.9746359926213</c:v>
                </c:pt>
              </c:numCache>
            </c:numRef>
          </c:xVal>
          <c:yVal>
            <c:numRef>
              <c:f>Calculs!$K$4:$K$1004</c:f>
              <c:numCache>
                <c:formatCode>0.00</c:formatCode>
                <c:ptCount val="1001"/>
                <c:pt idx="0">
                  <c:v>487.84771914632313</c:v>
                </c:pt>
                <c:pt idx="1">
                  <c:v>489.54718062018776</c:v>
                </c:pt>
                <c:pt idx="2">
                  <c:v>491.24294032459193</c:v>
                </c:pt>
                <c:pt idx="3">
                  <c:v>492.93501052437801</c:v>
                </c:pt>
                <c:pt idx="4">
                  <c:v>494.62340341378064</c:v>
                </c:pt>
                <c:pt idx="5">
                  <c:v>496.30813111696835</c:v>
                </c:pt>
                <c:pt idx="6">
                  <c:v>497.98920568858028</c:v>
                </c:pt>
                <c:pt idx="7">
                  <c:v>499.66663911425746</c:v>
                </c:pt>
                <c:pt idx="8">
                  <c:v>501.34044331116917</c:v>
                </c:pt>
                <c:pt idx="9">
                  <c:v>503.01063012853422</c:v>
                </c:pt>
                <c:pt idx="10">
                  <c:v>504.67721134813729</c:v>
                </c:pt>
                <c:pt idx="11">
                  <c:v>506.34019866652045</c:v>
                </c:pt>
                <c:pt idx="12">
                  <c:v>507.99960367772184</c:v>
                </c:pt>
                <c:pt idx="13">
                  <c:v>509.65543789319361</c:v>
                </c:pt>
                <c:pt idx="14">
                  <c:v>511.30771276114598</c:v>
                </c:pt>
                <c:pt idx="15">
                  <c:v>512.95643966700504</c:v>
                </c:pt>
                <c:pt idx="16">
                  <c:v>514.60162993386643</c:v>
                </c:pt>
                <c:pt idx="17">
                  <c:v>516.24329482294513</c:v>
                </c:pt>
                <c:pt idx="18">
                  <c:v>517.88144553402083</c:v>
                </c:pt>
                <c:pt idx="19">
                  <c:v>519.51609320587932</c:v>
                </c:pt>
                <c:pt idx="20">
                  <c:v>521.14724891675007</c:v>
                </c:pt>
                <c:pt idx="21">
                  <c:v>522.77492369390814</c:v>
                </c:pt>
                <c:pt idx="22">
                  <c:v>524.39912852300677</c:v>
                </c:pt>
                <c:pt idx="23">
                  <c:v>526.01987433880925</c:v>
                </c:pt>
                <c:pt idx="24">
                  <c:v>527.63717201618897</c:v>
                </c:pt>
                <c:pt idx="25">
                  <c:v>529.25103237056396</c:v>
                </c:pt>
                <c:pt idx="26">
                  <c:v>530.86146615832718</c:v>
                </c:pt>
                <c:pt idx="27">
                  <c:v>532.46848407727305</c:v>
                </c:pt>
                <c:pt idx="28">
                  <c:v>534.07209676702007</c:v>
                </c:pt>
                <c:pt idx="29">
                  <c:v>535.67231480942951</c:v>
                </c:pt>
                <c:pt idx="30">
                  <c:v>537.26914872902034</c:v>
                </c:pt>
                <c:pt idx="31">
                  <c:v>538.8626089933806</c:v>
                </c:pt>
                <c:pt idx="32">
                  <c:v>540.45270601357493</c:v>
                </c:pt>
                <c:pt idx="33">
                  <c:v>542.03945014454814</c:v>
                </c:pt>
                <c:pt idx="34">
                  <c:v>543.6228516855258</c:v>
                </c:pt>
                <c:pt idx="35">
                  <c:v>545.2029208804106</c:v>
                </c:pt>
                <c:pt idx="36">
                  <c:v>546.77966791817539</c:v>
                </c:pt>
                <c:pt idx="37">
                  <c:v>548.35310293325301</c:v>
                </c:pt>
                <c:pt idx="38">
                  <c:v>549.92323600592215</c:v>
                </c:pt>
                <c:pt idx="39">
                  <c:v>551.49007716269</c:v>
                </c:pt>
                <c:pt idx="40">
                  <c:v>553.05363637667176</c:v>
                </c:pt>
                <c:pt idx="41">
                  <c:v>554.61392356796614</c:v>
                </c:pt>
                <c:pt idx="42">
                  <c:v>556.17094860402813</c:v>
                </c:pt>
                <c:pt idx="43">
                  <c:v>557.72472130003825</c:v>
                </c:pt>
                <c:pt idx="44">
                  <c:v>559.27525141926856</c:v>
                </c:pt>
                <c:pt idx="45">
                  <c:v>560.82254867344523</c:v>
                </c:pt>
                <c:pt idx="46">
                  <c:v>562.36662272310855</c:v>
                </c:pt>
                <c:pt idx="47">
                  <c:v>563.90748317796897</c:v>
                </c:pt>
                <c:pt idx="48">
                  <c:v>565.44513959726044</c:v>
                </c:pt>
                <c:pt idx="49">
                  <c:v>566.97960149009089</c:v>
                </c:pt>
                <c:pt idx="50">
                  <c:v>568.51087831578911</c:v>
                </c:pt>
                <c:pt idx="51">
                  <c:v>570.03897948424901</c:v>
                </c:pt>
                <c:pt idx="52">
                  <c:v>571.56391435627074</c:v>
                </c:pt>
                <c:pt idx="53">
                  <c:v>573.08569224389885</c:v>
                </c:pt>
                <c:pt idx="54">
                  <c:v>574.6043224107575</c:v>
                </c:pt>
                <c:pt idx="55">
                  <c:v>576.11981407238295</c:v>
                </c:pt>
                <c:pt idx="56">
                  <c:v>577.63217639655272</c:v>
                </c:pt>
                <c:pt idx="57">
                  <c:v>579.14141850361273</c:v>
                </c:pt>
                <c:pt idx="58">
                  <c:v>580.64754946680046</c:v>
                </c:pt>
                <c:pt idx="59">
                  <c:v>582.15057831256649</c:v>
                </c:pt>
                <c:pt idx="60">
                  <c:v>583.6505140208925</c:v>
                </c:pt>
                <c:pt idx="61">
                  <c:v>585.14736552560703</c:v>
                </c:pt>
                <c:pt idx="62">
                  <c:v>586.64114171469828</c:v>
                </c:pt>
                <c:pt idx="63">
                  <c:v>588.13185143062412</c:v>
                </c:pt>
                <c:pt idx="64">
                  <c:v>589.61950347061975</c:v>
                </c:pt>
                <c:pt idx="65">
                  <c:v>591.10410658700266</c:v>
                </c:pt>
                <c:pt idx="66">
                  <c:v>592.585669487475</c:v>
                </c:pt>
                <c:pt idx="67">
                  <c:v>594.06420083542309</c:v>
                </c:pt>
                <c:pt idx="68">
                  <c:v>595.53970925021508</c:v>
                </c:pt>
                <c:pt idx="69">
                  <c:v>597.01220330749527</c:v>
                </c:pt>
                <c:pt idx="70">
                  <c:v>598.48169153947663</c:v>
                </c:pt>
                <c:pt idx="71">
                  <c:v>599.94818243523036</c:v>
                </c:pt>
                <c:pt idx="72">
                  <c:v>601.41168444097343</c:v>
                </c:pt>
                <c:pt idx="73">
                  <c:v>602.87220596035343</c:v>
                </c:pt>
                <c:pt idx="74">
                  <c:v>604.32975535473099</c:v>
                </c:pt>
                <c:pt idx="75">
                  <c:v>605.78434094346017</c:v>
                </c:pt>
                <c:pt idx="76">
                  <c:v>607.23597100416623</c:v>
                </c:pt>
                <c:pt idx="77">
                  <c:v>608.68465377302118</c:v>
                </c:pt>
                <c:pt idx="78">
                  <c:v>610.1303974450168</c:v>
                </c:pt>
                <c:pt idx="79">
                  <c:v>611.57321017423601</c:v>
                </c:pt>
                <c:pt idx="80">
                  <c:v>613.01310007412121</c:v>
                </c:pt>
                <c:pt idx="81">
                  <c:v>614.45007521774107</c:v>
                </c:pt>
                <c:pt idx="82">
                  <c:v>615.88414363805452</c:v>
                </c:pt>
                <c:pt idx="83">
                  <c:v>617.31531332817315</c:v>
                </c:pt>
                <c:pt idx="84">
                  <c:v>618.74359224162106</c:v>
                </c:pt>
                <c:pt idx="85">
                  <c:v>620.16898829259253</c:v>
                </c:pt>
                <c:pt idx="86">
                  <c:v>621.59150935620801</c:v>
                </c:pt>
                <c:pt idx="87">
                  <c:v>623.0111632687674</c:v>
                </c:pt>
                <c:pt idx="88">
                  <c:v>624.42795782800181</c:v>
                </c:pt>
                <c:pt idx="89">
                  <c:v>625.84190079332302</c:v>
                </c:pt>
                <c:pt idx="90">
                  <c:v>627.25299988607094</c:v>
                </c:pt>
                <c:pt idx="91">
                  <c:v>628.66126278975878</c:v>
                </c:pt>
                <c:pt idx="92">
                  <c:v>630.06669715031683</c:v>
                </c:pt>
                <c:pt idx="93">
                  <c:v>631.46931057633356</c:v>
                </c:pt>
                <c:pt idx="94">
                  <c:v>632.86911063929551</c:v>
                </c:pt>
                <c:pt idx="95">
                  <c:v>634.26610487382459</c:v>
                </c:pt>
                <c:pt idx="96">
                  <c:v>635.66030077791379</c:v>
                </c:pt>
                <c:pt idx="97">
                  <c:v>637.05170581316088</c:v>
                </c:pt>
                <c:pt idx="98">
                  <c:v>638.4403274050004</c:v>
                </c:pt>
                <c:pt idx="99">
                  <c:v>639.82617294293357</c:v>
                </c:pt>
                <c:pt idx="100">
                  <c:v>641.20924978075629</c:v>
                </c:pt>
                <c:pt idx="101">
                  <c:v>654.8883064246296</c:v>
                </c:pt>
                <c:pt idx="102">
                  <c:v>668.29518584562084</c:v>
                </c:pt>
                <c:pt idx="103">
                  <c:v>681.4369102654988</c:v>
                </c:pt>
                <c:pt idx="104">
                  <c:v>694.32017301844894</c:v>
                </c:pt>
                <c:pt idx="105">
                  <c:v>706.95135849586541</c:v>
                </c:pt>
                <c:pt idx="106">
                  <c:v>719.33656058114059</c:v>
                </c:pt>
                <c:pt idx="107">
                  <c:v>731.48159971003008</c:v>
                </c:pt>
                <c:pt idx="108">
                  <c:v>743.39203867812012</c:v>
                </c:pt>
                <c:pt idx="109">
                  <c:v>755.07319730452218</c:v>
                </c:pt>
                <c:pt idx="110">
                  <c:v>766.53016604994252</c:v>
                </c:pt>
                <c:pt idx="111">
                  <c:v>777.76781867754846</c:v>
                </c:pt>
                <c:pt idx="112">
                  <c:v>788.79082403641416</c:v>
                </c:pt>
                <c:pt idx="113">
                  <c:v>799.60365703964408</c:v>
                </c:pt>
                <c:pt idx="114">
                  <c:v>810.21060890242518</c:v>
                </c:pt>
                <c:pt idx="115">
                  <c:v>820.61579669914533</c:v>
                </c:pt>
                <c:pt idx="116">
                  <c:v>830.82317229325099</c:v>
                </c:pt>
                <c:pt idx="117">
                  <c:v>840.83653068862282</c:v>
                </c:pt>
                <c:pt idx="118">
                  <c:v>850.65951784685899</c:v>
                </c:pt>
                <c:pt idx="119">
                  <c:v>860.29563801091285</c:v>
                </c:pt>
                <c:pt idx="120">
                  <c:v>869.74826057198595</c:v>
                </c:pt>
                <c:pt idx="121">
                  <c:v>879.02062651338156</c:v>
                </c:pt>
                <c:pt idx="122">
                  <c:v>888.11585446214428</c:v>
                </c:pt>
                <c:pt idx="123">
                  <c:v>897.03694637670628</c:v>
                </c:pt>
                <c:pt idx="124">
                  <c:v>905.7867928964082</c:v>
                </c:pt>
                <c:pt idx="125">
                  <c:v>914.36817837663011</c:v>
                </c:pt>
                <c:pt idx="126">
                  <c:v>922.78378563133606</c:v>
                </c:pt>
                <c:pt idx="127">
                  <c:v>931.03620040307953</c:v>
                </c:pt>
                <c:pt idx="128">
                  <c:v>939.12791557892479</c:v>
                </c:pt>
                <c:pt idx="129">
                  <c:v>947.0613351692848</c:v>
                </c:pt>
                <c:pt idx="130">
                  <c:v>954.83877806535861</c:v>
                </c:pt>
                <c:pt idx="131">
                  <c:v>962.46248158964181</c:v>
                </c:pt>
                <c:pt idx="132">
                  <c:v>969.93460485288688</c:v>
                </c:pt>
                <c:pt idx="133">
                  <c:v>977.25723192988255</c:v>
                </c:pt>
                <c:pt idx="134">
                  <c:v>984.43237486550208</c:v>
                </c:pt>
                <c:pt idx="135">
                  <c:v>991.46197652162948</c:v>
                </c:pt>
                <c:pt idx="136">
                  <c:v>998.34791327479911</c:v>
                </c:pt>
                <c:pt idx="137">
                  <c:v>1005.0919975736781</c:v>
                </c:pt>
                <c:pt idx="138">
                  <c:v>1011.6959803648698</c:v>
                </c:pt>
                <c:pt idx="139">
                  <c:v>1018.1615533949202</c:v>
                </c:pt>
                <c:pt idx="140">
                  <c:v>1024.4903513958591</c:v>
                </c:pt>
                <c:pt idx="141">
                  <c:v>1030.6839541611039</c:v>
                </c:pt>
                <c:pt idx="142">
                  <c:v>1036.7438885180875</c:v>
                </c:pt>
                <c:pt idx="143">
                  <c:v>1042.6716302035431</c:v>
                </c:pt>
                <c:pt idx="144">
                  <c:v>1048.4686056469832</c:v>
                </c:pt>
                <c:pt idx="145">
                  <c:v>1054.1361936675453</c:v>
                </c:pt>
                <c:pt idx="146">
                  <c:v>1059.6757270890419</c:v>
                </c:pt>
                <c:pt idx="147">
                  <c:v>1065.0884942777361</c:v>
                </c:pt>
                <c:pt idx="148">
                  <c:v>1070.3757406070858</c:v>
                </c:pt>
                <c:pt idx="149">
                  <c:v>1075.5386698534239</c:v>
                </c:pt>
                <c:pt idx="150">
                  <c:v>1080.5784455263081</c:v>
                </c:pt>
                <c:pt idx="151">
                  <c:v>1085.496192137038</c:v>
                </c:pt>
                <c:pt idx="152">
                  <c:v>1090.2929964086363</c:v>
                </c:pt>
                <c:pt idx="153">
                  <c:v>1094.9699084303936</c:v>
                </c:pt>
                <c:pt idx="154">
                  <c:v>1099.5279427599037</c:v>
                </c:pt>
                <c:pt idx="155">
                  <c:v>1103.968079475351</c:v>
                </c:pt>
                <c:pt idx="156">
                  <c:v>1108.2912651806644</c:v>
                </c:pt>
                <c:pt idx="157">
                  <c:v>1112.4984139660166</c:v>
                </c:pt>
                <c:pt idx="158">
                  <c:v>1116.5904083260243</c:v>
                </c:pt>
                <c:pt idx="159">
                  <c:v>1120.5681000378938</c:v>
                </c:pt>
                <c:pt idx="160">
                  <c:v>1124.432311001658</c:v>
                </c:pt>
                <c:pt idx="161">
                  <c:v>1128.1838340445643</c:v>
                </c:pt>
                <c:pt idx="162">
                  <c:v>1131.8234336915939</c:v>
                </c:pt>
                <c:pt idx="163">
                  <c:v>1135.3518469040362</c:v>
                </c:pt>
                <c:pt idx="164">
                  <c:v>1138.7697837879821</c:v>
                </c:pt>
                <c:pt idx="165">
                  <c:v>1142.0779282745702</c:v>
                </c:pt>
                <c:pt idx="166">
                  <c:v>1145.2769387737878</c:v>
                </c:pt>
                <c:pt idx="167">
                  <c:v>1148.3674488036224</c:v>
                </c:pt>
                <c:pt idx="168">
                  <c:v>1151.3500675963605</c:v>
                </c:pt>
                <c:pt idx="169">
                  <c:v>1154.2253806838569</c:v>
                </c:pt>
                <c:pt idx="170">
                  <c:v>1156.9939504636304</c:v>
                </c:pt>
                <c:pt idx="171">
                  <c:v>1159.6563167477091</c:v>
                </c:pt>
                <c:pt idx="172">
                  <c:v>1162.2129972962246</c:v>
                </c:pt>
                <c:pt idx="173">
                  <c:v>1164.6644883378669</c:v>
                </c:pt>
                <c:pt idx="174">
                  <c:v>1167.0112650794408</c:v>
                </c:pt>
                <c:pt idx="175">
                  <c:v>1169.2537822069319</c:v>
                </c:pt>
                <c:pt idx="176">
                  <c:v>1171.3924743806851</c:v>
                </c:pt>
                <c:pt idx="177">
                  <c:v>1173.427756727531</c:v>
                </c:pt>
                <c:pt idx="178">
                  <c:v>1175.3600253329564</c:v>
                </c:pt>
                <c:pt idx="179">
                  <c:v>1177.1896577367297</c:v>
                </c:pt>
                <c:pt idx="180">
                  <c:v>1178.9170134357166</c:v>
                </c:pt>
                <c:pt idx="181">
                  <c:v>1180.542434398003</c:v>
                </c:pt>
                <c:pt idx="182">
                  <c:v>1182.0662455928264</c:v>
                </c:pt>
                <c:pt idx="183">
                  <c:v>1183.4887555412233</c:v>
                </c:pt>
                <c:pt idx="184">
                  <c:v>1184.8102568926899</c:v>
                </c:pt>
                <c:pt idx="185">
                  <c:v>1186.0310270335058</c:v>
                </c:pt>
                <c:pt idx="186">
                  <c:v>1187.1513287326436</c:v>
                </c:pt>
                <c:pt idx="187">
                  <c:v>1188.1714108313329</c:v>
                </c:pt>
                <c:pt idx="188">
                  <c:v>1189.0915089823011</c:v>
                </c:pt>
                <c:pt idx="189">
                  <c:v>1189.9118464444084</c:v>
                </c:pt>
                <c:pt idx="190">
                  <c:v>1190.6326349377516</c:v>
                </c:pt>
                <c:pt idx="191">
                  <c:v>1191.2540755632692</c:v>
                </c:pt>
                <c:pt idx="192">
                  <c:v>1191.7763597893713</c:v>
                </c:pt>
                <c:pt idx="193">
                  <c:v>1192.1996705061306</c:v>
                </c:pt>
                <c:pt idx="194">
                  <c:v>1192.5241831451251</c:v>
                </c:pt>
                <c:pt idx="195">
                  <c:v>1192.7500668602081</c:v>
                </c:pt>
                <c:pt idx="196">
                  <c:v>1192.8774857614485</c:v>
                </c:pt>
                <c:pt idx="197">
                  <c:v>1192.9066001914607</c:v>
                </c:pt>
                <c:pt idx="198">
                  <c:v>1192.8375680305887</c:v>
                </c:pt>
                <c:pt idx="199">
                  <c:v>1192.6705460152034</c:v>
                </c:pt>
                <c:pt idx="200">
                  <c:v>1192.4056910519494</c:v>
                </c:pt>
                <c:pt idx="201">
                  <c:v>1192.0431615103162</c:v>
                </c:pt>
                <c:pt idx="202">
                  <c:v>1191.5831184764559</c:v>
                </c:pt>
                <c:pt idx="203">
                  <c:v>1191.0257269526617</c:v>
                </c:pt>
                <c:pt idx="204">
                  <c:v>1190.3711569891998</c:v>
                </c:pt>
                <c:pt idx="205">
                  <c:v>1189.6195847379886</c:v>
                </c:pt>
                <c:pt idx="206">
                  <c:v>1188.7711934206761</c:v>
                </c:pt>
                <c:pt idx="207">
                  <c:v>1187.826174206712</c:v>
                </c:pt>
                <c:pt idx="208">
                  <c:v>1186.7847269998153</c:v>
                </c:pt>
                <c:pt idx="209">
                  <c:v>1185.6470611336642</c:v>
                </c:pt>
                <c:pt idx="210">
                  <c:v>1184.4133959795777</c:v>
                </c:pt>
                <c:pt idx="211">
                  <c:v>1183.0839614704189</c:v>
                </c:pt>
                <c:pt idx="212">
                  <c:v>1181.6589985459332</c:v>
                </c:pt>
                <c:pt idx="213">
                  <c:v>1180.1387595253143</c:v>
                </c:pt>
                <c:pt idx="214">
                  <c:v>1178.5235084130379</c:v>
                </c:pt>
                <c:pt idx="215">
                  <c:v>1176.8135211439803</c:v>
                </c:pt>
                <c:pt idx="216">
                  <c:v>1175.0090857736438</c:v>
                </c:pt>
                <c:pt idx="217">
                  <c:v>1173.1105026189746</c:v>
                </c:pt>
                <c:pt idx="218">
                  <c:v>1171.1180843548634</c:v>
                </c:pt>
                <c:pt idx="219">
                  <c:v>1169.032156070976</c:v>
                </c:pt>
                <c:pt idx="220">
                  <c:v>1166.8530552931154</c:v>
                </c:pt>
                <c:pt idx="221">
                  <c:v>1164.5811319728855</c:v>
                </c:pt>
                <c:pt idx="222">
                  <c:v>1162.2167484490139</c:v>
                </c:pt>
                <c:pt idx="223">
                  <c:v>1159.7602793833171</c:v>
                </c:pt>
                <c:pt idx="224">
                  <c:v>1157.2121116739461</c:v>
                </c:pt>
                <c:pt idx="225">
                  <c:v>1154.5726443482492</c:v>
                </c:pt>
                <c:pt idx="226">
                  <c:v>1151.8422884373131</c:v>
                </c:pt>
                <c:pt idx="227">
                  <c:v>1149.0214668340068</c:v>
                </c:pt>
                <c:pt idx="228">
                  <c:v>1146.1106141361497</c:v>
                </c:pt>
                <c:pt idx="229">
                  <c:v>1143.1101764762343</c:v>
                </c:pt>
                <c:pt idx="230">
                  <c:v>1140.02061133899</c:v>
                </c:pt>
                <c:pt idx="231">
                  <c:v>1136.8423873679276</c:v>
                </c:pt>
                <c:pt idx="232">
                  <c:v>1133.575984161896</c:v>
                </c:pt>
                <c:pt idx="233">
                  <c:v>1130.2218920625769</c:v>
                </c:pt>
                <c:pt idx="234">
                  <c:v>1126.780611933757</c:v>
                </c:pt>
                <c:pt idx="235">
                  <c:v>1123.2526549331451</c:v>
                </c:pt>
                <c:pt idx="236">
                  <c:v>1119.6385422774331</c:v>
                </c:pt>
                <c:pt idx="237">
                  <c:v>1115.9388050012469</c:v>
                </c:pt>
                <c:pt idx="238">
                  <c:v>1112.1539837105815</c:v>
                </c:pt>
                <c:pt idx="239">
                  <c:v>1108.2846283312751</c:v>
                </c:pt>
                <c:pt idx="240">
                  <c:v>1104.3312978530391</c:v>
                </c:pt>
                <c:pt idx="241">
                  <c:v>1100.2945600695273</c:v>
                </c:pt>
                <c:pt idx="242">
                  <c:v>1096.1749913148999</c:v>
                </c:pt>
                <c:pt idx="243">
                  <c:v>1091.9731761973151</c:v>
                </c:pt>
                <c:pt idx="244">
                  <c:v>1087.6897073297523</c:v>
                </c:pt>
                <c:pt idx="245">
                  <c:v>1083.3251850585584</c:v>
                </c:pt>
                <c:pt idx="246">
                  <c:v>1078.8802171900829</c:v>
                </c:pt>
                <c:pt idx="247">
                  <c:v>1074.3554187157586</c:v>
                </c:pt>
                <c:pt idx="248">
                  <c:v>1069.7514115359613</c:v>
                </c:pt>
                <c:pt idx="249">
                  <c:v>1065.0688241829755</c:v>
                </c:pt>
                <c:pt idx="250">
                  <c:v>1060.3082915433745</c:v>
                </c:pt>
                <c:pt idx="251">
                  <c:v>1055.4704545801139</c:v>
                </c:pt>
                <c:pt idx="252">
                  <c:v>1050.5559600546253</c:v>
                </c:pt>
                <c:pt idx="253">
                  <c:v>1045.565460249185</c:v>
                </c:pt>
                <c:pt idx="254">
                  <c:v>1040.4996126898247</c:v>
                </c:pt>
                <c:pt idx="255">
                  <c:v>1035.3590798700379</c:v>
                </c:pt>
                <c:pt idx="256">
                  <c:v>1030.1445289755272</c:v>
                </c:pt>
                <c:pt idx="257">
                  <c:v>1024.856631610231</c:v>
                </c:pt>
                <c:pt idx="258">
                  <c:v>1019.4960635238532</c:v>
                </c:pt>
                <c:pt idx="259">
                  <c:v>1014.0635043411161</c:v>
                </c:pt>
                <c:pt idx="260">
                  <c:v>1008.5596372929447</c:v>
                </c:pt>
                <c:pt idx="261">
                  <c:v>1002.9851489497829</c:v>
                </c:pt>
                <c:pt idx="262">
                  <c:v>997.34072895723364</c:v>
                </c:pt>
                <c:pt idx="263">
                  <c:v>991.62706977420589</c:v>
                </c:pt>
                <c:pt idx="264">
                  <c:v>985.84486641374497</c:v>
                </c:pt>
                <c:pt idx="265">
                  <c:v>979.99481618671211</c:v>
                </c:pt>
                <c:pt idx="266">
                  <c:v>974.07761844847232</c:v>
                </c:pt>
                <c:pt idx="267">
                  <c:v>968.09397434874245</c:v>
                </c:pt>
                <c:pt idx="268">
                  <c:v>962.04458658474141</c:v>
                </c:pt>
                <c:pt idx="269">
                  <c:v>955.93015915777846</c:v>
                </c:pt>
                <c:pt idx="270">
                  <c:v>949.75139713340729</c:v>
                </c:pt>
                <c:pt idx="271">
                  <c:v>943.50900640526504</c:v>
                </c:pt>
                <c:pt idx="272">
                  <c:v>937.20369346270957</c:v>
                </c:pt>
                <c:pt idx="273">
                  <c:v>930.83616516235986</c:v>
                </c:pt>
                <c:pt idx="274">
                  <c:v>924.40712850363661</c:v>
                </c:pt>
                <c:pt idx="275">
                  <c:v>917.91729040839471</c:v>
                </c:pt>
                <c:pt idx="276">
                  <c:v>911.36735750473008</c:v>
                </c:pt>
                <c:pt idx="277">
                  <c:v>904.75803591503779</c:v>
                </c:pt>
                <c:pt idx="278">
                  <c:v>898.09003104839167</c:v>
                </c:pt>
                <c:pt idx="279">
                  <c:v>891.36404739730756</c:v>
                </c:pt>
                <c:pt idx="280">
                  <c:v>884.5807883389474</c:v>
                </c:pt>
                <c:pt idx="281">
                  <c:v>877.74095594081382</c:v>
                </c:pt>
                <c:pt idx="282">
                  <c:v>870.84525077097942</c:v>
                </c:pt>
                <c:pt idx="283">
                  <c:v>863.89437171288807</c:v>
                </c:pt>
                <c:pt idx="284">
                  <c:v>856.8890157847602</c:v>
                </c:pt>
                <c:pt idx="285">
                  <c:v>849.82987796362818</c:v>
                </c:pt>
                <c:pt idx="286">
                  <c:v>842.71765101402116</c:v>
                </c:pt>
                <c:pt idx="287">
                  <c:v>835.55302532131589</c:v>
                </c:pt>
                <c:pt idx="288">
                  <c:v>828.33668872976136</c:v>
                </c:pt>
                <c:pt idx="289">
                  <c:v>821.06932638518219</c:v>
                </c:pt>
                <c:pt idx="290">
                  <c:v>813.75162058236083</c:v>
                </c:pt>
                <c:pt idx="291">
                  <c:v>806.38425061709177</c:v>
                </c:pt>
                <c:pt idx="292">
                  <c:v>798.96789264289896</c:v>
                </c:pt>
                <c:pt idx="293">
                  <c:v>791.50321953240143</c:v>
                </c:pt>
                <c:pt idx="294">
                  <c:v>783.99090074330763</c:v>
                </c:pt>
                <c:pt idx="295">
                  <c:v>776.43160218901698</c:v>
                </c:pt>
                <c:pt idx="296">
                  <c:v>768.82598611380047</c:v>
                </c:pt>
                <c:pt idx="297">
                  <c:v>761.17471097253008</c:v>
                </c:pt>
                <c:pt idx="298">
                  <c:v>753.47843131492334</c:v>
                </c:pt>
                <c:pt idx="299">
                  <c:v>745.73779767426458</c:v>
                </c:pt>
                <c:pt idx="300">
                  <c:v>737.95345646056228</c:v>
                </c:pt>
                <c:pt idx="301">
                  <c:v>730.12604985809855</c:v>
                </c:pt>
                <c:pt idx="302">
                  <c:v>722.25621572732439</c:v>
                </c:pt>
                <c:pt idx="303">
                  <c:v>714.34458751104967</c:v>
                </c:pt>
                <c:pt idx="304">
                  <c:v>706.39179414487705</c:v>
                </c:pt>
                <c:pt idx="305">
                  <c:v>698.39845997182454</c:v>
                </c:pt>
                <c:pt idx="306">
                  <c:v>690.36520466107982</c:v>
                </c:pt>
                <c:pt idx="307">
                  <c:v>682.29264313082706</c:v>
                </c:pt>
                <c:pt idx="308">
                  <c:v>674.18138547508579</c:v>
                </c:pt>
                <c:pt idx="309">
                  <c:v>666.03203689449856</c:v>
                </c:pt>
                <c:pt idx="310">
                  <c:v>657.84519763100297</c:v>
                </c:pt>
                <c:pt idx="311">
                  <c:v>649.62146290632199</c:v>
                </c:pt>
                <c:pt idx="312">
                  <c:v>641.36142286420568</c:v>
                </c:pt>
                <c:pt idx="313">
                  <c:v>633.06566251635491</c:v>
                </c:pt>
                <c:pt idx="314">
                  <c:v>624.7347616919576</c:v>
                </c:pt>
                <c:pt idx="315">
                  <c:v>616.36929499076689</c:v>
                </c:pt>
                <c:pt idx="316">
                  <c:v>607.96983173964952</c:v>
                </c:pt>
                <c:pt idx="317">
                  <c:v>599.53693595253185</c:v>
                </c:pt>
                <c:pt idx="318">
                  <c:v>591.07116629367033</c:v>
                </c:pt>
                <c:pt idx="319">
                  <c:v>582.5730760441736</c:v>
                </c:pt>
                <c:pt idx="320">
                  <c:v>574.04321307170119</c:v>
                </c:pt>
                <c:pt idx="321">
                  <c:v>565.48211980326528</c:v>
                </c:pt>
                <c:pt idx="322">
                  <c:v>556.89033320106091</c:v>
                </c:pt>
                <c:pt idx="323">
                  <c:v>548.26838474124929</c:v>
                </c:pt>
                <c:pt idx="324">
                  <c:v>539.616800395621</c:v>
                </c:pt>
                <c:pt idx="325">
                  <c:v>530.9361006160625</c:v>
                </c:pt>
                <c:pt idx="326">
                  <c:v>522.22680032175333</c:v>
                </c:pt>
                <c:pt idx="327">
                  <c:v>513.4894088890187</c:v>
                </c:pt>
                <c:pt idx="328">
                  <c:v>504.72443014376347</c:v>
                </c:pt>
                <c:pt idx="329">
                  <c:v>495.93236235641467</c:v>
                </c:pt>
                <c:pt idx="330">
                  <c:v>487.11369823929857</c:v>
                </c:pt>
                <c:pt idx="331">
                  <c:v>478.26892494638025</c:v>
                </c:pt>
                <c:pt idx="332">
                  <c:v>469.39852407529332</c:v>
                </c:pt>
                <c:pt idx="333">
                  <c:v>460.50297167158828</c:v>
                </c:pt>
                <c:pt idx="334">
                  <c:v>451.58273823512894</c:v>
                </c:pt>
                <c:pt idx="335">
                  <c:v>442.63828872856652</c:v>
                </c:pt>
                <c:pt idx="336">
                  <c:v>433.67008258782238</c:v>
                </c:pt>
                <c:pt idx="337">
                  <c:v>424.67857373451085</c:v>
                </c:pt>
                <c:pt idx="338">
                  <c:v>415.66421059023457</c:v>
                </c:pt>
                <c:pt idx="339">
                  <c:v>406.6274360926854</c:v>
                </c:pt>
                <c:pt idx="340">
                  <c:v>397.56868771348525</c:v>
                </c:pt>
                <c:pt idx="341">
                  <c:v>388.48839747770222</c:v>
                </c:pt>
                <c:pt idx="342">
                  <c:v>379.38699198497767</c:v>
                </c:pt>
                <c:pt idx="343">
                  <c:v>370.26489243220198</c:v>
                </c:pt>
                <c:pt idx="344">
                  <c:v>361.12251463767672</c:v>
                </c:pt>
                <c:pt idx="345">
                  <c:v>351.96026906670289</c:v>
                </c:pt>
                <c:pt idx="346">
                  <c:v>342.77856085853557</c:v>
                </c:pt>
                <c:pt idx="347">
                  <c:v>333.57778985464586</c:v>
                </c:pt>
                <c:pt idx="348">
                  <c:v>324.35835062823372</c:v>
                </c:pt>
                <c:pt idx="349">
                  <c:v>315.12063251493453</c:v>
                </c:pt>
                <c:pt idx="350">
                  <c:v>305.86501964466459</c:v>
                </c:pt>
                <c:pt idx="351">
                  <c:v>296.59189097455169</c:v>
                </c:pt>
                <c:pt idx="352">
                  <c:v>287.30162032289758</c:v>
                </c:pt>
                <c:pt idx="353">
                  <c:v>277.99457640412089</c:v>
                </c:pt>
                <c:pt idx="354">
                  <c:v>268.67112286462987</c:v>
                </c:pt>
                <c:pt idx="355">
                  <c:v>259.33161831957568</c:v>
                </c:pt>
                <c:pt idx="356">
                  <c:v>249.97641639043798</c:v>
                </c:pt>
                <c:pt idx="357">
                  <c:v>240.60586574339555</c:v>
                </c:pt>
                <c:pt idx="358">
                  <c:v>231.22031012843672</c:v>
                </c:pt>
                <c:pt idx="359">
                  <c:v>221.82008841916411</c:v>
                </c:pt>
                <c:pt idx="360">
                  <c:v>212.40553465325058</c:v>
                </c:pt>
                <c:pt idx="361">
                  <c:v>202.97697807350397</c:v>
                </c:pt>
                <c:pt idx="362">
                  <c:v>193.53474316949905</c:v>
                </c:pt>
                <c:pt idx="363">
                  <c:v>184.07914971973685</c:v>
                </c:pt>
                <c:pt idx="364">
                  <c:v>174.61051283429205</c:v>
                </c:pt>
                <c:pt idx="365">
                  <c:v>165.12914299791078</c:v>
                </c:pt>
                <c:pt idx="366">
                  <c:v>155.63534611352159</c:v>
                </c:pt>
                <c:pt idx="367">
                  <c:v>146.12942354612437</c:v>
                </c:pt>
                <c:pt idx="368">
                  <c:v>136.61167216702205</c:v>
                </c:pt>
                <c:pt idx="369">
                  <c:v>127.08238439836165</c:v>
                </c:pt>
                <c:pt idx="370">
                  <c:v>117.54184825795227</c:v>
                </c:pt>
                <c:pt idx="371">
                  <c:v>107.99034740432809</c:v>
                </c:pt>
                <c:pt idx="372">
                  <c:v>98.428161182026258</c:v>
                </c:pt>
                <c:pt idx="373">
                  <c:v>88.855564667049734</c:v>
                </c:pt>
                <c:pt idx="374">
                  <c:v>79.272828712486884</c:v>
                </c:pt>
                <c:pt idx="375">
                  <c:v>69.680219994259986</c:v>
                </c:pt>
                <c:pt idx="376">
                  <c:v>60.078001056976142</c:v>
                </c:pt>
                <c:pt idx="377">
                  <c:v>50.46643035985484</c:v>
                </c:pt>
                <c:pt idx="378">
                  <c:v>40.845762322707415</c:v>
                </c:pt>
                <c:pt idx="379">
                  <c:v>31.216247371944455</c:v>
                </c:pt>
                <c:pt idx="380">
                  <c:v>21.578131986588218</c:v>
                </c:pt>
                <c:pt idx="381">
                  <c:v>11.931658744267859</c:v>
                </c:pt>
                <c:pt idx="382">
                  <c:v>2.2770663671762055</c:v>
                </c:pt>
                <c:pt idx="383">
                  <c:v>-7.3854102320324149</c:v>
                </c:pt>
                <c:pt idx="384">
                  <c:v>-7.395076596257061</c:v>
                </c:pt>
                <c:pt idx="385">
                  <c:v>-7.4047429680200283</c:v>
                </c:pt>
                <c:pt idx="386">
                  <c:v>-7.4144093473210919</c:v>
                </c:pt>
                <c:pt idx="387">
                  <c:v>-7.4240757341600263</c:v>
                </c:pt>
                <c:pt idx="388">
                  <c:v>-7.4337421285366059</c:v>
                </c:pt>
                <c:pt idx="389">
                  <c:v>-7.4434085304506059</c:v>
                </c:pt>
                <c:pt idx="390">
                  <c:v>-7.4530749399018008</c:v>
                </c:pt>
                <c:pt idx="391">
                  <c:v>-7.462741356889965</c:v>
                </c:pt>
                <c:pt idx="392">
                  <c:v>-7.4724077814148728</c:v>
                </c:pt>
                <c:pt idx="393">
                  <c:v>-7.4820742134762996</c:v>
                </c:pt>
                <c:pt idx="394">
                  <c:v>-7.4917406530740207</c:v>
                </c:pt>
                <c:pt idx="395">
                  <c:v>-7.5014071002078104</c:v>
                </c:pt>
                <c:pt idx="396">
                  <c:v>-7.5110735548774432</c:v>
                </c:pt>
                <c:pt idx="397">
                  <c:v>-7.5207400170826935</c:v>
                </c:pt>
                <c:pt idx="398">
                  <c:v>-7.5304064868233365</c:v>
                </c:pt>
                <c:pt idx="399">
                  <c:v>-7.5400729640991466</c:v>
                </c:pt>
                <c:pt idx="400">
                  <c:v>-7.5497394489098992</c:v>
                </c:pt>
                <c:pt idx="401">
                  <c:v>-7.5594059412553687</c:v>
                </c:pt>
                <c:pt idx="402">
                  <c:v>-7.5690724411353294</c:v>
                </c:pt>
                <c:pt idx="403">
                  <c:v>-7.5787389485495567</c:v>
                </c:pt>
                <c:pt idx="404">
                  <c:v>-7.5884054634978249</c:v>
                </c:pt>
                <c:pt idx="405">
                  <c:v>-7.5980719859799093</c:v>
                </c:pt>
                <c:pt idx="406">
                  <c:v>-7.6077385159955844</c:v>
                </c:pt>
                <c:pt idx="407">
                  <c:v>-7.6174050535446254</c:v>
                </c:pt>
                <c:pt idx="408">
                  <c:v>-7.6270715986268058</c:v>
                </c:pt>
                <c:pt idx="409">
                  <c:v>-7.6367381512419019</c:v>
                </c:pt>
                <c:pt idx="410">
                  <c:v>-7.6464047113896871</c:v>
                </c:pt>
                <c:pt idx="411">
                  <c:v>-7.6560712790699377</c:v>
                </c:pt>
                <c:pt idx="412">
                  <c:v>-7.665737854282427</c:v>
                </c:pt>
                <c:pt idx="413">
                  <c:v>-7.6754044370269305</c:v>
                </c:pt>
                <c:pt idx="414">
                  <c:v>-7.6850710273032234</c:v>
                </c:pt>
                <c:pt idx="415">
                  <c:v>-7.6947376251110802</c:v>
                </c:pt>
                <c:pt idx="416">
                  <c:v>-7.7044042304502751</c:v>
                </c:pt>
                <c:pt idx="417">
                  <c:v>-7.7140708433205836</c:v>
                </c:pt>
                <c:pt idx="418">
                  <c:v>-7.7237374637217808</c:v>
                </c:pt>
                <c:pt idx="419">
                  <c:v>-7.7334040916536404</c:v>
                </c:pt>
                <c:pt idx="420">
                  <c:v>-7.7430707271159385</c:v>
                </c:pt>
                <c:pt idx="421">
                  <c:v>-7.7527373701084485</c:v>
                </c:pt>
                <c:pt idx="422">
                  <c:v>-7.7624040206309468</c:v>
                </c:pt>
                <c:pt idx="423">
                  <c:v>-7.7720706786832068</c:v>
                </c:pt>
                <c:pt idx="424">
                  <c:v>-7.7817373442650046</c:v>
                </c:pt>
                <c:pt idx="425">
                  <c:v>-7.7914040173761139</c:v>
                </c:pt>
                <c:pt idx="426">
                  <c:v>-7.8010706980163098</c:v>
                </c:pt>
                <c:pt idx="427">
                  <c:v>-7.8107373861853677</c:v>
                </c:pt>
                <c:pt idx="428">
                  <c:v>-7.820404081883062</c:v>
                </c:pt>
                <c:pt idx="429">
                  <c:v>-7.830070785109168</c:v>
                </c:pt>
                <c:pt idx="430">
                  <c:v>-7.83973749586346</c:v>
                </c:pt>
                <c:pt idx="431">
                  <c:v>-7.8494042141457134</c:v>
                </c:pt>
                <c:pt idx="432">
                  <c:v>-7.8590709399557026</c:v>
                </c:pt>
                <c:pt idx="433">
                  <c:v>-7.8687376732932028</c:v>
                </c:pt>
                <c:pt idx="434">
                  <c:v>-7.8784044141579885</c:v>
                </c:pt>
                <c:pt idx="435">
                  <c:v>-7.888071162549835</c:v>
                </c:pt>
                <c:pt idx="436">
                  <c:v>-7.8977379184685175</c:v>
                </c:pt>
                <c:pt idx="437">
                  <c:v>-7.9074046819138104</c:v>
                </c:pt>
                <c:pt idx="438">
                  <c:v>-7.9170714528854882</c:v>
                </c:pt>
                <c:pt idx="439">
                  <c:v>-7.9267382313833261</c:v>
                </c:pt>
                <c:pt idx="440">
                  <c:v>-7.9364050174070995</c:v>
                </c:pt>
                <c:pt idx="441">
                  <c:v>-7.9460718109565827</c:v>
                </c:pt>
                <c:pt idx="442">
                  <c:v>-7.9557386120315501</c:v>
                </c:pt>
                <c:pt idx="443">
                  <c:v>-7.9654054206317779</c:v>
                </c:pt>
                <c:pt idx="444">
                  <c:v>-7.9750722367570406</c:v>
                </c:pt>
                <c:pt idx="445">
                  <c:v>-7.9847390604071125</c:v>
                </c:pt>
                <c:pt idx="446">
                  <c:v>-7.9944058915817688</c:v>
                </c:pt>
                <c:pt idx="447">
                  <c:v>-8.0040727302807841</c:v>
                </c:pt>
                <c:pt idx="448">
                  <c:v>-8.0137395765039336</c:v>
                </c:pt>
                <c:pt idx="449">
                  <c:v>-8.0234064302509935</c:v>
                </c:pt>
                <c:pt idx="450">
                  <c:v>-8.0330732915217364</c:v>
                </c:pt>
                <c:pt idx="451">
                  <c:v>-8.0427401603159385</c:v>
                </c:pt>
                <c:pt idx="452">
                  <c:v>-8.052407036633376</c:v>
                </c:pt>
                <c:pt idx="453">
                  <c:v>-8.0620739204738214</c:v>
                </c:pt>
                <c:pt idx="454">
                  <c:v>-8.0717408118370511</c:v>
                </c:pt>
                <c:pt idx="455">
                  <c:v>-8.0814077107228393</c:v>
                </c:pt>
                <c:pt idx="456">
                  <c:v>-8.0910746171309622</c:v>
                </c:pt>
                <c:pt idx="457">
                  <c:v>-8.1007415310611925</c:v>
                </c:pt>
                <c:pt idx="458">
                  <c:v>-8.1104084525133082</c:v>
                </c:pt>
                <c:pt idx="459">
                  <c:v>-8.1200753814870819</c:v>
                </c:pt>
                <c:pt idx="460">
                  <c:v>-8.1297423179822896</c:v>
                </c:pt>
                <c:pt idx="461">
                  <c:v>-8.139409261998706</c:v>
                </c:pt>
                <c:pt idx="462">
                  <c:v>-8.1490762135361052</c:v>
                </c:pt>
                <c:pt idx="463">
                  <c:v>-8.1587431725942636</c:v>
                </c:pt>
                <c:pt idx="464">
                  <c:v>-8.1684101391729556</c:v>
                </c:pt>
                <c:pt idx="465">
                  <c:v>-8.1780771132719554</c:v>
                </c:pt>
                <c:pt idx="466">
                  <c:v>-8.1877440948910394</c:v>
                </c:pt>
                <c:pt idx="467">
                  <c:v>-8.1974110840299819</c:v>
                </c:pt>
                <c:pt idx="468">
                  <c:v>-8.2070780806885573</c:v>
                </c:pt>
                <c:pt idx="469">
                  <c:v>-8.2167450848665418</c:v>
                </c:pt>
                <c:pt idx="470">
                  <c:v>-8.2264120965637098</c:v>
                </c:pt>
                <c:pt idx="471">
                  <c:v>-8.2360791157798374</c:v>
                </c:pt>
                <c:pt idx="472">
                  <c:v>-8.2457461425146974</c:v>
                </c:pt>
                <c:pt idx="473">
                  <c:v>-8.2554131767680659</c:v>
                </c:pt>
                <c:pt idx="474">
                  <c:v>-8.265080218539719</c:v>
                </c:pt>
                <c:pt idx="475">
                  <c:v>-8.2747472678294294</c:v>
                </c:pt>
                <c:pt idx="476">
                  <c:v>-8.284414324636975</c:v>
                </c:pt>
                <c:pt idx="477">
                  <c:v>-8.2940813889621285</c:v>
                </c:pt>
                <c:pt idx="478">
                  <c:v>-8.3037484608046661</c:v>
                </c:pt>
                <c:pt idx="479">
                  <c:v>-8.3134155401643621</c:v>
                </c:pt>
                <c:pt idx="480">
                  <c:v>-8.3230826270409928</c:v>
                </c:pt>
                <c:pt idx="481">
                  <c:v>-8.3327497214343307</c:v>
                </c:pt>
                <c:pt idx="482">
                  <c:v>-8.3424168233441538</c:v>
                </c:pt>
                <c:pt idx="483">
                  <c:v>-8.3520839327702348</c:v>
                </c:pt>
                <c:pt idx="484">
                  <c:v>-8.3617510497123497</c:v>
                </c:pt>
                <c:pt idx="485">
                  <c:v>-8.3714181741702749</c:v>
                </c:pt>
                <c:pt idx="486">
                  <c:v>-8.3810853061437829</c:v>
                </c:pt>
                <c:pt idx="487">
                  <c:v>-8.3907524456326499</c:v>
                </c:pt>
                <c:pt idx="488">
                  <c:v>-8.4004195926366521</c:v>
                </c:pt>
                <c:pt idx="489">
                  <c:v>-8.4100867471555638</c:v>
                </c:pt>
                <c:pt idx="490">
                  <c:v>-8.4197539091891596</c:v>
                </c:pt>
                <c:pt idx="491">
                  <c:v>-8.4294210787372155</c:v>
                </c:pt>
                <c:pt idx="492">
                  <c:v>-8.4390882557995042</c:v>
                </c:pt>
                <c:pt idx="493">
                  <c:v>-8.4487554403758036</c:v>
                </c:pt>
                <c:pt idx="494">
                  <c:v>-8.4584226324658882</c:v>
                </c:pt>
                <c:pt idx="495">
                  <c:v>-8.4680898320695324</c:v>
                </c:pt>
                <c:pt idx="496">
                  <c:v>-8.4777570391865105</c:v>
                </c:pt>
                <c:pt idx="497">
                  <c:v>-8.4874242538165987</c:v>
                </c:pt>
                <c:pt idx="498">
                  <c:v>-8.4970914759595733</c:v>
                </c:pt>
                <c:pt idx="499">
                  <c:v>-8.5067587056152068</c:v>
                </c:pt>
                <c:pt idx="500">
                  <c:v>-8.5164259427832754</c:v>
                </c:pt>
                <c:pt idx="501">
                  <c:v>-8.5260931874635553</c:v>
                </c:pt>
                <c:pt idx="502">
                  <c:v>-8.5357604396558209</c:v>
                </c:pt>
                <c:pt idx="503">
                  <c:v>-8.5454276993598466</c:v>
                </c:pt>
                <c:pt idx="504">
                  <c:v>-8.5550949665754086</c:v>
                </c:pt>
                <c:pt idx="505">
                  <c:v>-8.5647622413022813</c:v>
                </c:pt>
                <c:pt idx="506">
                  <c:v>-8.5744295235402408</c:v>
                </c:pt>
                <c:pt idx="507">
                  <c:v>-8.5840968132890616</c:v>
                </c:pt>
                <c:pt idx="508">
                  <c:v>-8.5937641105485181</c:v>
                </c:pt>
                <c:pt idx="509">
                  <c:v>-8.6034314153183864</c:v>
                </c:pt>
                <c:pt idx="510">
                  <c:v>-8.613098727598441</c:v>
                </c:pt>
                <c:pt idx="511">
                  <c:v>-8.622766047388458</c:v>
                </c:pt>
                <c:pt idx="512">
                  <c:v>-8.6324333746882118</c:v>
                </c:pt>
                <c:pt idx="513">
                  <c:v>-8.6421007094974769</c:v>
                </c:pt>
                <c:pt idx="514">
                  <c:v>-8.6517680518160294</c:v>
                </c:pt>
                <c:pt idx="515">
                  <c:v>-8.6614354016436437</c:v>
                </c:pt>
                <c:pt idx="516">
                  <c:v>-8.671102758980096</c:v>
                </c:pt>
                <c:pt idx="517">
                  <c:v>-8.6807701238251607</c:v>
                </c:pt>
                <c:pt idx="518">
                  <c:v>-8.6904374961786139</c:v>
                </c:pt>
                <c:pt idx="519">
                  <c:v>-8.7001048760402302</c:v>
                </c:pt>
                <c:pt idx="520">
                  <c:v>-8.7097722634097856</c:v>
                </c:pt>
                <c:pt idx="521">
                  <c:v>-8.7194396582870546</c:v>
                </c:pt>
                <c:pt idx="522">
                  <c:v>-8.7291070606718115</c:v>
                </c:pt>
                <c:pt idx="523">
                  <c:v>-8.7387744705638326</c:v>
                </c:pt>
                <c:pt idx="524">
                  <c:v>-8.7484418879628922</c:v>
                </c:pt>
                <c:pt idx="525">
                  <c:v>-8.7581093128687666</c:v>
                </c:pt>
                <c:pt idx="526">
                  <c:v>-8.7677767452812301</c:v>
                </c:pt>
                <c:pt idx="527">
                  <c:v>-8.7774441852000589</c:v>
                </c:pt>
                <c:pt idx="528">
                  <c:v>-8.7871116326250274</c:v>
                </c:pt>
                <c:pt idx="529">
                  <c:v>-8.7967790875559118</c:v>
                </c:pt>
                <c:pt idx="530">
                  <c:v>-8.8064465499924864</c:v>
                </c:pt>
                <c:pt idx="531">
                  <c:v>-8.8161140199345258</c:v>
                </c:pt>
                <c:pt idx="532">
                  <c:v>-8.8257814973818061</c:v>
                </c:pt>
                <c:pt idx="533">
                  <c:v>-8.8354489823341016</c:v>
                </c:pt>
                <c:pt idx="534">
                  <c:v>-8.8451164747911886</c:v>
                </c:pt>
                <c:pt idx="535">
                  <c:v>-8.8547839747528432</c:v>
                </c:pt>
                <c:pt idx="536">
                  <c:v>-8.8644514822188398</c:v>
                </c:pt>
                <c:pt idx="537">
                  <c:v>-8.8741189971889529</c:v>
                </c:pt>
                <c:pt idx="538">
                  <c:v>-8.8837865196629586</c:v>
                </c:pt>
                <c:pt idx="539">
                  <c:v>-8.8934540496406314</c:v>
                </c:pt>
                <c:pt idx="540">
                  <c:v>-8.9031215871217473</c:v>
                </c:pt>
                <c:pt idx="541">
                  <c:v>-8.9127891321060808</c:v>
                </c:pt>
                <c:pt idx="542">
                  <c:v>-8.9224566845934081</c:v>
                </c:pt>
                <c:pt idx="543">
                  <c:v>-8.9321242445835036</c:v>
                </c:pt>
                <c:pt idx="544">
                  <c:v>-8.9417918120761435</c:v>
                </c:pt>
                <c:pt idx="545">
                  <c:v>-8.9514593870711021</c:v>
                </c:pt>
                <c:pt idx="546">
                  <c:v>-8.9611269695681539</c:v>
                </c:pt>
                <c:pt idx="547">
                  <c:v>-8.9707945595670768</c:v>
                </c:pt>
                <c:pt idx="548">
                  <c:v>-8.9804621570676435</c:v>
                </c:pt>
                <c:pt idx="549">
                  <c:v>-8.9901297620696301</c:v>
                </c:pt>
                <c:pt idx="550">
                  <c:v>-8.9997973745728128</c:v>
                </c:pt>
                <c:pt idx="551">
                  <c:v>-9.009464994576966</c:v>
                </c:pt>
                <c:pt idx="552">
                  <c:v>-9.0191326220818659</c:v>
                </c:pt>
                <c:pt idx="553">
                  <c:v>-9.028800257087287</c:v>
                </c:pt>
                <c:pt idx="554">
                  <c:v>-9.0384678995930052</c:v>
                </c:pt>
                <c:pt idx="555">
                  <c:v>-9.0481355495987952</c:v>
                </c:pt>
                <c:pt idx="556">
                  <c:v>-9.057803207104433</c:v>
                </c:pt>
                <c:pt idx="557">
                  <c:v>-9.067470872109693</c:v>
                </c:pt>
                <c:pt idx="558">
                  <c:v>-9.0771385446143515</c:v>
                </c:pt>
                <c:pt idx="559">
                  <c:v>-9.0868062246181829</c:v>
                </c:pt>
                <c:pt idx="560">
                  <c:v>-9.0964739121209632</c:v>
                </c:pt>
                <c:pt idx="561">
                  <c:v>-9.106141607122467</c:v>
                </c:pt>
                <c:pt idx="562">
                  <c:v>-9.1158093096224704</c:v>
                </c:pt>
                <c:pt idx="563">
                  <c:v>-9.1254770196207478</c:v>
                </c:pt>
                <c:pt idx="564">
                  <c:v>-9.1351447371170753</c:v>
                </c:pt>
                <c:pt idx="565">
                  <c:v>-9.1448124621112292</c:v>
                </c:pt>
                <c:pt idx="566">
                  <c:v>-9.1544801946029839</c:v>
                </c:pt>
                <c:pt idx="567">
                  <c:v>-9.1641479345921137</c:v>
                </c:pt>
                <c:pt idx="568">
                  <c:v>-9.1738156820783949</c:v>
                </c:pt>
                <c:pt idx="569">
                  <c:v>-9.1834834370616036</c:v>
                </c:pt>
                <c:pt idx="570">
                  <c:v>-9.1931511995415143</c:v>
                </c:pt>
                <c:pt idx="571">
                  <c:v>-9.202818969517903</c:v>
                </c:pt>
                <c:pt idx="572">
                  <c:v>-9.2124867469905443</c:v>
                </c:pt>
                <c:pt idx="573">
                  <c:v>-9.2221545319592124</c:v>
                </c:pt>
                <c:pt idx="574">
                  <c:v>-9.2318223244236854</c:v>
                </c:pt>
                <c:pt idx="575">
                  <c:v>-9.2414901243837377</c:v>
                </c:pt>
                <c:pt idx="576">
                  <c:v>-9.2511579318391437</c:v>
                </c:pt>
                <c:pt idx="577">
                  <c:v>-9.2608257467896795</c:v>
                </c:pt>
                <c:pt idx="578">
                  <c:v>-9.2704935692351214</c:v>
                </c:pt>
                <c:pt idx="579">
                  <c:v>-9.2801613991752436</c:v>
                </c:pt>
                <c:pt idx="580">
                  <c:v>-9.2898292366098207</c:v>
                </c:pt>
                <c:pt idx="581">
                  <c:v>-9.2994970815386306</c:v>
                </c:pt>
                <c:pt idx="582">
                  <c:v>-9.309164933961446</c:v>
                </c:pt>
                <c:pt idx="583">
                  <c:v>-9.3188327938780446</c:v>
                </c:pt>
                <c:pt idx="584">
                  <c:v>-9.3285006612882011</c:v>
                </c:pt>
                <c:pt idx="585">
                  <c:v>-9.3381685361916897</c:v>
                </c:pt>
                <c:pt idx="586">
                  <c:v>-9.3478364185882867</c:v>
                </c:pt>
                <c:pt idx="587">
                  <c:v>-9.3575043084777683</c:v>
                </c:pt>
                <c:pt idx="588">
                  <c:v>-9.3671722058599087</c:v>
                </c:pt>
                <c:pt idx="589">
                  <c:v>-9.3768401107344843</c:v>
                </c:pt>
                <c:pt idx="590">
                  <c:v>-9.3865080231012694</c:v>
                </c:pt>
                <c:pt idx="591">
                  <c:v>-9.3961759429600402</c:v>
                </c:pt>
                <c:pt idx="592">
                  <c:v>-9.4058438703105729</c:v>
                </c:pt>
                <c:pt idx="593">
                  <c:v>-9.4155118051526419</c:v>
                </c:pt>
                <c:pt idx="594">
                  <c:v>-9.4251797474860233</c:v>
                </c:pt>
                <c:pt idx="595">
                  <c:v>-9.4348476973104916</c:v>
                </c:pt>
                <c:pt idx="596">
                  <c:v>-9.4445156546258229</c:v>
                </c:pt>
                <c:pt idx="597">
                  <c:v>-9.4541836194317916</c:v>
                </c:pt>
                <c:pt idx="598">
                  <c:v>-9.463851591728174</c:v>
                </c:pt>
                <c:pt idx="599">
                  <c:v>-9.4735195715147462</c:v>
                </c:pt>
                <c:pt idx="600">
                  <c:v>-9.4831875587912826</c:v>
                </c:pt>
                <c:pt idx="601">
                  <c:v>-9.4928555535575594</c:v>
                </c:pt>
                <c:pt idx="602">
                  <c:v>-9.5025235558133527</c:v>
                </c:pt>
                <c:pt idx="603">
                  <c:v>-9.512191565558437</c:v>
                </c:pt>
                <c:pt idx="604">
                  <c:v>-9.5218595827925885</c:v>
                </c:pt>
                <c:pt idx="605">
                  <c:v>-9.5315276075155815</c:v>
                </c:pt>
                <c:pt idx="606">
                  <c:v>-9.5411956397271922</c:v>
                </c:pt>
                <c:pt idx="607">
                  <c:v>-9.5508636794271968</c:v>
                </c:pt>
                <c:pt idx="608">
                  <c:v>-9.5605317266153698</c:v>
                </c:pt>
                <c:pt idx="609">
                  <c:v>-9.5701997812914872</c:v>
                </c:pt>
                <c:pt idx="610">
                  <c:v>-9.5798678434553235</c:v>
                </c:pt>
                <c:pt idx="611">
                  <c:v>-9.5895359131066549</c:v>
                </c:pt>
                <c:pt idx="612">
                  <c:v>-9.5992039902452575</c:v>
                </c:pt>
                <c:pt idx="613">
                  <c:v>-9.6088720748709058</c:v>
                </c:pt>
                <c:pt idx="614">
                  <c:v>-9.6185401669833759</c:v>
                </c:pt>
                <c:pt idx="615">
                  <c:v>-9.628208266582444</c:v>
                </c:pt>
                <c:pt idx="616">
                  <c:v>-9.6378763736678845</c:v>
                </c:pt>
                <c:pt idx="617">
                  <c:v>-9.6475444882394736</c:v>
                </c:pt>
                <c:pt idx="618">
                  <c:v>-9.6572126102969875</c:v>
                </c:pt>
                <c:pt idx="619">
                  <c:v>-9.6668807398402006</c:v>
                </c:pt>
                <c:pt idx="620">
                  <c:v>-9.676548876868889</c:v>
                </c:pt>
                <c:pt idx="621">
                  <c:v>-9.6862170213828271</c:v>
                </c:pt>
                <c:pt idx="622">
                  <c:v>-9.6958851733817912</c:v>
                </c:pt>
                <c:pt idx="623">
                  <c:v>-9.7055533328655574</c:v>
                </c:pt>
                <c:pt idx="624">
                  <c:v>-9.7152214998339002</c:v>
                </c:pt>
                <c:pt idx="625">
                  <c:v>-9.7248896742865956</c:v>
                </c:pt>
                <c:pt idx="626">
                  <c:v>-9.7345578562234198</c:v>
                </c:pt>
                <c:pt idx="627">
                  <c:v>-9.7442260456441492</c:v>
                </c:pt>
                <c:pt idx="628">
                  <c:v>-9.753894242548558</c:v>
                </c:pt>
                <c:pt idx="629">
                  <c:v>-9.7635624469364206</c:v>
                </c:pt>
                <c:pt idx="630">
                  <c:v>-9.7732306588075151</c:v>
                </c:pt>
                <c:pt idx="631">
                  <c:v>-9.7828988781616157</c:v>
                </c:pt>
                <c:pt idx="632">
                  <c:v>-9.792567104998497</c:v>
                </c:pt>
                <c:pt idx="633">
                  <c:v>-9.8022353393179369</c:v>
                </c:pt>
                <c:pt idx="634">
                  <c:v>-9.8119035811197097</c:v>
                </c:pt>
                <c:pt idx="635">
                  <c:v>-9.8215718304035899</c:v>
                </c:pt>
                <c:pt idx="636">
                  <c:v>-9.8312400871693555</c:v>
                </c:pt>
                <c:pt idx="637">
                  <c:v>-9.8409083514167808</c:v>
                </c:pt>
                <c:pt idx="638">
                  <c:v>-9.850576623145642</c:v>
                </c:pt>
                <c:pt idx="639">
                  <c:v>-9.8602449023557135</c:v>
                </c:pt>
                <c:pt idx="640">
                  <c:v>-9.8699131890467715</c:v>
                </c:pt>
                <c:pt idx="641">
                  <c:v>-9.8795814832185922</c:v>
                </c:pt>
                <c:pt idx="642">
                  <c:v>-9.88924978487095</c:v>
                </c:pt>
                <c:pt idx="643">
                  <c:v>-9.8989180940036228</c:v>
                </c:pt>
                <c:pt idx="644">
                  <c:v>-9.908586410616385</c:v>
                </c:pt>
                <c:pt idx="645">
                  <c:v>-9.9182547347090111</c:v>
                </c:pt>
                <c:pt idx="646">
                  <c:v>-9.9279230662812772</c:v>
                </c:pt>
                <c:pt idx="647">
                  <c:v>-9.9375914053329595</c:v>
                </c:pt>
                <c:pt idx="648">
                  <c:v>-9.9472597518638342</c:v>
                </c:pt>
                <c:pt idx="649">
                  <c:v>-9.9569281058736756</c:v>
                </c:pt>
                <c:pt idx="650">
                  <c:v>-9.96659646736226</c:v>
                </c:pt>
                <c:pt idx="651">
                  <c:v>-9.9762648363293636</c:v>
                </c:pt>
                <c:pt idx="652">
                  <c:v>-9.9859332127747624</c:v>
                </c:pt>
                <c:pt idx="653">
                  <c:v>-9.995601596698231</c:v>
                </c:pt>
                <c:pt idx="654">
                  <c:v>-10.005269988099545</c:v>
                </c:pt>
                <c:pt idx="655">
                  <c:v>-10.01493838697848</c:v>
                </c:pt>
                <c:pt idx="656">
                  <c:v>-10.024606793334813</c:v>
                </c:pt>
                <c:pt idx="657">
                  <c:v>-10.034275207168319</c:v>
                </c:pt>
                <c:pt idx="658">
                  <c:v>-10.043943628478774</c:v>
                </c:pt>
                <c:pt idx="659">
                  <c:v>-10.053612057265951</c:v>
                </c:pt>
                <c:pt idx="660">
                  <c:v>-10.063280493529629</c:v>
                </c:pt>
                <c:pt idx="661">
                  <c:v>-10.072948937269581</c:v>
                </c:pt>
                <c:pt idx="662">
                  <c:v>-10.082617388485586</c:v>
                </c:pt>
                <c:pt idx="663">
                  <c:v>-10.092285847177417</c:v>
                </c:pt>
                <c:pt idx="664">
                  <c:v>-10.101954313344851</c:v>
                </c:pt>
                <c:pt idx="665">
                  <c:v>-10.111622786987663</c:v>
                </c:pt>
                <c:pt idx="666">
                  <c:v>-10.12129126810563</c:v>
                </c:pt>
                <c:pt idx="667">
                  <c:v>-10.130959756698525</c:v>
                </c:pt>
                <c:pt idx="668">
                  <c:v>-10.140628252766128</c:v>
                </c:pt>
                <c:pt idx="669">
                  <c:v>-10.15029675630821</c:v>
                </c:pt>
                <c:pt idx="670">
                  <c:v>-10.15996526732455</c:v>
                </c:pt>
                <c:pt idx="671">
                  <c:v>-10.169633785814922</c:v>
                </c:pt>
                <c:pt idx="672">
                  <c:v>-10.179302311779102</c:v>
                </c:pt>
                <c:pt idx="673">
                  <c:v>-10.188970845216867</c:v>
                </c:pt>
                <c:pt idx="674">
                  <c:v>-10.198639386127992</c:v>
                </c:pt>
                <c:pt idx="675">
                  <c:v>-10.208307934512252</c:v>
                </c:pt>
                <c:pt idx="676">
                  <c:v>-10.217976490369423</c:v>
                </c:pt>
                <c:pt idx="677">
                  <c:v>-10.227645053699282</c:v>
                </c:pt>
                <c:pt idx="678">
                  <c:v>-10.237313624501605</c:v>
                </c:pt>
                <c:pt idx="679">
                  <c:v>-10.246982202776165</c:v>
                </c:pt>
                <c:pt idx="680">
                  <c:v>-10.256650788522739</c:v>
                </c:pt>
                <c:pt idx="681">
                  <c:v>-10.266319381741104</c:v>
                </c:pt>
                <c:pt idx="682">
                  <c:v>-10.275987982431035</c:v>
                </c:pt>
                <c:pt idx="683">
                  <c:v>-10.285656590592307</c:v>
                </c:pt>
                <c:pt idx="684">
                  <c:v>-10.295325206224698</c:v>
                </c:pt>
                <c:pt idx="685">
                  <c:v>-10.304993829327982</c:v>
                </c:pt>
                <c:pt idx="686">
                  <c:v>-10.314662459901934</c:v>
                </c:pt>
                <c:pt idx="687">
                  <c:v>-10.324331097946331</c:v>
                </c:pt>
                <c:pt idx="688">
                  <c:v>-10.333999743460948</c:v>
                </c:pt>
                <c:pt idx="689">
                  <c:v>-10.343668396445564</c:v>
                </c:pt>
                <c:pt idx="690">
                  <c:v>-10.353337056899951</c:v>
                </c:pt>
                <c:pt idx="691">
                  <c:v>-10.363005724823886</c:v>
                </c:pt>
                <c:pt idx="692">
                  <c:v>-10.372674400217145</c:v>
                </c:pt>
                <c:pt idx="693">
                  <c:v>-10.382343083079503</c:v>
                </c:pt>
                <c:pt idx="694">
                  <c:v>-10.392011773410736</c:v>
                </c:pt>
                <c:pt idx="695">
                  <c:v>-10.401680471210621</c:v>
                </c:pt>
                <c:pt idx="696">
                  <c:v>-10.411349176478934</c:v>
                </c:pt>
                <c:pt idx="697">
                  <c:v>-10.421017889215449</c:v>
                </c:pt>
                <c:pt idx="698">
                  <c:v>-10.430686609419944</c:v>
                </c:pt>
                <c:pt idx="699">
                  <c:v>-10.440355337092193</c:v>
                </c:pt>
                <c:pt idx="700">
                  <c:v>-10.450024072231972</c:v>
                </c:pt>
                <c:pt idx="701">
                  <c:v>-10.459692814839057</c:v>
                </c:pt>
                <c:pt idx="702">
                  <c:v>-10.469361564913225</c:v>
                </c:pt>
                <c:pt idx="703">
                  <c:v>-10.47903032245425</c:v>
                </c:pt>
                <c:pt idx="704">
                  <c:v>-10.488699087461908</c:v>
                </c:pt>
                <c:pt idx="705">
                  <c:v>-10.498367859935977</c:v>
                </c:pt>
                <c:pt idx="706">
                  <c:v>-10.508036639876231</c:v>
                </c:pt>
                <c:pt idx="707">
                  <c:v>-10.517705427282447</c:v>
                </c:pt>
                <c:pt idx="708">
                  <c:v>-10.5273742221544</c:v>
                </c:pt>
                <c:pt idx="709">
                  <c:v>-10.537043024491865</c:v>
                </c:pt>
                <c:pt idx="710">
                  <c:v>-10.546711834294619</c:v>
                </c:pt>
                <c:pt idx="711">
                  <c:v>-10.556380651562439</c:v>
                </c:pt>
                <c:pt idx="712">
                  <c:v>-10.566049476295099</c:v>
                </c:pt>
                <c:pt idx="713">
                  <c:v>-10.575718308492377</c:v>
                </c:pt>
                <c:pt idx="714">
                  <c:v>-10.585387148154046</c:v>
                </c:pt>
                <c:pt idx="715">
                  <c:v>-10.595055995279884</c:v>
                </c:pt>
                <c:pt idx="716">
                  <c:v>-10.604724849869665</c:v>
                </c:pt>
                <c:pt idx="717">
                  <c:v>-10.614393711923167</c:v>
                </c:pt>
                <c:pt idx="718">
                  <c:v>-10.624062581440166</c:v>
                </c:pt>
                <c:pt idx="719">
                  <c:v>-10.633731458420437</c:v>
                </c:pt>
                <c:pt idx="720">
                  <c:v>-10.643400342863755</c:v>
                </c:pt>
                <c:pt idx="721">
                  <c:v>-10.653069234769898</c:v>
                </c:pt>
                <c:pt idx="722">
                  <c:v>-10.662738134138641</c:v>
                </c:pt>
                <c:pt idx="723">
                  <c:v>-10.672407040969759</c:v>
                </c:pt>
                <c:pt idx="724">
                  <c:v>-10.682075955263029</c:v>
                </c:pt>
                <c:pt idx="725">
                  <c:v>-10.691744877018225</c:v>
                </c:pt>
                <c:pt idx="726">
                  <c:v>-10.701413806235125</c:v>
                </c:pt>
                <c:pt idx="727">
                  <c:v>-10.711082742913504</c:v>
                </c:pt>
                <c:pt idx="728">
                  <c:v>-10.72075168705314</c:v>
                </c:pt>
                <c:pt idx="729">
                  <c:v>-10.730420638653806</c:v>
                </c:pt>
                <c:pt idx="730">
                  <c:v>-10.740089597715279</c:v>
                </c:pt>
                <c:pt idx="731">
                  <c:v>-10.749758564237336</c:v>
                </c:pt>
                <c:pt idx="732">
                  <c:v>-10.759427538219752</c:v>
                </c:pt>
                <c:pt idx="733">
                  <c:v>-10.769096519662302</c:v>
                </c:pt>
                <c:pt idx="734">
                  <c:v>-10.778765508564764</c:v>
                </c:pt>
                <c:pt idx="735">
                  <c:v>-10.788434504926911</c:v>
                </c:pt>
                <c:pt idx="736">
                  <c:v>-10.798103508748524</c:v>
                </c:pt>
                <c:pt idx="737">
                  <c:v>-10.807772520029374</c:v>
                </c:pt>
                <c:pt idx="738">
                  <c:v>-10.81744153876924</c:v>
                </c:pt>
                <c:pt idx="739">
                  <c:v>-10.827110564967896</c:v>
                </c:pt>
                <c:pt idx="740">
                  <c:v>-10.836779598625119</c:v>
                </c:pt>
                <c:pt idx="741">
                  <c:v>-10.846448639740684</c:v>
                </c:pt>
                <c:pt idx="742">
                  <c:v>-10.856117688314368</c:v>
                </c:pt>
                <c:pt idx="743">
                  <c:v>-10.865786744345947</c:v>
                </c:pt>
                <c:pt idx="744">
                  <c:v>-10.875455807835197</c:v>
                </c:pt>
                <c:pt idx="745">
                  <c:v>-10.885124878781893</c:v>
                </c:pt>
                <c:pt idx="746">
                  <c:v>-10.894793957185811</c:v>
                </c:pt>
                <c:pt idx="747">
                  <c:v>-10.90446304304673</c:v>
                </c:pt>
                <c:pt idx="748">
                  <c:v>-10.914132136364424</c:v>
                </c:pt>
                <c:pt idx="749">
                  <c:v>-10.923801237138667</c:v>
                </c:pt>
                <c:pt idx="750">
                  <c:v>-10.933470345369237</c:v>
                </c:pt>
                <c:pt idx="751">
                  <c:v>-10.94313946105591</c:v>
                </c:pt>
                <c:pt idx="752">
                  <c:v>-10.952808584198463</c:v>
                </c:pt>
                <c:pt idx="753">
                  <c:v>-10.96247771479667</c:v>
                </c:pt>
                <c:pt idx="754">
                  <c:v>-10.972146852850308</c:v>
                </c:pt>
                <c:pt idx="755">
                  <c:v>-10.981815998359153</c:v>
                </c:pt>
                <c:pt idx="756">
                  <c:v>-10.991485151322982</c:v>
                </c:pt>
                <c:pt idx="757">
                  <c:v>-11.001154311741569</c:v>
                </c:pt>
                <c:pt idx="758">
                  <c:v>-11.010823479614691</c:v>
                </c:pt>
                <c:pt idx="759">
                  <c:v>-11.020492654942124</c:v>
                </c:pt>
                <c:pt idx="760">
                  <c:v>-11.030161837723645</c:v>
                </c:pt>
                <c:pt idx="761">
                  <c:v>-11.039831027959028</c:v>
                </c:pt>
                <c:pt idx="762">
                  <c:v>-11.049500225648051</c:v>
                </c:pt>
                <c:pt idx="763">
                  <c:v>-11.05916943079049</c:v>
                </c:pt>
                <c:pt idx="764">
                  <c:v>-11.068838643386121</c:v>
                </c:pt>
                <c:pt idx="765">
                  <c:v>-11.078507863434718</c:v>
                </c:pt>
                <c:pt idx="766">
                  <c:v>-11.088177090936059</c:v>
                </c:pt>
                <c:pt idx="767">
                  <c:v>-11.097846325889918</c:v>
                </c:pt>
                <c:pt idx="768">
                  <c:v>-11.107515568296074</c:v>
                </c:pt>
                <c:pt idx="769">
                  <c:v>-11.117184818154302</c:v>
                </c:pt>
                <c:pt idx="770">
                  <c:v>-11.126854075464378</c:v>
                </c:pt>
                <c:pt idx="771">
                  <c:v>-11.136523340226077</c:v>
                </c:pt>
                <c:pt idx="772">
                  <c:v>-11.146192612439178</c:v>
                </c:pt>
                <c:pt idx="773">
                  <c:v>-11.155861892103454</c:v>
                </c:pt>
                <c:pt idx="774">
                  <c:v>-11.165531179218682</c:v>
                </c:pt>
                <c:pt idx="775">
                  <c:v>-11.175200473784638</c:v>
                </c:pt>
                <c:pt idx="776">
                  <c:v>-11.184869775801101</c:v>
                </c:pt>
                <c:pt idx="777">
                  <c:v>-11.194539085267843</c:v>
                </c:pt>
                <c:pt idx="778">
                  <c:v>-11.204208402184642</c:v>
                </c:pt>
                <c:pt idx="779">
                  <c:v>-11.213877726551274</c:v>
                </c:pt>
                <c:pt idx="780">
                  <c:v>-11.223547058367515</c:v>
                </c:pt>
                <c:pt idx="781">
                  <c:v>-11.233216397633141</c:v>
                </c:pt>
                <c:pt idx="782">
                  <c:v>-11.242885744347928</c:v>
                </c:pt>
                <c:pt idx="783">
                  <c:v>-11.252555098511653</c:v>
                </c:pt>
                <c:pt idx="784">
                  <c:v>-11.262224460124092</c:v>
                </c:pt>
                <c:pt idx="785">
                  <c:v>-11.27189382918502</c:v>
                </c:pt>
                <c:pt idx="786">
                  <c:v>-11.281563205694214</c:v>
                </c:pt>
                <c:pt idx="787">
                  <c:v>-11.291232589651448</c:v>
                </c:pt>
                <c:pt idx="788">
                  <c:v>-11.300901981056501</c:v>
                </c:pt>
                <c:pt idx="789">
                  <c:v>-11.310571379909149</c:v>
                </c:pt>
                <c:pt idx="790">
                  <c:v>-11.320240786209167</c:v>
                </c:pt>
                <c:pt idx="791">
                  <c:v>-11.329910199956332</c:v>
                </c:pt>
                <c:pt idx="792">
                  <c:v>-11.339579621150421</c:v>
                </c:pt>
                <c:pt idx="793">
                  <c:v>-11.349249049791206</c:v>
                </c:pt>
                <c:pt idx="794">
                  <c:v>-11.358918485878467</c:v>
                </c:pt>
                <c:pt idx="795">
                  <c:v>-11.36858792941198</c:v>
                </c:pt>
                <c:pt idx="796">
                  <c:v>-11.378257380391521</c:v>
                </c:pt>
                <c:pt idx="797">
                  <c:v>-11.387926838816865</c:v>
                </c:pt>
                <c:pt idx="798">
                  <c:v>-11.397596304687788</c:v>
                </c:pt>
                <c:pt idx="799">
                  <c:v>-11.407265778004067</c:v>
                </c:pt>
                <c:pt idx="800">
                  <c:v>-11.416935258765479</c:v>
                </c:pt>
                <c:pt idx="801">
                  <c:v>-11.426604746971799</c:v>
                </c:pt>
                <c:pt idx="802">
                  <c:v>-11.436274242622805</c:v>
                </c:pt>
                <c:pt idx="803">
                  <c:v>-11.445943745718271</c:v>
                </c:pt>
                <c:pt idx="804">
                  <c:v>-11.455613256257974</c:v>
                </c:pt>
                <c:pt idx="805">
                  <c:v>-11.465282774241691</c:v>
                </c:pt>
                <c:pt idx="806">
                  <c:v>-11.474952299669198</c:v>
                </c:pt>
                <c:pt idx="807">
                  <c:v>-11.48462183254027</c:v>
                </c:pt>
                <c:pt idx="808">
                  <c:v>-11.494291372854684</c:v>
                </c:pt>
                <c:pt idx="809">
                  <c:v>-11.503960920612217</c:v>
                </c:pt>
                <c:pt idx="810">
                  <c:v>-11.513630475812644</c:v>
                </c:pt>
                <c:pt idx="811">
                  <c:v>-11.523300038455741</c:v>
                </c:pt>
                <c:pt idx="812">
                  <c:v>-11.532969608541285</c:v>
                </c:pt>
                <c:pt idx="813">
                  <c:v>-11.542639186069051</c:v>
                </c:pt>
                <c:pt idx="814">
                  <c:v>-11.552308771038817</c:v>
                </c:pt>
                <c:pt idx="815">
                  <c:v>-11.561978363450358</c:v>
                </c:pt>
                <c:pt idx="816">
                  <c:v>-11.571647963303452</c:v>
                </c:pt>
                <c:pt idx="817">
                  <c:v>-11.581317570597873</c:v>
                </c:pt>
                <c:pt idx="818">
                  <c:v>-11.590987185333399</c:v>
                </c:pt>
                <c:pt idx="819">
                  <c:v>-11.600656807509806</c:v>
                </c:pt>
                <c:pt idx="820">
                  <c:v>-11.610326437126869</c:v>
                </c:pt>
                <c:pt idx="821">
                  <c:v>-11.619996074184366</c:v>
                </c:pt>
                <c:pt idx="822">
                  <c:v>-11.629665718682071</c:v>
                </c:pt>
                <c:pt idx="823">
                  <c:v>-11.639335370619763</c:v>
                </c:pt>
                <c:pt idx="824">
                  <c:v>-11.649005029997218</c:v>
                </c:pt>
                <c:pt idx="825">
                  <c:v>-11.658674696814211</c:v>
                </c:pt>
                <c:pt idx="826">
                  <c:v>-11.668344371070518</c:v>
                </c:pt>
                <c:pt idx="827">
                  <c:v>-11.678014052765915</c:v>
                </c:pt>
                <c:pt idx="828">
                  <c:v>-11.68768374190018</c:v>
                </c:pt>
                <c:pt idx="829">
                  <c:v>-11.697353438473089</c:v>
                </c:pt>
                <c:pt idx="830">
                  <c:v>-11.707023142484417</c:v>
                </c:pt>
                <c:pt idx="831">
                  <c:v>-11.716692853933942</c:v>
                </c:pt>
                <c:pt idx="832">
                  <c:v>-11.72636257282144</c:v>
                </c:pt>
                <c:pt idx="833">
                  <c:v>-11.736032299146686</c:v>
                </c:pt>
                <c:pt idx="834">
                  <c:v>-11.745702032909456</c:v>
                </c:pt>
                <c:pt idx="835">
                  <c:v>-11.755371774109529</c:v>
                </c:pt>
                <c:pt idx="836">
                  <c:v>-11.76504152274668</c:v>
                </c:pt>
                <c:pt idx="837">
                  <c:v>-11.774711278820684</c:v>
                </c:pt>
                <c:pt idx="838">
                  <c:v>-11.784381042331319</c:v>
                </c:pt>
                <c:pt idx="839">
                  <c:v>-11.794050813278361</c:v>
                </c:pt>
                <c:pt idx="840">
                  <c:v>-11.803720591661586</c:v>
                </c:pt>
                <c:pt idx="841">
                  <c:v>-11.81339037748077</c:v>
                </c:pt>
                <c:pt idx="842">
                  <c:v>-11.82306017073569</c:v>
                </c:pt>
                <c:pt idx="843">
                  <c:v>-11.832729971426122</c:v>
                </c:pt>
                <c:pt idx="844">
                  <c:v>-11.842399779551842</c:v>
                </c:pt>
                <c:pt idx="845">
                  <c:v>-11.852069595112628</c:v>
                </c:pt>
                <c:pt idx="846">
                  <c:v>-11.861739418108254</c:v>
                </c:pt>
                <c:pt idx="847">
                  <c:v>-11.871409248538498</c:v>
                </c:pt>
                <c:pt idx="848">
                  <c:v>-11.881079086403137</c:v>
                </c:pt>
                <c:pt idx="849">
                  <c:v>-11.890748931701944</c:v>
                </c:pt>
                <c:pt idx="850">
                  <c:v>-11.900418784434699</c:v>
                </c:pt>
                <c:pt idx="851">
                  <c:v>-11.910088644601176</c:v>
                </c:pt>
                <c:pt idx="852">
                  <c:v>-11.919758512201154</c:v>
                </c:pt>
                <c:pt idx="853">
                  <c:v>-11.929428387234408</c:v>
                </c:pt>
                <c:pt idx="854">
                  <c:v>-11.939098269700713</c:v>
                </c:pt>
                <c:pt idx="855">
                  <c:v>-11.948768159599847</c:v>
                </c:pt>
                <c:pt idx="856">
                  <c:v>-11.958438056931586</c:v>
                </c:pt>
                <c:pt idx="857">
                  <c:v>-11.968107961695706</c:v>
                </c:pt>
                <c:pt idx="858">
                  <c:v>-11.977777873891984</c:v>
                </c:pt>
                <c:pt idx="859">
                  <c:v>-11.987447793520197</c:v>
                </c:pt>
                <c:pt idx="860">
                  <c:v>-11.997117720580119</c:v>
                </c:pt>
                <c:pt idx="861">
                  <c:v>-12.00678765507153</c:v>
                </c:pt>
                <c:pt idx="862">
                  <c:v>-12.016457596994204</c:v>
                </c:pt>
                <c:pt idx="863">
                  <c:v>-12.026127546347919</c:v>
                </c:pt>
                <c:pt idx="864">
                  <c:v>-12.035797503132448</c:v>
                </c:pt>
                <c:pt idx="865">
                  <c:v>-12.045467467347571</c:v>
                </c:pt>
                <c:pt idx="866">
                  <c:v>-12.055137438993063</c:v>
                </c:pt>
                <c:pt idx="867">
                  <c:v>-12.0648074180687</c:v>
                </c:pt>
                <c:pt idx="868">
                  <c:v>-12.07447740457426</c:v>
                </c:pt>
                <c:pt idx="869">
                  <c:v>-12.084147398509518</c:v>
                </c:pt>
                <c:pt idx="870">
                  <c:v>-12.093817399874252</c:v>
                </c:pt>
                <c:pt idx="871">
                  <c:v>-12.103487408668236</c:v>
                </c:pt>
                <c:pt idx="872">
                  <c:v>-12.113157424891249</c:v>
                </c:pt>
                <c:pt idx="873">
                  <c:v>-12.122827448543065</c:v>
                </c:pt>
                <c:pt idx="874">
                  <c:v>-12.132497479623463</c:v>
                </c:pt>
                <c:pt idx="875">
                  <c:v>-12.142167518132219</c:v>
                </c:pt>
                <c:pt idx="876">
                  <c:v>-12.151837564069108</c:v>
                </c:pt>
                <c:pt idx="877">
                  <c:v>-12.161507617433907</c:v>
                </c:pt>
                <c:pt idx="878">
                  <c:v>-12.171177678226393</c:v>
                </c:pt>
                <c:pt idx="879">
                  <c:v>-12.180847746446341</c:v>
                </c:pt>
                <c:pt idx="880">
                  <c:v>-12.190517822093531</c:v>
                </c:pt>
                <c:pt idx="881">
                  <c:v>-12.200187905167736</c:v>
                </c:pt>
                <c:pt idx="882">
                  <c:v>-12.209857995668735</c:v>
                </c:pt>
                <c:pt idx="883">
                  <c:v>-12.219528093596301</c:v>
                </c:pt>
                <c:pt idx="884">
                  <c:v>-12.229198198950213</c:v>
                </c:pt>
                <c:pt idx="885">
                  <c:v>-12.238868311730247</c:v>
                </c:pt>
                <c:pt idx="886">
                  <c:v>-12.248538431936181</c:v>
                </c:pt>
                <c:pt idx="887">
                  <c:v>-12.258208559567789</c:v>
                </c:pt>
                <c:pt idx="888">
                  <c:v>-12.26787869462485</c:v>
                </c:pt>
                <c:pt idx="889">
                  <c:v>-12.277548837107139</c:v>
                </c:pt>
                <c:pt idx="890">
                  <c:v>-12.287218987014432</c:v>
                </c:pt>
                <c:pt idx="891">
                  <c:v>-12.296889144346506</c:v>
                </c:pt>
                <c:pt idx="892">
                  <c:v>-12.30655930910314</c:v>
                </c:pt>
                <c:pt idx="893">
                  <c:v>-12.316229481284106</c:v>
                </c:pt>
                <c:pt idx="894">
                  <c:v>-12.325899660889183</c:v>
                </c:pt>
                <c:pt idx="895">
                  <c:v>-12.335569847918148</c:v>
                </c:pt>
                <c:pt idx="896">
                  <c:v>-12.345240042370776</c:v>
                </c:pt>
                <c:pt idx="897">
                  <c:v>-12.354910244246845</c:v>
                </c:pt>
                <c:pt idx="898">
                  <c:v>-12.364580453546132</c:v>
                </c:pt>
                <c:pt idx="899">
                  <c:v>-12.374250670268413</c:v>
                </c:pt>
                <c:pt idx="900">
                  <c:v>-12.383920894413464</c:v>
                </c:pt>
                <c:pt idx="901">
                  <c:v>-12.393591125981061</c:v>
                </c:pt>
                <c:pt idx="902">
                  <c:v>-12.403261364970982</c:v>
                </c:pt>
                <c:pt idx="903">
                  <c:v>-12.412931611383001</c:v>
                </c:pt>
                <c:pt idx="904">
                  <c:v>-12.422601865216897</c:v>
                </c:pt>
                <c:pt idx="905">
                  <c:v>-12.432272126472448</c:v>
                </c:pt>
                <c:pt idx="906">
                  <c:v>-12.441942395149427</c:v>
                </c:pt>
                <c:pt idx="907">
                  <c:v>-12.451612671247613</c:v>
                </c:pt>
                <c:pt idx="908">
                  <c:v>-12.461282954766782</c:v>
                </c:pt>
                <c:pt idx="909">
                  <c:v>-12.47095324570671</c:v>
                </c:pt>
                <c:pt idx="910">
                  <c:v>-12.480623544067173</c:v>
                </c:pt>
                <c:pt idx="911">
                  <c:v>-12.49029384984795</c:v>
                </c:pt>
                <c:pt idx="912">
                  <c:v>-12.499964163048814</c:v>
                </c:pt>
                <c:pt idx="913">
                  <c:v>-12.509634483669545</c:v>
                </c:pt>
                <c:pt idx="914">
                  <c:v>-12.519304811709919</c:v>
                </c:pt>
                <c:pt idx="915">
                  <c:v>-12.52897514716971</c:v>
                </c:pt>
                <c:pt idx="916">
                  <c:v>-12.538645490048697</c:v>
                </c:pt>
                <c:pt idx="917">
                  <c:v>-12.548315840346657</c:v>
                </c:pt>
                <c:pt idx="918">
                  <c:v>-12.557986198063366</c:v>
                </c:pt>
                <c:pt idx="919">
                  <c:v>-12.5676565631986</c:v>
                </c:pt>
                <c:pt idx="920">
                  <c:v>-12.577326935752136</c:v>
                </c:pt>
                <c:pt idx="921">
                  <c:v>-12.586997315723751</c:v>
                </c:pt>
                <c:pt idx="922">
                  <c:v>-12.596667703113221</c:v>
                </c:pt>
                <c:pt idx="923">
                  <c:v>-12.606338097920323</c:v>
                </c:pt>
                <c:pt idx="924">
                  <c:v>-12.616008500144835</c:v>
                </c:pt>
                <c:pt idx="925">
                  <c:v>-12.625678909786531</c:v>
                </c:pt>
                <c:pt idx="926">
                  <c:v>-12.635349326845189</c:v>
                </c:pt>
                <c:pt idx="927">
                  <c:v>-12.645019751320586</c:v>
                </c:pt>
                <c:pt idx="928">
                  <c:v>-12.654690183212498</c:v>
                </c:pt>
                <c:pt idx="929">
                  <c:v>-12.664360622520702</c:v>
                </c:pt>
                <c:pt idx="930">
                  <c:v>-12.674031069244974</c:v>
                </c:pt>
                <c:pt idx="931">
                  <c:v>-12.683701523385091</c:v>
                </c:pt>
                <c:pt idx="932">
                  <c:v>-12.69337198494083</c:v>
                </c:pt>
                <c:pt idx="933">
                  <c:v>-12.703042453911968</c:v>
                </c:pt>
                <c:pt idx="934">
                  <c:v>-12.712712930298281</c:v>
                </c:pt>
                <c:pt idx="935">
                  <c:v>-12.722383414099546</c:v>
                </c:pt>
                <c:pt idx="936">
                  <c:v>-12.73205390531554</c:v>
                </c:pt>
                <c:pt idx="937">
                  <c:v>-12.741724403946039</c:v>
                </c:pt>
                <c:pt idx="938">
                  <c:v>-12.75139490999082</c:v>
                </c:pt>
                <c:pt idx="939">
                  <c:v>-12.76106542344966</c:v>
                </c:pt>
                <c:pt idx="940">
                  <c:v>-12.770735944322334</c:v>
                </c:pt>
                <c:pt idx="941">
                  <c:v>-12.780406472608622</c:v>
                </c:pt>
                <c:pt idx="942">
                  <c:v>-12.790077008308298</c:v>
                </c:pt>
                <c:pt idx="943">
                  <c:v>-12.79974755142114</c:v>
                </c:pt>
                <c:pt idx="944">
                  <c:v>-12.809418101946925</c:v>
                </c:pt>
                <c:pt idx="945">
                  <c:v>-12.819088659885429</c:v>
                </c:pt>
                <c:pt idx="946">
                  <c:v>-12.828759225236428</c:v>
                </c:pt>
                <c:pt idx="947">
                  <c:v>-12.8384297979997</c:v>
                </c:pt>
                <c:pt idx="948">
                  <c:v>-12.848100378175021</c:v>
                </c:pt>
                <c:pt idx="949">
                  <c:v>-12.857770965762167</c:v>
                </c:pt>
                <c:pt idx="950">
                  <c:v>-12.867441560760916</c:v>
                </c:pt>
                <c:pt idx="951">
                  <c:v>-12.877112163171045</c:v>
                </c:pt>
                <c:pt idx="952">
                  <c:v>-12.88678277299233</c:v>
                </c:pt>
                <c:pt idx="953">
                  <c:v>-12.896453390224547</c:v>
                </c:pt>
                <c:pt idx="954">
                  <c:v>-12.906124014867475</c:v>
                </c:pt>
                <c:pt idx="955">
                  <c:v>-12.915794646920888</c:v>
                </c:pt>
                <c:pt idx="956">
                  <c:v>-12.925465286384565</c:v>
                </c:pt>
                <c:pt idx="957">
                  <c:v>-12.935135933258282</c:v>
                </c:pt>
                <c:pt idx="958">
                  <c:v>-12.944806587541816</c:v>
                </c:pt>
                <c:pt idx="959">
                  <c:v>-12.954477249234943</c:v>
                </c:pt>
                <c:pt idx="960">
                  <c:v>-12.96414791833744</c:v>
                </c:pt>
                <c:pt idx="961">
                  <c:v>-12.973818594849085</c:v>
                </c:pt>
                <c:pt idx="962">
                  <c:v>-12.983489278769653</c:v>
                </c:pt>
                <c:pt idx="963">
                  <c:v>-12.993159970098922</c:v>
                </c:pt>
                <c:pt idx="964">
                  <c:v>-13.002830668836669</c:v>
                </c:pt>
                <c:pt idx="965">
                  <c:v>-13.012501374982669</c:v>
                </c:pt>
                <c:pt idx="966">
                  <c:v>-13.022172088536701</c:v>
                </c:pt>
                <c:pt idx="967">
                  <c:v>-13.03184280949854</c:v>
                </c:pt>
                <c:pt idx="968">
                  <c:v>-13.041513537867964</c:v>
                </c:pt>
                <c:pt idx="969">
                  <c:v>-13.051184273644749</c:v>
                </c:pt>
                <c:pt idx="970">
                  <c:v>-13.060855016828672</c:v>
                </c:pt>
                <c:pt idx="971">
                  <c:v>-13.070525767419509</c:v>
                </c:pt>
                <c:pt idx="972">
                  <c:v>-13.080196525417039</c:v>
                </c:pt>
                <c:pt idx="973">
                  <c:v>-13.089867290821037</c:v>
                </c:pt>
                <c:pt idx="974">
                  <c:v>-13.099538063631281</c:v>
                </c:pt>
                <c:pt idx="975">
                  <c:v>-13.109208843847547</c:v>
                </c:pt>
                <c:pt idx="976">
                  <c:v>-13.118879631469612</c:v>
                </c:pt>
                <c:pt idx="977">
                  <c:v>-13.128550426497254</c:v>
                </c:pt>
                <c:pt idx="978">
                  <c:v>-13.138221228930249</c:v>
                </c:pt>
                <c:pt idx="979">
                  <c:v>-13.147892038768372</c:v>
                </c:pt>
                <c:pt idx="980">
                  <c:v>-13.157562856011403</c:v>
                </c:pt>
                <c:pt idx="981">
                  <c:v>-13.167233680659116</c:v>
                </c:pt>
                <c:pt idx="982">
                  <c:v>-13.176904512711289</c:v>
                </c:pt>
                <c:pt idx="983">
                  <c:v>-13.186575352167699</c:v>
                </c:pt>
                <c:pt idx="984">
                  <c:v>-13.196246199028122</c:v>
                </c:pt>
                <c:pt idx="985">
                  <c:v>-13.205917053292337</c:v>
                </c:pt>
                <c:pt idx="986">
                  <c:v>-13.215587914960119</c:v>
                </c:pt>
                <c:pt idx="987">
                  <c:v>-13.225258784031247</c:v>
                </c:pt>
                <c:pt idx="988">
                  <c:v>-13.234929660505495</c:v>
                </c:pt>
                <c:pt idx="989">
                  <c:v>-13.244600544382642</c:v>
                </c:pt>
                <c:pt idx="990">
                  <c:v>-13.254271435662464</c:v>
                </c:pt>
                <c:pt idx="991">
                  <c:v>-13.263942334344737</c:v>
                </c:pt>
                <c:pt idx="992">
                  <c:v>-13.27361324042924</c:v>
                </c:pt>
                <c:pt idx="993">
                  <c:v>-13.28328415391575</c:v>
                </c:pt>
                <c:pt idx="994">
                  <c:v>-13.292955074804041</c:v>
                </c:pt>
                <c:pt idx="995">
                  <c:v>-13.302626003093891</c:v>
                </c:pt>
                <c:pt idx="996">
                  <c:v>-13.312296938785078</c:v>
                </c:pt>
                <c:pt idx="997">
                  <c:v>-13.321967881877379</c:v>
                </c:pt>
                <c:pt idx="998">
                  <c:v>-13.331638832370571</c:v>
                </c:pt>
                <c:pt idx="999">
                  <c:v>-13.341309790264429</c:v>
                </c:pt>
                <c:pt idx="1000">
                  <c:v>-13.350980755558732</c:v>
                </c:pt>
              </c:numCache>
            </c:numRef>
          </c:yVal>
          <c:smooth val="1"/>
          <c:extLst>
            <c:ext xmlns:c16="http://schemas.microsoft.com/office/drawing/2014/chart" uri="{C3380CC4-5D6E-409C-BE32-E72D297353CC}">
              <c16:uniqueId val="{00000002-432A-49A9-9499-7ED3E32DDB07}"/>
            </c:ext>
          </c:extLst>
        </c:ser>
        <c:ser>
          <c:idx val="4"/>
          <c:order val="3"/>
          <c:tx>
            <c:strRef>
              <c:f>Trajecto!$B$110</c:f>
              <c:strCache>
                <c:ptCount val="1"/>
              </c:strCache>
            </c:strRef>
          </c:tx>
          <c:spPr>
            <a:ln w="25400">
              <a:solidFill>
                <a:srgbClr val="FF6600"/>
              </a:solidFill>
              <a:prstDash val="solid"/>
            </a:ln>
          </c:spPr>
          <c:marker>
            <c:symbol val="none"/>
          </c:marker>
          <c:dLbls>
            <c:dLbl>
              <c:idx val="1"/>
              <c:spPr>
                <a:noFill/>
                <a:ln w="25400">
                  <a:noFill/>
                </a:ln>
              </c:spPr>
              <c:txPr>
                <a:bodyPr/>
                <a:lstStyle/>
                <a:p>
                  <a:pPr>
                    <a:defRPr sz="700" b="1" i="0" u="none" strike="noStrike" baseline="0">
                      <a:solidFill>
                        <a:srgbClr val="FF66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432A-49A9-9499-7ED3E32DDB0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Trajecto!$B$141:$B$147</c:f>
              <c:numCache>
                <c:formatCode>0</c:formatCode>
                <c:ptCount val="7"/>
                <c:pt idx="0">
                  <c:v>0</c:v>
                </c:pt>
                <c:pt idx="1">
                  <c:v>0</c:v>
                </c:pt>
                <c:pt idx="2">
                  <c:v>0</c:v>
                </c:pt>
                <c:pt idx="3">
                  <c:v>0</c:v>
                </c:pt>
                <c:pt idx="4">
                  <c:v>0</c:v>
                </c:pt>
                <c:pt idx="5">
                  <c:v>0</c:v>
                </c:pt>
                <c:pt idx="6">
                  <c:v>0</c:v>
                </c:pt>
              </c:numCache>
            </c:numRef>
          </c:xVal>
          <c:yVal>
            <c:numRef>
              <c:f>Trajecto!$C$141:$C$147</c:f>
              <c:numCache>
                <c:formatCode>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4-432A-49A9-9499-7ED3E32DDB07}"/>
            </c:ext>
          </c:extLst>
        </c:ser>
        <c:ser>
          <c:idx val="5"/>
          <c:order val="4"/>
          <c:tx>
            <c:strRef>
              <c:f>Trajecto!$B$107</c:f>
              <c:strCache>
                <c:ptCount val="1"/>
                <c:pt idx="0">
                  <c:v>Phase ascendante</c:v>
                </c:pt>
              </c:strCache>
            </c:strRef>
          </c:tx>
          <c:spPr>
            <a:ln w="25400">
              <a:solidFill>
                <a:srgbClr val="000080"/>
              </a:solidFill>
              <a:prstDash val="solid"/>
            </a:ln>
          </c:spPr>
          <c:marker>
            <c:symbol val="none"/>
          </c:marker>
          <c:xVal>
            <c:numRef>
              <c:f>Calculs!$J$4:$J$1004</c:f>
              <c:numCache>
                <c:formatCode>0.00</c:formatCode>
                <c:ptCount val="1001"/>
                <c:pt idx="0">
                  <c:v>98.964688107976272</c:v>
                </c:pt>
                <c:pt idx="1">
                  <c:v>99.334522222300691</c:v>
                </c:pt>
                <c:pt idx="2">
                  <c:v>99.703764247284326</c:v>
                </c:pt>
                <c:pt idx="3">
                  <c:v>100.07241651100099</c:v>
                </c:pt>
                <c:pt idx="4">
                  <c:v>100.44048132829238</c:v>
                </c:pt>
                <c:pt idx="5">
                  <c:v>100.80796100086987</c:v>
                </c:pt>
                <c:pt idx="6">
                  <c:v>101.17485781741556</c:v>
                </c:pt>
                <c:pt idx="7">
                  <c:v>101.54117405368216</c:v>
                </c:pt>
                <c:pt idx="8">
                  <c:v>101.90691197259203</c:v>
                </c:pt>
                <c:pt idx="9">
                  <c:v>102.27207382433525</c:v>
                </c:pt>
                <c:pt idx="10">
                  <c:v>102.63666184646672</c:v>
                </c:pt>
                <c:pt idx="11">
                  <c:v>103.00067825999349</c:v>
                </c:pt>
                <c:pt idx="12">
                  <c:v>103.36412526557487</c:v>
                </c:pt>
                <c:pt idx="13">
                  <c:v>103.72700504785658</c:v>
                </c:pt>
                <c:pt idx="14">
                  <c:v>104.08931977968683</c:v>
                </c:pt>
                <c:pt idx="15">
                  <c:v>104.45107162220215</c:v>
                </c:pt>
                <c:pt idx="16">
                  <c:v>104.81226272491242</c:v>
                </c:pt>
                <c:pt idx="17">
                  <c:v>105.17289522578515</c:v>
                </c:pt>
                <c:pt idx="18">
                  <c:v>105.53297125132904</c:v>
                </c:pt>
                <c:pt idx="19">
                  <c:v>105.89249291667666</c:v>
                </c:pt>
                <c:pt idx="20">
                  <c:v>106.25146232566647</c:v>
                </c:pt>
                <c:pt idx="21">
                  <c:v>106.60988157294238</c:v>
                </c:pt>
                <c:pt idx="22">
                  <c:v>106.96775274599791</c:v>
                </c:pt>
                <c:pt idx="23">
                  <c:v>107.32507792312646</c:v>
                </c:pt>
                <c:pt idx="24">
                  <c:v>107.68185917142733</c:v>
                </c:pt>
                <c:pt idx="25">
                  <c:v>108.03809854688733</c:v>
                </c:pt>
                <c:pt idx="26">
                  <c:v>108.39379809446156</c:v>
                </c:pt>
                <c:pt idx="27">
                  <c:v>108.74895984815356</c:v>
                </c:pt>
                <c:pt idx="28">
                  <c:v>109.10358583109466</c:v>
                </c:pt>
                <c:pt idx="29">
                  <c:v>109.45767805562264</c:v>
                </c:pt>
                <c:pt idx="30">
                  <c:v>109.81123852335966</c:v>
                </c:pt>
                <c:pt idx="31">
                  <c:v>110.16426922528956</c:v>
                </c:pt>
                <c:pt idx="32">
                  <c:v>110.51677214183431</c:v>
                </c:pt>
                <c:pt idx="33">
                  <c:v>110.86874924292995</c:v>
                </c:pt>
                <c:pt idx="34">
                  <c:v>111.22020248810172</c:v>
                </c:pt>
                <c:pt idx="35">
                  <c:v>111.57113382653857</c:v>
                </c:pt>
                <c:pt idx="36">
                  <c:v>111.92154519716701</c:v>
                </c:pt>
                <c:pt idx="37">
                  <c:v>112.27143852872423</c:v>
                </c:pt>
                <c:pt idx="38">
                  <c:v>112.6208157398307</c:v>
                </c:pt>
                <c:pt idx="39">
                  <c:v>112.969678739062</c:v>
                </c:pt>
                <c:pt idx="40">
                  <c:v>113.31802942502007</c:v>
                </c:pt>
                <c:pt idx="41">
                  <c:v>113.66586968640379</c:v>
                </c:pt>
                <c:pt idx="42">
                  <c:v>114.01320140207901</c:v>
                </c:pt>
                <c:pt idx="43">
                  <c:v>114.36002644114785</c:v>
                </c:pt>
                <c:pt idx="44">
                  <c:v>114.70634666301754</c:v>
                </c:pt>
                <c:pt idx="45">
                  <c:v>115.05216391746848</c:v>
                </c:pt>
                <c:pt idx="46">
                  <c:v>115.39748004472183</c:v>
                </c:pt>
                <c:pt idx="47">
                  <c:v>115.74229687550647</c:v>
                </c:pt>
                <c:pt idx="48">
                  <c:v>116.08661623112533</c:v>
                </c:pt>
                <c:pt idx="49">
                  <c:v>116.43043992352123</c:v>
                </c:pt>
                <c:pt idx="50">
                  <c:v>116.77376975534206</c:v>
                </c:pt>
                <c:pt idx="51">
                  <c:v>117.11660752000542</c:v>
                </c:pt>
                <c:pt idx="52">
                  <c:v>117.45895500176273</c:v>
                </c:pt>
                <c:pt idx="53">
                  <c:v>117.80081397576276</c:v>
                </c:pt>
                <c:pt idx="54">
                  <c:v>118.14218620811459</c:v>
                </c:pt>
                <c:pt idx="55">
                  <c:v>118.48307345595003</c:v>
                </c:pt>
                <c:pt idx="56">
                  <c:v>118.82347746748556</c:v>
                </c:pt>
                <c:pt idx="57">
                  <c:v>119.16339998208363</c:v>
                </c:pt>
                <c:pt idx="58">
                  <c:v>119.50284273031356</c:v>
                </c:pt>
                <c:pt idx="59">
                  <c:v>119.8418074340118</c:v>
                </c:pt>
                <c:pt idx="60">
                  <c:v>120.18029580634175</c:v>
                </c:pt>
                <c:pt idx="61">
                  <c:v>120.51830955185302</c:v>
                </c:pt>
                <c:pt idx="62">
                  <c:v>120.85585036654024</c:v>
                </c:pt>
                <c:pt idx="63">
                  <c:v>121.19291993790127</c:v>
                </c:pt>
                <c:pt idx="64">
                  <c:v>121.52951994499506</c:v>
                </c:pt>
                <c:pt idx="65">
                  <c:v>121.86565205849888</c:v>
                </c:pt>
                <c:pt idx="66">
                  <c:v>122.20131794076515</c:v>
                </c:pt>
                <c:pt idx="67">
                  <c:v>122.53651924587773</c:v>
                </c:pt>
                <c:pt idx="68">
                  <c:v>122.87125761970779</c:v>
                </c:pt>
                <c:pt idx="69">
                  <c:v>123.20553469996918</c:v>
                </c:pt>
                <c:pt idx="70">
                  <c:v>123.53935211627332</c:v>
                </c:pt>
                <c:pt idx="71">
                  <c:v>123.87271149018366</c:v>
                </c:pt>
                <c:pt idx="72">
                  <c:v>124.20561443526965</c:v>
                </c:pt>
                <c:pt idx="73">
                  <c:v>124.53806255716032</c:v>
                </c:pt>
                <c:pt idx="74">
                  <c:v>124.87005745359728</c:v>
                </c:pt>
                <c:pt idx="75">
                  <c:v>125.20160071448747</c:v>
                </c:pt>
                <c:pt idx="76">
                  <c:v>125.53269392195526</c:v>
                </c:pt>
                <c:pt idx="77">
                  <c:v>125.8633386503943</c:v>
                </c:pt>
                <c:pt idx="78">
                  <c:v>126.19353646651882</c:v>
                </c:pt>
                <c:pt idx="79">
                  <c:v>126.52328892941455</c:v>
                </c:pt>
                <c:pt idx="80">
                  <c:v>126.85259759058921</c:v>
                </c:pt>
                <c:pt idx="81">
                  <c:v>127.18146399402259</c:v>
                </c:pt>
                <c:pt idx="82">
                  <c:v>127.5098896762162</c:v>
                </c:pt>
                <c:pt idx="83">
                  <c:v>127.83787616624254</c:v>
                </c:pt>
                <c:pt idx="84">
                  <c:v>128.16542498579392</c:v>
                </c:pt>
                <c:pt idx="85">
                  <c:v>128.49253764923094</c:v>
                </c:pt>
                <c:pt idx="86">
                  <c:v>128.81921566363047</c:v>
                </c:pt>
                <c:pt idx="87">
                  <c:v>129.14546052883341</c:v>
                </c:pt>
                <c:pt idx="88">
                  <c:v>129.47127373749188</c:v>
                </c:pt>
                <c:pt idx="89">
                  <c:v>129.79665677511608</c:v>
                </c:pt>
                <c:pt idx="90">
                  <c:v>130.12161112012086</c:v>
                </c:pt>
                <c:pt idx="91">
                  <c:v>130.44613824387179</c:v>
                </c:pt>
                <c:pt idx="92">
                  <c:v>130.7702396107309</c:v>
                </c:pt>
                <c:pt idx="93">
                  <c:v>131.09391667810209</c:v>
                </c:pt>
                <c:pt idx="94">
                  <c:v>131.41717089647611</c:v>
                </c:pt>
                <c:pt idx="95">
                  <c:v>131.74000370947519</c:v>
                </c:pt>
                <c:pt idx="96">
                  <c:v>132.06241655389738</c:v>
                </c:pt>
                <c:pt idx="97">
                  <c:v>132.38441085976044</c:v>
                </c:pt>
                <c:pt idx="98">
                  <c:v>132.70598805034538</c:v>
                </c:pt>
                <c:pt idx="99">
                  <c:v>133.02714954223975</c:v>
                </c:pt>
                <c:pt idx="100">
                  <c:v>133.34789674538047</c:v>
                </c:pt>
                <c:pt idx="101">
                  <c:v>136.53269157921852</c:v>
                </c:pt>
                <c:pt idx="102">
                  <c:v>139.67695883210803</c:v>
                </c:pt>
                <c:pt idx="103">
                  <c:v>142.78204878969362</c:v>
                </c:pt>
                <c:pt idx="104">
                  <c:v>145.84925042247235</c:v>
                </c:pt>
                <c:pt idx="105">
                  <c:v>148.87979514229718</c:v>
                </c:pt>
                <c:pt idx="106">
                  <c:v>151.87486027486506</c:v>
                </c:pt>
                <c:pt idx="107">
                  <c:v>154.83557227369886</c:v>
                </c:pt>
                <c:pt idx="108">
                  <c:v>157.76300969848924</c:v>
                </c:pt>
                <c:pt idx="109">
                  <c:v>160.65820597832757</c:v>
                </c:pt>
                <c:pt idx="110">
                  <c:v>163.52215197829582</c:v>
                </c:pt>
                <c:pt idx="111">
                  <c:v>166.35579838604843</c:v>
                </c:pt>
                <c:pt idx="112">
                  <c:v>169.16005793339585</c:v>
                </c:pt>
                <c:pt idx="113">
                  <c:v>171.93580746645253</c:v>
                </c:pt>
                <c:pt idx="114">
                  <c:v>174.68388987662399</c:v>
                </c:pt>
                <c:pt idx="115">
                  <c:v>177.40511590355632</c:v>
                </c:pt>
                <c:pt idx="116">
                  <c:v>180.10026582014351</c:v>
                </c:pt>
                <c:pt idx="117">
                  <c:v>182.77009100876609</c:v>
                </c:pt>
                <c:pt idx="118">
                  <c:v>185.41531543710866</c:v>
                </c:pt>
                <c:pt idx="119">
                  <c:v>188.03663704116127</c:v>
                </c:pt>
                <c:pt idx="120">
                  <c:v>190.63472902234204</c:v>
                </c:pt>
                <c:pt idx="121">
                  <c:v>193.21024106507673</c:v>
                </c:pt>
                <c:pt idx="122">
                  <c:v>195.76380048062799</c:v>
                </c:pt>
                <c:pt idx="123">
                  <c:v>198.29601328247676</c:v>
                </c:pt>
                <c:pt idx="124">
                  <c:v>200.80746519811473</c:v>
                </c:pt>
                <c:pt idx="125">
                  <c:v>203.29872262170446</c:v>
                </c:pt>
                <c:pt idx="126">
                  <c:v>205.77033351169982</c:v>
                </c:pt>
                <c:pt idx="127">
                  <c:v>208.22282823718777</c:v>
                </c:pt>
                <c:pt idx="128">
                  <c:v>210.65672037641173</c:v>
                </c:pt>
                <c:pt idx="129">
                  <c:v>213.07250747066232</c:v>
                </c:pt>
                <c:pt idx="130">
                  <c:v>215.47067173647179</c:v>
                </c:pt>
                <c:pt idx="131">
                  <c:v>217.85168073881979</c:v>
                </c:pt>
                <c:pt idx="132">
                  <c:v>220.21598802784982</c:v>
                </c:pt>
                <c:pt idx="133">
                  <c:v>222.56403374140476</c:v>
                </c:pt>
                <c:pt idx="134">
                  <c:v>224.89624517551525</c:v>
                </c:pt>
                <c:pt idx="135">
                  <c:v>227.21303732481383</c:v>
                </c:pt>
                <c:pt idx="136">
                  <c:v>229.51481339470064</c:v>
                </c:pt>
                <c:pt idx="137">
                  <c:v>231.80196528695063</c:v>
                </c:pt>
                <c:pt idx="138">
                  <c:v>234.07487406032732</c:v>
                </c:pt>
                <c:pt idx="139">
                  <c:v>236.33391036765275</c:v>
                </c:pt>
                <c:pt idx="140">
                  <c:v>238.57943487067686</c:v>
                </c:pt>
                <c:pt idx="141">
                  <c:v>240.81179863399018</c:v>
                </c:pt>
                <c:pt idx="142">
                  <c:v>243.03134349913284</c:v>
                </c:pt>
                <c:pt idx="143">
                  <c:v>245.23840243996733</c:v>
                </c:pt>
                <c:pt idx="144">
                  <c:v>247.43329990030287</c:v>
                </c:pt>
                <c:pt idx="145">
                  <c:v>249.61635211468572</c:v>
                </c:pt>
                <c:pt idx="146">
                  <c:v>251.78786741319973</c:v>
                </c:pt>
                <c:pt idx="147">
                  <c:v>253.94814651105634</c:v>
                </c:pt>
                <c:pt idx="148">
                  <c:v>256.09748278369182</c:v>
                </c:pt>
                <c:pt idx="149">
                  <c:v>258.23616252803146</c:v>
                </c:pt>
                <c:pt idx="150">
                  <c:v>260.36446521052426</c:v>
                </c:pt>
                <c:pt idx="151">
                  <c:v>262.48266370250008</c:v>
                </c:pt>
                <c:pt idx="152">
                  <c:v>264.59102450334956</c:v>
                </c:pt>
                <c:pt idx="153">
                  <c:v>266.68980795197837</c:v>
                </c:pt>
                <c:pt idx="154">
                  <c:v>268.77926842694018</c:v>
                </c:pt>
                <c:pt idx="155">
                  <c:v>270.8596545356059</c:v>
                </c:pt>
                <c:pt idx="156">
                  <c:v>272.9312092926815</c:v>
                </c:pt>
                <c:pt idx="157">
                  <c:v>274.99417028834102</c:v>
                </c:pt>
                <c:pt idx="158">
                  <c:v>277.04876984619654</c:v>
                </c:pt>
                <c:pt idx="159">
                  <c:v>279.09523517128139</c:v>
                </c:pt>
                <c:pt idx="160">
                  <c:v>281.13378848817683</c:v>
                </c:pt>
                <c:pt idx="161">
                  <c:v>283.16464716936554</c:v>
                </c:pt>
                <c:pt idx="162">
                  <c:v>285.18802385384714</c:v>
                </c:pt>
                <c:pt idx="163">
                  <c:v>287.20412655600114</c:v>
                </c:pt>
                <c:pt idx="164">
                  <c:v>289.21315876463115</c:v>
                </c:pt>
                <c:pt idx="165">
                  <c:v>291.21531953207068</c:v>
                </c:pt>
                <c:pt idx="166">
                  <c:v>293.21080355317366</c:v>
                </c:pt>
                <c:pt idx="167">
                  <c:v>295.19980123395527</c:v>
                </c:pt>
                <c:pt idx="168">
                  <c:v>297.18249874958599</c:v>
                </c:pt>
                <c:pt idx="169">
                  <c:v>299.15907809137809</c:v>
                </c:pt>
                <c:pt idx="170">
                  <c:v>301.12971710233666</c:v>
                </c:pt>
                <c:pt idx="171">
                  <c:v>303.09458950077845</c:v>
                </c:pt>
                <c:pt idx="172">
                  <c:v>305.05386489145189</c:v>
                </c:pt>
                <c:pt idx="173">
                  <c:v>307.00770876352095</c:v>
                </c:pt>
                <c:pt idx="174">
                  <c:v>308.95628247470756</c:v>
                </c:pt>
                <c:pt idx="175">
                  <c:v>310.89974322082338</c:v>
                </c:pt>
                <c:pt idx="176">
                  <c:v>312.83824398986462</c:v>
                </c:pt>
                <c:pt idx="177">
                  <c:v>314.77193349980206</c:v>
                </c:pt>
                <c:pt idx="178">
                  <c:v>316.70095611917264</c:v>
                </c:pt>
                <c:pt idx="179">
                  <c:v>318.62545176958355</c:v>
                </c:pt>
                <c:pt idx="180">
                  <c:v>320.54555580927905</c:v>
                </c:pt>
                <c:pt idx="181">
                  <c:v>322.46139889701254</c:v>
                </c:pt>
                <c:pt idx="182">
                  <c:v>324.37310683562049</c:v>
                </c:pt>
                <c:pt idx="183">
                  <c:v>326.28080039493409</c:v>
                </c:pt>
                <c:pt idx="184">
                  <c:v>328.18459511400226</c:v>
                </c:pt>
                <c:pt idx="185">
                  <c:v>330.0846010830586</c:v>
                </c:pt>
                <c:pt idx="186">
                  <c:v>331.98092270626137</c:v>
                </c:pt>
                <c:pt idx="187">
                  <c:v>333.87365844698127</c:v>
                </c:pt>
                <c:pt idx="188">
                  <c:v>335.76290055831367</c:v>
                </c:pt>
                <c:pt idx="189">
                  <c:v>337.64873480253556</c:v>
                </c:pt>
                <c:pt idx="190">
                  <c:v>339.53124016438824</c:v>
                </c:pt>
                <c:pt idx="191">
                  <c:v>341.41048856428432</c:v>
                </c:pt>
                <c:pt idx="192">
                  <c:v>343.28654457873182</c:v>
                </c:pt>
                <c:pt idx="193">
                  <c:v>345.15946517632494</c:v>
                </c:pt>
                <c:pt idx="194">
                  <c:v>347.02929947843893</c:v>
                </c:pt>
                <c:pt idx="195">
                  <c:v>348.89608855413923</c:v>
                </c:pt>
                <c:pt idx="196">
                  <c:v>350.75986525864886</c:v>
                </c:pt>
                <c:pt idx="197">
                  <c:v>352.62065412391956</c:v>
                </c:pt>
                <c:pt idx="198">
                  <c:v>354.47847130839716</c:v>
                </c:pt>
                <c:pt idx="199">
                  <c:v>356.33332461101747</c:v>
                </c:pt>
                <c:pt idx="200">
                  <c:v>358.18521355195759</c:v>
                </c:pt>
                <c:pt idx="201">
                  <c:v>360.03412951991385</c:v>
                </c:pt>
                <c:pt idx="202">
                  <c:v>361.88005598293637</c:v>
                </c:pt>
                <c:pt idx="203">
                  <c:v>363.7229687573755</c:v>
                </c:pt>
                <c:pt idx="204">
                  <c:v>365.56283632749751</c:v>
                </c:pt>
                <c:pt idx="205">
                  <c:v>367.39962020694549</c:v>
                </c:pt>
                <c:pt idx="206">
                  <c:v>369.23327533250665</c:v>
                </c:pt>
                <c:pt idx="207">
                  <c:v>371.06375048056799</c:v>
                </c:pt>
                <c:pt idx="208">
                  <c:v>372.89098869710108</c:v>
                </c:pt>
                <c:pt idx="209">
                  <c:v>374.71492773288338</c:v>
                </c:pt>
                <c:pt idx="210">
                  <c:v>376.535500476788</c:v>
                </c:pt>
                <c:pt idx="211">
                  <c:v>378.35263538122251</c:v>
                </c:pt>
                <c:pt idx="212">
                  <c:v>380.16625687505837</c:v>
                </c:pt>
                <c:pt idx="213">
                  <c:v>381.97628576057923</c:v>
                </c:pt>
                <c:pt idx="214">
                  <c:v>383.78263959203906</c:v>
                </c:pt>
                <c:pt idx="215">
                  <c:v>385.58523303432855</c:v>
                </c:pt>
                <c:pt idx="216">
                  <c:v>387.38397820099539</c:v>
                </c:pt>
                <c:pt idx="217">
                  <c:v>389.1787849714533</c:v>
                </c:pt>
                <c:pt idx="218">
                  <c:v>390.96956128766641</c:v>
                </c:pt>
                <c:pt idx="219">
                  <c:v>392.75621343092212</c:v>
                </c:pt>
                <c:pt idx="220">
                  <c:v>394.53864627953243</c:v>
                </c:pt>
                <c:pt idx="221">
                  <c:v>396.31676354844967</c:v>
                </c:pt>
                <c:pt idx="222">
                  <c:v>398.09046801186241</c:v>
                </c:pt>
                <c:pt idx="223">
                  <c:v>399.85966170987075</c:v>
                </c:pt>
                <c:pt idx="224">
                  <c:v>401.62424614033631</c:v>
                </c:pt>
                <c:pt idx="225">
                  <c:v>403.38412243697485</c:v>
                </c:pt>
                <c:pt idx="226">
                  <c:v>405.13919153471227</c:v>
                </c:pt>
                <c:pt idx="227">
                  <c:v>406.88935432326991</c:v>
                </c:pt>
                <c:pt idx="228">
                  <c:v>408.63451178988117</c:v>
                </c:pt>
                <c:pt idx="229">
                  <c:v>410.37456515197715</c:v>
                </c:pt>
                <c:pt idx="230">
                  <c:v>412.10941598061311</c:v>
                </c:pt>
                <c:pt idx="231">
                  <c:v>413.83896631534469</c:v>
                </c:pt>
                <c:pt idx="232">
                  <c:v>415.5631187712014</c:v>
                </c:pt>
                <c:pt idx="233">
                  <c:v>417.28177663834805</c:v>
                </c:pt>
                <c:pt idx="234">
                  <c:v>418.99484397497093</c:v>
                </c:pt>
                <c:pt idx="235">
                  <c:v>420.70222569387761</c:v>
                </c:pt>
                <c:pt idx="236">
                  <c:v>422.40382764325221</c:v>
                </c:pt>
                <c:pt idx="237">
                  <c:v>424.09955668196858</c:v>
                </c:pt>
                <c:pt idx="238">
                  <c:v>425.78932074982544</c:v>
                </c:pt>
                <c:pt idx="239">
                  <c:v>427.47302893303402</c:v>
                </c:pt>
                <c:pt idx="240">
                  <c:v>429.15059152525833</c:v>
                </c:pt>
                <c:pt idx="241">
                  <c:v>430.82192008448089</c:v>
                </c:pt>
                <c:pt idx="242">
                  <c:v>432.48692748594135</c:v>
                </c:pt>
                <c:pt idx="243">
                  <c:v>434.14552797137463</c:v>
                </c:pt>
                <c:pt idx="244">
                  <c:v>435.79763719475403</c:v>
                </c:pt>
                <c:pt idx="245">
                  <c:v>437.44317226472833</c:v>
                </c:pt>
                <c:pt idx="246">
                  <c:v>439.08205178392478</c:v>
                </c:pt>
                <c:pt idx="247">
                  <c:v>440.71419588527698</c:v>
                </c:pt>
                <c:pt idx="248">
                  <c:v>442.33952626552292</c:v>
                </c:pt>
                <c:pt idx="249">
                  <c:v>443.95796621600817</c:v>
                </c:pt>
                <c:pt idx="250">
                  <c:v>445.56944065091824</c:v>
                </c:pt>
                <c:pt idx="251">
                  <c:v>447.17387613305533</c:v>
                </c:pt>
                <c:pt idx="252">
                  <c:v>448.77120089726742</c:v>
                </c:pt>
                <c:pt idx="253">
                  <c:v>450.36134487162917</c:v>
                </c:pt>
                <c:pt idx="254">
                  <c:v>451.9442396964688</c:v>
                </c:pt>
                <c:pt idx="255">
                  <c:v>453.51981874132883</c:v>
                </c:pt>
                <c:pt idx="256">
                  <c:v>455.08801711994329</c:v>
                </c:pt>
                <c:pt idx="257">
                  <c:v>456.64877170330971</c:v>
                </c:pt>
                <c:pt idx="258">
                  <c:v>458.20202113093046</c:v>
                </c:pt>
                <c:pt idx="259">
                  <c:v>459.74770582029288</c:v>
                </c:pt>
                <c:pt idx="260">
                  <c:v>461.28576797465621</c:v>
                </c:pt>
                <c:pt idx="261">
                  <c:v>462.81615158920869</c:v>
                </c:pt>
                <c:pt idx="262">
                  <c:v>464.33880245565666</c:v>
                </c:pt>
                <c:pt idx="263">
                  <c:v>465.85366816530421</c:v>
                </c:pt>
                <c:pt idx="264">
                  <c:v>467.36069811068006</c:v>
                </c:pt>
                <c:pt idx="265">
                  <c:v>468.85984348576682</c:v>
                </c:pt>
                <c:pt idx="266">
                  <c:v>470.3510572848848</c:v>
                </c:pt>
                <c:pt idx="267">
                  <c:v>471.83429430028201</c:v>
                </c:pt>
                <c:pt idx="268">
                  <c:v>473.30951111847963</c:v>
                </c:pt>
                <c:pt idx="269">
                  <c:v>474.77666611542145</c:v>
                </c:pt>
                <c:pt idx="270">
                  <c:v>476.23571945047377</c:v>
                </c:pt>
                <c:pt idx="271">
                  <c:v>477.68663305932182</c:v>
                </c:pt>
                <c:pt idx="272">
                  <c:v>479.12937064580683</c:v>
                </c:pt>
                <c:pt idx="273">
                  <c:v>480.56389767274743</c:v>
                </c:pt>
                <c:pt idx="274">
                  <c:v>481.99018135178756</c:v>
                </c:pt>
                <c:pt idx="275">
                  <c:v>483.40819063231254</c:v>
                </c:pt>
                <c:pt idx="276">
                  <c:v>484.81789618947374</c:v>
                </c:pt>
                <c:pt idx="277">
                  <c:v>486.21927041136126</c:v>
                </c:pt>
                <c:pt idx="278">
                  <c:v>487.61228738536397</c:v>
                </c:pt>
                <c:pt idx="279">
                  <c:v>488.99692288375428</c:v>
                </c:pt>
                <c:pt idx="280">
                  <c:v>490.37315434853514</c:v>
                </c:pt>
                <c:pt idx="281">
                  <c:v>491.74096087558542</c:v>
                </c:pt>
                <c:pt idx="282">
                  <c:v>493.10032319813968</c:v>
                </c:pt>
                <c:pt idx="283">
                  <c:v>494.45122366963687</c:v>
                </c:pt>
                <c:pt idx="284">
                  <c:v>495.79364624597213</c:v>
                </c:pt>
                <c:pt idx="285">
                  <c:v>497.12757646718524</c:v>
                </c:pt>
                <c:pt idx="286">
                  <c:v>498.45300143861817</c:v>
                </c:pt>
                <c:pt idx="287">
                  <c:v>499.76990981157411</c:v>
                </c:pt>
                <c:pt idx="288">
                  <c:v>501.07829176350856</c:v>
                </c:pt>
                <c:pt idx="289">
                  <c:v>502.37813897778386</c:v>
                </c:pt>
                <c:pt idx="290">
                  <c:v>503.66944462301615</c:v>
                </c:pt>
                <c:pt idx="291">
                  <c:v>504.95220333204458</c:v>
                </c:pt>
                <c:pt idx="292">
                  <c:v>506.22641118055071</c:v>
                </c:pt>
                <c:pt idx="293">
                  <c:v>507.49206566535605</c:v>
                </c:pt>
                <c:pt idx="294">
                  <c:v>508.74916568242492</c:v>
                </c:pt>
                <c:pt idx="295">
                  <c:v>509.99771150459844</c:v>
                </c:pt>
                <c:pt idx="296">
                  <c:v>511.23770475908606</c:v>
                </c:pt>
                <c:pt idx="297">
                  <c:v>512.4691484047388</c:v>
                </c:pt>
                <c:pt idx="298">
                  <c:v>513.6920467091287</c:v>
                </c:pt>
                <c:pt idx="299">
                  <c:v>514.9064052254588</c:v>
                </c:pt>
                <c:pt idx="300">
                  <c:v>516.11223076932492</c:v>
                </c:pt>
                <c:pt idx="301">
                  <c:v>517.30953139535325</c:v>
                </c:pt>
                <c:pt idx="302">
                  <c:v>518.4983163737337</c:v>
                </c:pt>
                <c:pt idx="303">
                  <c:v>519.67859616667101</c:v>
                </c:pt>
                <c:pt idx="304">
                  <c:v>520.85038240477297</c:v>
                </c:pt>
                <c:pt idx="305">
                  <c:v>522.01368786339594</c:v>
                </c:pt>
                <c:pt idx="306">
                  <c:v>523.16852643896596</c:v>
                </c:pt>
                <c:pt idx="307">
                  <c:v>524.31491312529374</c:v>
                </c:pt>
                <c:pt idx="308">
                  <c:v>525.4528639899014</c:v>
                </c:pt>
                <c:pt idx="309">
                  <c:v>526.58239615037746</c:v>
                </c:pt>
                <c:pt idx="310">
                  <c:v>527.7035277507764</c:v>
                </c:pt>
                <c:pt idx="311">
                  <c:v>528.81627793807854</c:v>
                </c:pt>
                <c:pt idx="312">
                  <c:v>529.92066683872531</c:v>
                </c:pt>
                <c:pt idx="313">
                  <c:v>531.0167155352442</c:v>
                </c:pt>
                <c:pt idx="314">
                  <c:v>532.10444604297663</c:v>
                </c:pt>
                <c:pt idx="315">
                  <c:v>533.18388128692322</c:v>
                </c:pt>
                <c:pt idx="316">
                  <c:v>534.25504507871779</c:v>
                </c:pt>
                <c:pt idx="317">
                  <c:v>535.31796209374261</c:v>
                </c:pt>
                <c:pt idx="318">
                  <c:v>536.37265784839633</c:v>
                </c:pt>
                <c:pt idx="319">
                  <c:v>537.41915867752607</c:v>
                </c:pt>
                <c:pt idx="320">
                  <c:v>538.45749171203272</c:v>
                </c:pt>
                <c:pt idx="321">
                  <c:v>539.48768485666028</c:v>
                </c:pt>
                <c:pt idx="322">
                  <c:v>540.50976676797848</c:v>
                </c:pt>
                <c:pt idx="323">
                  <c:v>541.52376683256693</c:v>
                </c:pt>
                <c:pt idx="324">
                  <c:v>542.52971514540991</c:v>
                </c:pt>
                <c:pt idx="325">
                  <c:v>543.52764248850838</c:v>
                </c:pt>
                <c:pt idx="326">
                  <c:v>544.51758030971757</c:v>
                </c:pt>
                <c:pt idx="327">
                  <c:v>545.49956070181702</c:v>
                </c:pt>
                <c:pt idx="328">
                  <c:v>546.47361638181849</c:v>
                </c:pt>
                <c:pt idx="329">
                  <c:v>547.43978067051842</c:v>
                </c:pt>
                <c:pt idx="330">
                  <c:v>548.39808747230052</c:v>
                </c:pt>
                <c:pt idx="331">
                  <c:v>549.34857125519341</c:v>
                </c:pt>
                <c:pt idx="332">
                  <c:v>550.29126703118754</c:v>
                </c:pt>
                <c:pt idx="333">
                  <c:v>551.22621033681651</c:v>
                </c:pt>
                <c:pt idx="334">
                  <c:v>552.1534372140062</c:v>
                </c:pt>
                <c:pt idx="335">
                  <c:v>553.07298419119513</c:v>
                </c:pt>
                <c:pt idx="336">
                  <c:v>553.98488826472976</c:v>
                </c:pt>
                <c:pt idx="337">
                  <c:v>554.88918688053673</c:v>
                </c:pt>
                <c:pt idx="338">
                  <c:v>555.78591791607573</c:v>
                </c:pt>
                <c:pt idx="339">
                  <c:v>556.67511966257371</c:v>
                </c:pt>
                <c:pt idx="340">
                  <c:v>557.55683080754352</c:v>
                </c:pt>
                <c:pt idx="341">
                  <c:v>558.43109041758771</c:v>
                </c:pt>
                <c:pt idx="342">
                  <c:v>559.29793792148939</c:v>
                </c:pt>
                <c:pt idx="343">
                  <c:v>560.15741309359032</c:v>
                </c:pt>
                <c:pt idx="344">
                  <c:v>561.00955603745808</c:v>
                </c:pt>
                <c:pt idx="345">
                  <c:v>561.85440716984158</c:v>
                </c:pt>
                <c:pt idx="346">
                  <c:v>562.6920072049154</c:v>
                </c:pt>
                <c:pt idx="347">
                  <c:v>563.5223971388142</c:v>
                </c:pt>
                <c:pt idx="348">
                  <c:v>564.34561823445449</c:v>
                </c:pt>
                <c:pt idx="349">
                  <c:v>565.16171200664587</c:v>
                </c:pt>
                <c:pt idx="350">
                  <c:v>565.97072020748919</c:v>
                </c:pt>
                <c:pt idx="351">
                  <c:v>566.77268481206147</c:v>
                </c:pt>
                <c:pt idx="352">
                  <c:v>567.56764800438657</c:v>
                </c:pt>
                <c:pt idx="353">
                  <c:v>568.35565216369002</c:v>
                </c:pt>
                <c:pt idx="354">
                  <c:v>569.13673985093715</c:v>
                </c:pt>
                <c:pt idx="355">
                  <c:v>569.91095379565184</c:v>
                </c:pt>
                <c:pt idx="356">
                  <c:v>570.6783368830155</c:v>
                </c:pt>
                <c:pt idx="357">
                  <c:v>571.43893214124364</c:v>
                </c:pt>
                <c:pt idx="358">
                  <c:v>572.19278272923771</c:v>
                </c:pt>
                <c:pt idx="359">
                  <c:v>572.93993192451069</c:v>
                </c:pt>
                <c:pt idx="360">
                  <c:v>573.6804231113839</c:v>
                </c:pt>
                <c:pt idx="361">
                  <c:v>574.4142997694529</c:v>
                </c:pt>
                <c:pt idx="362">
                  <c:v>575.14160546231892</c:v>
                </c:pt>
                <c:pt idx="363">
                  <c:v>575.86238382658485</c:v>
                </c:pt>
                <c:pt idx="364">
                  <c:v>576.57667856111186</c:v>
                </c:pt>
                <c:pt idx="365">
                  <c:v>577.28453341653449</c:v>
                </c:pt>
                <c:pt idx="366">
                  <c:v>577.9859921850308</c:v>
                </c:pt>
                <c:pt idx="367">
                  <c:v>578.68109869034504</c:v>
                </c:pt>
                <c:pt idx="368">
                  <c:v>579.36989677806025</c:v>
                </c:pt>
                <c:pt idx="369">
                  <c:v>580.05243030611655</c:v>
                </c:pt>
                <c:pt idx="370">
                  <c:v>580.7287431355735</c:v>
                </c:pt>
                <c:pt idx="371">
                  <c:v>581.39887912161146</c:v>
                </c:pt>
                <c:pt idx="372">
                  <c:v>582.06288210477112</c:v>
                </c:pt>
                <c:pt idx="373">
                  <c:v>582.72079590242549</c:v>
                </c:pt>
                <c:pt idx="374">
                  <c:v>583.37266430048317</c:v>
                </c:pt>
                <c:pt idx="375">
                  <c:v>584.01853104531767</c:v>
                </c:pt>
                <c:pt idx="376">
                  <c:v>584.65843983592117</c:v>
                </c:pt>
                <c:pt idx="377">
                  <c:v>585.2924343162781</c:v>
                </c:pt>
                <c:pt idx="378">
                  <c:v>585.92055806795577</c:v>
                </c:pt>
                <c:pt idx="379">
                  <c:v>586.54285460290816</c:v>
                </c:pt>
                <c:pt idx="380">
                  <c:v>587.15936735649007</c:v>
                </c:pt>
                <c:pt idx="381">
                  <c:v>587.77013968067752</c:v>
                </c:pt>
                <c:pt idx="382">
                  <c:v>588.37521483749151</c:v>
                </c:pt>
                <c:pt idx="383">
                  <c:v>588.9746359926213</c:v>
                </c:pt>
                <c:pt idx="384">
                  <c:v>588.9746359926213</c:v>
                </c:pt>
                <c:pt idx="385">
                  <c:v>588.9746359926213</c:v>
                </c:pt>
                <c:pt idx="386">
                  <c:v>588.9746359926213</c:v>
                </c:pt>
                <c:pt idx="387">
                  <c:v>588.9746359926213</c:v>
                </c:pt>
                <c:pt idx="388">
                  <c:v>588.9746359926213</c:v>
                </c:pt>
                <c:pt idx="389">
                  <c:v>588.9746359926213</c:v>
                </c:pt>
                <c:pt idx="390">
                  <c:v>588.9746359926213</c:v>
                </c:pt>
                <c:pt idx="391">
                  <c:v>588.9746359926213</c:v>
                </c:pt>
                <c:pt idx="392">
                  <c:v>588.9746359926213</c:v>
                </c:pt>
                <c:pt idx="393">
                  <c:v>588.9746359926213</c:v>
                </c:pt>
                <c:pt idx="394">
                  <c:v>588.9746359926213</c:v>
                </c:pt>
                <c:pt idx="395">
                  <c:v>588.9746359926213</c:v>
                </c:pt>
                <c:pt idx="396">
                  <c:v>588.9746359926213</c:v>
                </c:pt>
                <c:pt idx="397">
                  <c:v>588.9746359926213</c:v>
                </c:pt>
                <c:pt idx="398">
                  <c:v>588.9746359926213</c:v>
                </c:pt>
                <c:pt idx="399">
                  <c:v>588.9746359926213</c:v>
                </c:pt>
                <c:pt idx="400">
                  <c:v>588.9746359926213</c:v>
                </c:pt>
                <c:pt idx="401">
                  <c:v>588.9746359926213</c:v>
                </c:pt>
                <c:pt idx="402">
                  <c:v>588.9746359926213</c:v>
                </c:pt>
                <c:pt idx="403">
                  <c:v>588.9746359926213</c:v>
                </c:pt>
                <c:pt idx="404">
                  <c:v>588.9746359926213</c:v>
                </c:pt>
                <c:pt idx="405">
                  <c:v>588.9746359926213</c:v>
                </c:pt>
                <c:pt idx="406">
                  <c:v>588.9746359926213</c:v>
                </c:pt>
                <c:pt idx="407">
                  <c:v>588.9746359926213</c:v>
                </c:pt>
                <c:pt idx="408">
                  <c:v>588.9746359926213</c:v>
                </c:pt>
                <c:pt idx="409">
                  <c:v>588.9746359926213</c:v>
                </c:pt>
                <c:pt idx="410">
                  <c:v>588.9746359926213</c:v>
                </c:pt>
                <c:pt idx="411">
                  <c:v>588.9746359926213</c:v>
                </c:pt>
                <c:pt idx="412">
                  <c:v>588.9746359926213</c:v>
                </c:pt>
                <c:pt idx="413">
                  <c:v>588.9746359926213</c:v>
                </c:pt>
                <c:pt idx="414">
                  <c:v>588.9746359926213</c:v>
                </c:pt>
                <c:pt idx="415">
                  <c:v>588.9746359926213</c:v>
                </c:pt>
                <c:pt idx="416">
                  <c:v>588.9746359926213</c:v>
                </c:pt>
                <c:pt idx="417">
                  <c:v>588.9746359926213</c:v>
                </c:pt>
                <c:pt idx="418">
                  <c:v>588.9746359926213</c:v>
                </c:pt>
                <c:pt idx="419">
                  <c:v>588.9746359926213</c:v>
                </c:pt>
                <c:pt idx="420">
                  <c:v>588.9746359926213</c:v>
                </c:pt>
                <c:pt idx="421">
                  <c:v>588.9746359926213</c:v>
                </c:pt>
                <c:pt idx="422">
                  <c:v>588.9746359926213</c:v>
                </c:pt>
                <c:pt idx="423">
                  <c:v>588.9746359926213</c:v>
                </c:pt>
                <c:pt idx="424">
                  <c:v>588.9746359926213</c:v>
                </c:pt>
                <c:pt idx="425">
                  <c:v>588.9746359926213</c:v>
                </c:pt>
                <c:pt idx="426">
                  <c:v>588.9746359926213</c:v>
                </c:pt>
                <c:pt idx="427">
                  <c:v>588.9746359926213</c:v>
                </c:pt>
                <c:pt idx="428">
                  <c:v>588.9746359926213</c:v>
                </c:pt>
                <c:pt idx="429">
                  <c:v>588.9746359926213</c:v>
                </c:pt>
                <c:pt idx="430">
                  <c:v>588.9746359926213</c:v>
                </c:pt>
                <c:pt idx="431">
                  <c:v>588.9746359926213</c:v>
                </c:pt>
                <c:pt idx="432">
                  <c:v>588.9746359926213</c:v>
                </c:pt>
                <c:pt idx="433">
                  <c:v>588.9746359926213</c:v>
                </c:pt>
                <c:pt idx="434">
                  <c:v>588.9746359926213</c:v>
                </c:pt>
                <c:pt idx="435">
                  <c:v>588.9746359926213</c:v>
                </c:pt>
                <c:pt idx="436">
                  <c:v>588.9746359926213</c:v>
                </c:pt>
                <c:pt idx="437">
                  <c:v>588.9746359926213</c:v>
                </c:pt>
                <c:pt idx="438">
                  <c:v>588.9746359926213</c:v>
                </c:pt>
                <c:pt idx="439">
                  <c:v>588.9746359926213</c:v>
                </c:pt>
                <c:pt idx="440">
                  <c:v>588.9746359926213</c:v>
                </c:pt>
                <c:pt idx="441">
                  <c:v>588.9746359926213</c:v>
                </c:pt>
                <c:pt idx="442">
                  <c:v>588.9746359926213</c:v>
                </c:pt>
                <c:pt idx="443">
                  <c:v>588.9746359926213</c:v>
                </c:pt>
                <c:pt idx="444">
                  <c:v>588.9746359926213</c:v>
                </c:pt>
                <c:pt idx="445">
                  <c:v>588.9746359926213</c:v>
                </c:pt>
                <c:pt idx="446">
                  <c:v>588.9746359926213</c:v>
                </c:pt>
                <c:pt idx="447">
                  <c:v>588.9746359926213</c:v>
                </c:pt>
                <c:pt idx="448">
                  <c:v>588.9746359926213</c:v>
                </c:pt>
                <c:pt idx="449">
                  <c:v>588.9746359926213</c:v>
                </c:pt>
                <c:pt idx="450">
                  <c:v>588.9746359926213</c:v>
                </c:pt>
                <c:pt idx="451">
                  <c:v>588.9746359926213</c:v>
                </c:pt>
                <c:pt idx="452">
                  <c:v>588.9746359926213</c:v>
                </c:pt>
                <c:pt idx="453">
                  <c:v>588.9746359926213</c:v>
                </c:pt>
                <c:pt idx="454">
                  <c:v>588.9746359926213</c:v>
                </c:pt>
                <c:pt idx="455">
                  <c:v>588.9746359926213</c:v>
                </c:pt>
                <c:pt idx="456">
                  <c:v>588.9746359926213</c:v>
                </c:pt>
                <c:pt idx="457">
                  <c:v>588.9746359926213</c:v>
                </c:pt>
                <c:pt idx="458">
                  <c:v>588.9746359926213</c:v>
                </c:pt>
                <c:pt idx="459">
                  <c:v>588.9746359926213</c:v>
                </c:pt>
                <c:pt idx="460">
                  <c:v>588.9746359926213</c:v>
                </c:pt>
                <c:pt idx="461">
                  <c:v>588.9746359926213</c:v>
                </c:pt>
                <c:pt idx="462">
                  <c:v>588.9746359926213</c:v>
                </c:pt>
                <c:pt idx="463">
                  <c:v>588.9746359926213</c:v>
                </c:pt>
                <c:pt idx="464">
                  <c:v>588.9746359926213</c:v>
                </c:pt>
                <c:pt idx="465">
                  <c:v>588.9746359926213</c:v>
                </c:pt>
                <c:pt idx="466">
                  <c:v>588.9746359926213</c:v>
                </c:pt>
                <c:pt idx="467">
                  <c:v>588.9746359926213</c:v>
                </c:pt>
                <c:pt idx="468">
                  <c:v>588.9746359926213</c:v>
                </c:pt>
                <c:pt idx="469">
                  <c:v>588.9746359926213</c:v>
                </c:pt>
                <c:pt idx="470">
                  <c:v>588.9746359926213</c:v>
                </c:pt>
                <c:pt idx="471">
                  <c:v>588.9746359926213</c:v>
                </c:pt>
                <c:pt idx="472">
                  <c:v>588.9746359926213</c:v>
                </c:pt>
                <c:pt idx="473">
                  <c:v>588.9746359926213</c:v>
                </c:pt>
                <c:pt idx="474">
                  <c:v>588.9746359926213</c:v>
                </c:pt>
                <c:pt idx="475">
                  <c:v>588.9746359926213</c:v>
                </c:pt>
                <c:pt idx="476">
                  <c:v>588.9746359926213</c:v>
                </c:pt>
                <c:pt idx="477">
                  <c:v>588.9746359926213</c:v>
                </c:pt>
                <c:pt idx="478">
                  <c:v>588.9746359926213</c:v>
                </c:pt>
                <c:pt idx="479">
                  <c:v>588.9746359926213</c:v>
                </c:pt>
                <c:pt idx="480">
                  <c:v>588.9746359926213</c:v>
                </c:pt>
                <c:pt idx="481">
                  <c:v>588.9746359926213</c:v>
                </c:pt>
                <c:pt idx="482">
                  <c:v>588.9746359926213</c:v>
                </c:pt>
                <c:pt idx="483">
                  <c:v>588.9746359926213</c:v>
                </c:pt>
                <c:pt idx="484">
                  <c:v>588.9746359926213</c:v>
                </c:pt>
                <c:pt idx="485">
                  <c:v>588.9746359926213</c:v>
                </c:pt>
                <c:pt idx="486">
                  <c:v>588.9746359926213</c:v>
                </c:pt>
                <c:pt idx="487">
                  <c:v>588.9746359926213</c:v>
                </c:pt>
                <c:pt idx="488">
                  <c:v>588.9746359926213</c:v>
                </c:pt>
                <c:pt idx="489">
                  <c:v>588.9746359926213</c:v>
                </c:pt>
                <c:pt idx="490">
                  <c:v>588.9746359926213</c:v>
                </c:pt>
                <c:pt idx="491">
                  <c:v>588.9746359926213</c:v>
                </c:pt>
                <c:pt idx="492">
                  <c:v>588.9746359926213</c:v>
                </c:pt>
                <c:pt idx="493">
                  <c:v>588.9746359926213</c:v>
                </c:pt>
                <c:pt idx="494">
                  <c:v>588.9746359926213</c:v>
                </c:pt>
                <c:pt idx="495">
                  <c:v>588.9746359926213</c:v>
                </c:pt>
                <c:pt idx="496">
                  <c:v>588.9746359926213</c:v>
                </c:pt>
                <c:pt idx="497">
                  <c:v>588.9746359926213</c:v>
                </c:pt>
                <c:pt idx="498">
                  <c:v>588.9746359926213</c:v>
                </c:pt>
                <c:pt idx="499">
                  <c:v>588.9746359926213</c:v>
                </c:pt>
                <c:pt idx="500">
                  <c:v>588.9746359926213</c:v>
                </c:pt>
                <c:pt idx="501">
                  <c:v>588.9746359926213</c:v>
                </c:pt>
                <c:pt idx="502">
                  <c:v>588.9746359926213</c:v>
                </c:pt>
                <c:pt idx="503">
                  <c:v>588.9746359926213</c:v>
                </c:pt>
                <c:pt idx="504">
                  <c:v>588.9746359926213</c:v>
                </c:pt>
                <c:pt idx="505">
                  <c:v>588.9746359926213</c:v>
                </c:pt>
                <c:pt idx="506">
                  <c:v>588.9746359926213</c:v>
                </c:pt>
                <c:pt idx="507">
                  <c:v>588.9746359926213</c:v>
                </c:pt>
                <c:pt idx="508">
                  <c:v>588.9746359926213</c:v>
                </c:pt>
                <c:pt idx="509">
                  <c:v>588.9746359926213</c:v>
                </c:pt>
                <c:pt idx="510">
                  <c:v>588.9746359926213</c:v>
                </c:pt>
                <c:pt idx="511">
                  <c:v>588.9746359926213</c:v>
                </c:pt>
                <c:pt idx="512">
                  <c:v>588.9746359926213</c:v>
                </c:pt>
                <c:pt idx="513">
                  <c:v>588.9746359926213</c:v>
                </c:pt>
                <c:pt idx="514">
                  <c:v>588.9746359926213</c:v>
                </c:pt>
                <c:pt idx="515">
                  <c:v>588.9746359926213</c:v>
                </c:pt>
                <c:pt idx="516">
                  <c:v>588.9746359926213</c:v>
                </c:pt>
                <c:pt idx="517">
                  <c:v>588.9746359926213</c:v>
                </c:pt>
                <c:pt idx="518">
                  <c:v>588.9746359926213</c:v>
                </c:pt>
                <c:pt idx="519">
                  <c:v>588.9746359926213</c:v>
                </c:pt>
                <c:pt idx="520">
                  <c:v>588.9746359926213</c:v>
                </c:pt>
                <c:pt idx="521">
                  <c:v>588.9746359926213</c:v>
                </c:pt>
                <c:pt idx="522">
                  <c:v>588.9746359926213</c:v>
                </c:pt>
                <c:pt idx="523">
                  <c:v>588.9746359926213</c:v>
                </c:pt>
                <c:pt idx="524">
                  <c:v>588.9746359926213</c:v>
                </c:pt>
                <c:pt idx="525">
                  <c:v>588.9746359926213</c:v>
                </c:pt>
                <c:pt idx="526">
                  <c:v>588.9746359926213</c:v>
                </c:pt>
                <c:pt idx="527">
                  <c:v>588.9746359926213</c:v>
                </c:pt>
                <c:pt idx="528">
                  <c:v>588.9746359926213</c:v>
                </c:pt>
                <c:pt idx="529">
                  <c:v>588.9746359926213</c:v>
                </c:pt>
                <c:pt idx="530">
                  <c:v>588.9746359926213</c:v>
                </c:pt>
                <c:pt idx="531">
                  <c:v>588.9746359926213</c:v>
                </c:pt>
                <c:pt idx="532">
                  <c:v>588.9746359926213</c:v>
                </c:pt>
                <c:pt idx="533">
                  <c:v>588.9746359926213</c:v>
                </c:pt>
                <c:pt idx="534">
                  <c:v>588.9746359926213</c:v>
                </c:pt>
                <c:pt idx="535">
                  <c:v>588.9746359926213</c:v>
                </c:pt>
                <c:pt idx="536">
                  <c:v>588.9746359926213</c:v>
                </c:pt>
                <c:pt idx="537">
                  <c:v>588.9746359926213</c:v>
                </c:pt>
                <c:pt idx="538">
                  <c:v>588.9746359926213</c:v>
                </c:pt>
                <c:pt idx="539">
                  <c:v>588.9746359926213</c:v>
                </c:pt>
                <c:pt idx="540">
                  <c:v>588.9746359926213</c:v>
                </c:pt>
                <c:pt idx="541">
                  <c:v>588.9746359926213</c:v>
                </c:pt>
                <c:pt idx="542">
                  <c:v>588.9746359926213</c:v>
                </c:pt>
                <c:pt idx="543">
                  <c:v>588.9746359926213</c:v>
                </c:pt>
                <c:pt idx="544">
                  <c:v>588.9746359926213</c:v>
                </c:pt>
                <c:pt idx="545">
                  <c:v>588.9746359926213</c:v>
                </c:pt>
                <c:pt idx="546">
                  <c:v>588.9746359926213</c:v>
                </c:pt>
                <c:pt idx="547">
                  <c:v>588.9746359926213</c:v>
                </c:pt>
                <c:pt idx="548">
                  <c:v>588.9746359926213</c:v>
                </c:pt>
                <c:pt idx="549">
                  <c:v>588.9746359926213</c:v>
                </c:pt>
                <c:pt idx="550">
                  <c:v>588.9746359926213</c:v>
                </c:pt>
                <c:pt idx="551">
                  <c:v>588.9746359926213</c:v>
                </c:pt>
                <c:pt idx="552">
                  <c:v>588.9746359926213</c:v>
                </c:pt>
                <c:pt idx="553">
                  <c:v>588.9746359926213</c:v>
                </c:pt>
                <c:pt idx="554">
                  <c:v>588.9746359926213</c:v>
                </c:pt>
                <c:pt idx="555">
                  <c:v>588.9746359926213</c:v>
                </c:pt>
                <c:pt idx="556">
                  <c:v>588.9746359926213</c:v>
                </c:pt>
                <c:pt idx="557">
                  <c:v>588.9746359926213</c:v>
                </c:pt>
                <c:pt idx="558">
                  <c:v>588.9746359926213</c:v>
                </c:pt>
                <c:pt idx="559">
                  <c:v>588.9746359926213</c:v>
                </c:pt>
                <c:pt idx="560">
                  <c:v>588.9746359926213</c:v>
                </c:pt>
                <c:pt idx="561">
                  <c:v>588.9746359926213</c:v>
                </c:pt>
                <c:pt idx="562">
                  <c:v>588.9746359926213</c:v>
                </c:pt>
                <c:pt idx="563">
                  <c:v>588.9746359926213</c:v>
                </c:pt>
                <c:pt idx="564">
                  <c:v>588.9746359926213</c:v>
                </c:pt>
                <c:pt idx="565">
                  <c:v>588.9746359926213</c:v>
                </c:pt>
                <c:pt idx="566">
                  <c:v>588.9746359926213</c:v>
                </c:pt>
                <c:pt idx="567">
                  <c:v>588.9746359926213</c:v>
                </c:pt>
                <c:pt idx="568">
                  <c:v>588.9746359926213</c:v>
                </c:pt>
                <c:pt idx="569">
                  <c:v>588.9746359926213</c:v>
                </c:pt>
                <c:pt idx="570">
                  <c:v>588.9746359926213</c:v>
                </c:pt>
                <c:pt idx="571">
                  <c:v>588.9746359926213</c:v>
                </c:pt>
                <c:pt idx="572">
                  <c:v>588.9746359926213</c:v>
                </c:pt>
                <c:pt idx="573">
                  <c:v>588.9746359926213</c:v>
                </c:pt>
                <c:pt idx="574">
                  <c:v>588.9746359926213</c:v>
                </c:pt>
                <c:pt idx="575">
                  <c:v>588.9746359926213</c:v>
                </c:pt>
                <c:pt idx="576">
                  <c:v>588.9746359926213</c:v>
                </c:pt>
                <c:pt idx="577">
                  <c:v>588.9746359926213</c:v>
                </c:pt>
                <c:pt idx="578">
                  <c:v>588.9746359926213</c:v>
                </c:pt>
                <c:pt idx="579">
                  <c:v>588.9746359926213</c:v>
                </c:pt>
                <c:pt idx="580">
                  <c:v>588.9746359926213</c:v>
                </c:pt>
                <c:pt idx="581">
                  <c:v>588.9746359926213</c:v>
                </c:pt>
                <c:pt idx="582">
                  <c:v>588.9746359926213</c:v>
                </c:pt>
                <c:pt idx="583">
                  <c:v>588.9746359926213</c:v>
                </c:pt>
                <c:pt idx="584">
                  <c:v>588.9746359926213</c:v>
                </c:pt>
                <c:pt idx="585">
                  <c:v>588.9746359926213</c:v>
                </c:pt>
                <c:pt idx="586">
                  <c:v>588.9746359926213</c:v>
                </c:pt>
                <c:pt idx="587">
                  <c:v>588.9746359926213</c:v>
                </c:pt>
                <c:pt idx="588">
                  <c:v>588.9746359926213</c:v>
                </c:pt>
                <c:pt idx="589">
                  <c:v>588.9746359926213</c:v>
                </c:pt>
                <c:pt idx="590">
                  <c:v>588.9746359926213</c:v>
                </c:pt>
                <c:pt idx="591">
                  <c:v>588.9746359926213</c:v>
                </c:pt>
                <c:pt idx="592">
                  <c:v>588.9746359926213</c:v>
                </c:pt>
                <c:pt idx="593">
                  <c:v>588.9746359926213</c:v>
                </c:pt>
                <c:pt idx="594">
                  <c:v>588.9746359926213</c:v>
                </c:pt>
                <c:pt idx="595">
                  <c:v>588.9746359926213</c:v>
                </c:pt>
                <c:pt idx="596">
                  <c:v>588.9746359926213</c:v>
                </c:pt>
                <c:pt idx="597">
                  <c:v>588.9746359926213</c:v>
                </c:pt>
                <c:pt idx="598">
                  <c:v>588.9746359926213</c:v>
                </c:pt>
                <c:pt idx="599">
                  <c:v>588.9746359926213</c:v>
                </c:pt>
                <c:pt idx="600">
                  <c:v>588.9746359926213</c:v>
                </c:pt>
                <c:pt idx="601">
                  <c:v>588.9746359926213</c:v>
                </c:pt>
                <c:pt idx="602">
                  <c:v>588.9746359926213</c:v>
                </c:pt>
                <c:pt idx="603">
                  <c:v>588.9746359926213</c:v>
                </c:pt>
                <c:pt idx="604">
                  <c:v>588.9746359926213</c:v>
                </c:pt>
                <c:pt idx="605">
                  <c:v>588.9746359926213</c:v>
                </c:pt>
                <c:pt idx="606">
                  <c:v>588.9746359926213</c:v>
                </c:pt>
                <c:pt idx="607">
                  <c:v>588.9746359926213</c:v>
                </c:pt>
                <c:pt idx="608">
                  <c:v>588.9746359926213</c:v>
                </c:pt>
                <c:pt idx="609">
                  <c:v>588.9746359926213</c:v>
                </c:pt>
                <c:pt idx="610">
                  <c:v>588.9746359926213</c:v>
                </c:pt>
                <c:pt idx="611">
                  <c:v>588.9746359926213</c:v>
                </c:pt>
                <c:pt idx="612">
                  <c:v>588.9746359926213</c:v>
                </c:pt>
                <c:pt idx="613">
                  <c:v>588.9746359926213</c:v>
                </c:pt>
                <c:pt idx="614">
                  <c:v>588.9746359926213</c:v>
                </c:pt>
                <c:pt idx="615">
                  <c:v>588.9746359926213</c:v>
                </c:pt>
                <c:pt idx="616">
                  <c:v>588.9746359926213</c:v>
                </c:pt>
                <c:pt idx="617">
                  <c:v>588.9746359926213</c:v>
                </c:pt>
                <c:pt idx="618">
                  <c:v>588.9746359926213</c:v>
                </c:pt>
                <c:pt idx="619">
                  <c:v>588.9746359926213</c:v>
                </c:pt>
                <c:pt idx="620">
                  <c:v>588.9746359926213</c:v>
                </c:pt>
                <c:pt idx="621">
                  <c:v>588.9746359926213</c:v>
                </c:pt>
                <c:pt idx="622">
                  <c:v>588.9746359926213</c:v>
                </c:pt>
                <c:pt idx="623">
                  <c:v>588.9746359926213</c:v>
                </c:pt>
                <c:pt idx="624">
                  <c:v>588.9746359926213</c:v>
                </c:pt>
                <c:pt idx="625">
                  <c:v>588.9746359926213</c:v>
                </c:pt>
                <c:pt idx="626">
                  <c:v>588.9746359926213</c:v>
                </c:pt>
                <c:pt idx="627">
                  <c:v>588.9746359926213</c:v>
                </c:pt>
                <c:pt idx="628">
                  <c:v>588.9746359926213</c:v>
                </c:pt>
                <c:pt idx="629">
                  <c:v>588.9746359926213</c:v>
                </c:pt>
                <c:pt idx="630">
                  <c:v>588.9746359926213</c:v>
                </c:pt>
                <c:pt idx="631">
                  <c:v>588.9746359926213</c:v>
                </c:pt>
                <c:pt idx="632">
                  <c:v>588.9746359926213</c:v>
                </c:pt>
                <c:pt idx="633">
                  <c:v>588.9746359926213</c:v>
                </c:pt>
                <c:pt idx="634">
                  <c:v>588.9746359926213</c:v>
                </c:pt>
                <c:pt idx="635">
                  <c:v>588.9746359926213</c:v>
                </c:pt>
                <c:pt idx="636">
                  <c:v>588.9746359926213</c:v>
                </c:pt>
                <c:pt idx="637">
                  <c:v>588.9746359926213</c:v>
                </c:pt>
                <c:pt idx="638">
                  <c:v>588.9746359926213</c:v>
                </c:pt>
                <c:pt idx="639">
                  <c:v>588.9746359926213</c:v>
                </c:pt>
                <c:pt idx="640">
                  <c:v>588.9746359926213</c:v>
                </c:pt>
                <c:pt idx="641">
                  <c:v>588.9746359926213</c:v>
                </c:pt>
                <c:pt idx="642">
                  <c:v>588.9746359926213</c:v>
                </c:pt>
                <c:pt idx="643">
                  <c:v>588.9746359926213</c:v>
                </c:pt>
                <c:pt idx="644">
                  <c:v>588.9746359926213</c:v>
                </c:pt>
                <c:pt idx="645">
                  <c:v>588.9746359926213</c:v>
                </c:pt>
                <c:pt idx="646">
                  <c:v>588.9746359926213</c:v>
                </c:pt>
                <c:pt idx="647">
                  <c:v>588.9746359926213</c:v>
                </c:pt>
                <c:pt idx="648">
                  <c:v>588.9746359926213</c:v>
                </c:pt>
                <c:pt idx="649">
                  <c:v>588.9746359926213</c:v>
                </c:pt>
                <c:pt idx="650">
                  <c:v>588.9746359926213</c:v>
                </c:pt>
                <c:pt idx="651">
                  <c:v>588.9746359926213</c:v>
                </c:pt>
                <c:pt idx="652">
                  <c:v>588.9746359926213</c:v>
                </c:pt>
                <c:pt idx="653">
                  <c:v>588.9746359926213</c:v>
                </c:pt>
                <c:pt idx="654">
                  <c:v>588.9746359926213</c:v>
                </c:pt>
                <c:pt idx="655">
                  <c:v>588.9746359926213</c:v>
                </c:pt>
                <c:pt idx="656">
                  <c:v>588.9746359926213</c:v>
                </c:pt>
                <c:pt idx="657">
                  <c:v>588.9746359926213</c:v>
                </c:pt>
                <c:pt idx="658">
                  <c:v>588.9746359926213</c:v>
                </c:pt>
                <c:pt idx="659">
                  <c:v>588.9746359926213</c:v>
                </c:pt>
                <c:pt idx="660">
                  <c:v>588.9746359926213</c:v>
                </c:pt>
                <c:pt idx="661">
                  <c:v>588.9746359926213</c:v>
                </c:pt>
                <c:pt idx="662">
                  <c:v>588.9746359926213</c:v>
                </c:pt>
                <c:pt idx="663">
                  <c:v>588.9746359926213</c:v>
                </c:pt>
                <c:pt idx="664">
                  <c:v>588.9746359926213</c:v>
                </c:pt>
                <c:pt idx="665">
                  <c:v>588.9746359926213</c:v>
                </c:pt>
                <c:pt idx="666">
                  <c:v>588.9746359926213</c:v>
                </c:pt>
                <c:pt idx="667">
                  <c:v>588.9746359926213</c:v>
                </c:pt>
                <c:pt idx="668">
                  <c:v>588.9746359926213</c:v>
                </c:pt>
                <c:pt idx="669">
                  <c:v>588.9746359926213</c:v>
                </c:pt>
                <c:pt idx="670">
                  <c:v>588.9746359926213</c:v>
                </c:pt>
                <c:pt idx="671">
                  <c:v>588.9746359926213</c:v>
                </c:pt>
                <c:pt idx="672">
                  <c:v>588.9746359926213</c:v>
                </c:pt>
                <c:pt idx="673">
                  <c:v>588.9746359926213</c:v>
                </c:pt>
                <c:pt idx="674">
                  <c:v>588.9746359926213</c:v>
                </c:pt>
                <c:pt idx="675">
                  <c:v>588.9746359926213</c:v>
                </c:pt>
                <c:pt idx="676">
                  <c:v>588.9746359926213</c:v>
                </c:pt>
                <c:pt idx="677">
                  <c:v>588.9746359926213</c:v>
                </c:pt>
                <c:pt idx="678">
                  <c:v>588.9746359926213</c:v>
                </c:pt>
                <c:pt idx="679">
                  <c:v>588.9746359926213</c:v>
                </c:pt>
                <c:pt idx="680">
                  <c:v>588.9746359926213</c:v>
                </c:pt>
                <c:pt idx="681">
                  <c:v>588.9746359926213</c:v>
                </c:pt>
                <c:pt idx="682">
                  <c:v>588.9746359926213</c:v>
                </c:pt>
                <c:pt idx="683">
                  <c:v>588.9746359926213</c:v>
                </c:pt>
                <c:pt idx="684">
                  <c:v>588.9746359926213</c:v>
                </c:pt>
                <c:pt idx="685">
                  <c:v>588.9746359926213</c:v>
                </c:pt>
                <c:pt idx="686">
                  <c:v>588.9746359926213</c:v>
                </c:pt>
                <c:pt idx="687">
                  <c:v>588.9746359926213</c:v>
                </c:pt>
                <c:pt idx="688">
                  <c:v>588.9746359926213</c:v>
                </c:pt>
                <c:pt idx="689">
                  <c:v>588.9746359926213</c:v>
                </c:pt>
                <c:pt idx="690">
                  <c:v>588.9746359926213</c:v>
                </c:pt>
                <c:pt idx="691">
                  <c:v>588.9746359926213</c:v>
                </c:pt>
                <c:pt idx="692">
                  <c:v>588.9746359926213</c:v>
                </c:pt>
                <c:pt idx="693">
                  <c:v>588.9746359926213</c:v>
                </c:pt>
                <c:pt idx="694">
                  <c:v>588.9746359926213</c:v>
                </c:pt>
                <c:pt idx="695">
                  <c:v>588.9746359926213</c:v>
                </c:pt>
                <c:pt idx="696">
                  <c:v>588.9746359926213</c:v>
                </c:pt>
                <c:pt idx="697">
                  <c:v>588.9746359926213</c:v>
                </c:pt>
                <c:pt idx="698">
                  <c:v>588.9746359926213</c:v>
                </c:pt>
                <c:pt idx="699">
                  <c:v>588.9746359926213</c:v>
                </c:pt>
                <c:pt idx="700">
                  <c:v>588.9746359926213</c:v>
                </c:pt>
                <c:pt idx="701">
                  <c:v>588.9746359926213</c:v>
                </c:pt>
                <c:pt idx="702">
                  <c:v>588.9746359926213</c:v>
                </c:pt>
                <c:pt idx="703">
                  <c:v>588.9746359926213</c:v>
                </c:pt>
                <c:pt idx="704">
                  <c:v>588.9746359926213</c:v>
                </c:pt>
                <c:pt idx="705">
                  <c:v>588.9746359926213</c:v>
                </c:pt>
                <c:pt idx="706">
                  <c:v>588.9746359926213</c:v>
                </c:pt>
                <c:pt idx="707">
                  <c:v>588.9746359926213</c:v>
                </c:pt>
                <c:pt idx="708">
                  <c:v>588.9746359926213</c:v>
                </c:pt>
                <c:pt idx="709">
                  <c:v>588.9746359926213</c:v>
                </c:pt>
                <c:pt idx="710">
                  <c:v>588.9746359926213</c:v>
                </c:pt>
                <c:pt idx="711">
                  <c:v>588.9746359926213</c:v>
                </c:pt>
                <c:pt idx="712">
                  <c:v>588.9746359926213</c:v>
                </c:pt>
                <c:pt idx="713">
                  <c:v>588.9746359926213</c:v>
                </c:pt>
                <c:pt idx="714">
                  <c:v>588.9746359926213</c:v>
                </c:pt>
                <c:pt idx="715">
                  <c:v>588.9746359926213</c:v>
                </c:pt>
                <c:pt idx="716">
                  <c:v>588.9746359926213</c:v>
                </c:pt>
                <c:pt idx="717">
                  <c:v>588.9746359926213</c:v>
                </c:pt>
                <c:pt idx="718">
                  <c:v>588.9746359926213</c:v>
                </c:pt>
                <c:pt idx="719">
                  <c:v>588.9746359926213</c:v>
                </c:pt>
                <c:pt idx="720">
                  <c:v>588.9746359926213</c:v>
                </c:pt>
                <c:pt idx="721">
                  <c:v>588.9746359926213</c:v>
                </c:pt>
                <c:pt idx="722">
                  <c:v>588.9746359926213</c:v>
                </c:pt>
                <c:pt idx="723">
                  <c:v>588.9746359926213</c:v>
                </c:pt>
                <c:pt idx="724">
                  <c:v>588.9746359926213</c:v>
                </c:pt>
                <c:pt idx="725">
                  <c:v>588.9746359926213</c:v>
                </c:pt>
                <c:pt idx="726">
                  <c:v>588.9746359926213</c:v>
                </c:pt>
                <c:pt idx="727">
                  <c:v>588.9746359926213</c:v>
                </c:pt>
                <c:pt idx="728">
                  <c:v>588.9746359926213</c:v>
                </c:pt>
                <c:pt idx="729">
                  <c:v>588.9746359926213</c:v>
                </c:pt>
                <c:pt idx="730">
                  <c:v>588.9746359926213</c:v>
                </c:pt>
                <c:pt idx="731">
                  <c:v>588.9746359926213</c:v>
                </c:pt>
                <c:pt idx="732">
                  <c:v>588.9746359926213</c:v>
                </c:pt>
                <c:pt idx="733">
                  <c:v>588.9746359926213</c:v>
                </c:pt>
                <c:pt idx="734">
                  <c:v>588.9746359926213</c:v>
                </c:pt>
                <c:pt idx="735">
                  <c:v>588.9746359926213</c:v>
                </c:pt>
                <c:pt idx="736">
                  <c:v>588.9746359926213</c:v>
                </c:pt>
                <c:pt idx="737">
                  <c:v>588.9746359926213</c:v>
                </c:pt>
                <c:pt idx="738">
                  <c:v>588.9746359926213</c:v>
                </c:pt>
                <c:pt idx="739">
                  <c:v>588.9746359926213</c:v>
                </c:pt>
                <c:pt idx="740">
                  <c:v>588.9746359926213</c:v>
                </c:pt>
                <c:pt idx="741">
                  <c:v>588.9746359926213</c:v>
                </c:pt>
                <c:pt idx="742">
                  <c:v>588.9746359926213</c:v>
                </c:pt>
                <c:pt idx="743">
                  <c:v>588.9746359926213</c:v>
                </c:pt>
                <c:pt idx="744">
                  <c:v>588.9746359926213</c:v>
                </c:pt>
                <c:pt idx="745">
                  <c:v>588.9746359926213</c:v>
                </c:pt>
                <c:pt idx="746">
                  <c:v>588.9746359926213</c:v>
                </c:pt>
                <c:pt idx="747">
                  <c:v>588.9746359926213</c:v>
                </c:pt>
                <c:pt idx="748">
                  <c:v>588.9746359926213</c:v>
                </c:pt>
                <c:pt idx="749">
                  <c:v>588.9746359926213</c:v>
                </c:pt>
                <c:pt idx="750">
                  <c:v>588.9746359926213</c:v>
                </c:pt>
                <c:pt idx="751">
                  <c:v>588.9746359926213</c:v>
                </c:pt>
                <c:pt idx="752">
                  <c:v>588.9746359926213</c:v>
                </c:pt>
                <c:pt idx="753">
                  <c:v>588.9746359926213</c:v>
                </c:pt>
                <c:pt idx="754">
                  <c:v>588.9746359926213</c:v>
                </c:pt>
                <c:pt idx="755">
                  <c:v>588.9746359926213</c:v>
                </c:pt>
                <c:pt idx="756">
                  <c:v>588.9746359926213</c:v>
                </c:pt>
                <c:pt idx="757">
                  <c:v>588.9746359926213</c:v>
                </c:pt>
                <c:pt idx="758">
                  <c:v>588.9746359926213</c:v>
                </c:pt>
                <c:pt idx="759">
                  <c:v>588.9746359926213</c:v>
                </c:pt>
                <c:pt idx="760">
                  <c:v>588.9746359926213</c:v>
                </c:pt>
                <c:pt idx="761">
                  <c:v>588.9746359926213</c:v>
                </c:pt>
                <c:pt idx="762">
                  <c:v>588.9746359926213</c:v>
                </c:pt>
                <c:pt idx="763">
                  <c:v>588.9746359926213</c:v>
                </c:pt>
                <c:pt idx="764">
                  <c:v>588.9746359926213</c:v>
                </c:pt>
                <c:pt idx="765">
                  <c:v>588.9746359926213</c:v>
                </c:pt>
                <c:pt idx="766">
                  <c:v>588.9746359926213</c:v>
                </c:pt>
                <c:pt idx="767">
                  <c:v>588.9746359926213</c:v>
                </c:pt>
                <c:pt idx="768">
                  <c:v>588.9746359926213</c:v>
                </c:pt>
                <c:pt idx="769">
                  <c:v>588.9746359926213</c:v>
                </c:pt>
                <c:pt idx="770">
                  <c:v>588.9746359926213</c:v>
                </c:pt>
                <c:pt idx="771">
                  <c:v>588.9746359926213</c:v>
                </c:pt>
                <c:pt idx="772">
                  <c:v>588.9746359926213</c:v>
                </c:pt>
                <c:pt idx="773">
                  <c:v>588.9746359926213</c:v>
                </c:pt>
                <c:pt idx="774">
                  <c:v>588.9746359926213</c:v>
                </c:pt>
                <c:pt idx="775">
                  <c:v>588.9746359926213</c:v>
                </c:pt>
                <c:pt idx="776">
                  <c:v>588.9746359926213</c:v>
                </c:pt>
                <c:pt idx="777">
                  <c:v>588.9746359926213</c:v>
                </c:pt>
                <c:pt idx="778">
                  <c:v>588.9746359926213</c:v>
                </c:pt>
                <c:pt idx="779">
                  <c:v>588.9746359926213</c:v>
                </c:pt>
                <c:pt idx="780">
                  <c:v>588.9746359926213</c:v>
                </c:pt>
                <c:pt idx="781">
                  <c:v>588.9746359926213</c:v>
                </c:pt>
                <c:pt idx="782">
                  <c:v>588.9746359926213</c:v>
                </c:pt>
                <c:pt idx="783">
                  <c:v>588.9746359926213</c:v>
                </c:pt>
                <c:pt idx="784">
                  <c:v>588.9746359926213</c:v>
                </c:pt>
                <c:pt idx="785">
                  <c:v>588.9746359926213</c:v>
                </c:pt>
                <c:pt idx="786">
                  <c:v>588.9746359926213</c:v>
                </c:pt>
                <c:pt idx="787">
                  <c:v>588.9746359926213</c:v>
                </c:pt>
                <c:pt idx="788">
                  <c:v>588.9746359926213</c:v>
                </c:pt>
                <c:pt idx="789">
                  <c:v>588.9746359926213</c:v>
                </c:pt>
                <c:pt idx="790">
                  <c:v>588.9746359926213</c:v>
                </c:pt>
                <c:pt idx="791">
                  <c:v>588.9746359926213</c:v>
                </c:pt>
                <c:pt idx="792">
                  <c:v>588.9746359926213</c:v>
                </c:pt>
                <c:pt idx="793">
                  <c:v>588.9746359926213</c:v>
                </c:pt>
                <c:pt idx="794">
                  <c:v>588.9746359926213</c:v>
                </c:pt>
                <c:pt idx="795">
                  <c:v>588.9746359926213</c:v>
                </c:pt>
                <c:pt idx="796">
                  <c:v>588.9746359926213</c:v>
                </c:pt>
                <c:pt idx="797">
                  <c:v>588.9746359926213</c:v>
                </c:pt>
                <c:pt idx="798">
                  <c:v>588.9746359926213</c:v>
                </c:pt>
                <c:pt idx="799">
                  <c:v>588.9746359926213</c:v>
                </c:pt>
                <c:pt idx="800">
                  <c:v>588.9746359926213</c:v>
                </c:pt>
                <c:pt idx="801">
                  <c:v>588.9746359926213</c:v>
                </c:pt>
                <c:pt idx="802">
                  <c:v>588.9746359926213</c:v>
                </c:pt>
                <c:pt idx="803">
                  <c:v>588.9746359926213</c:v>
                </c:pt>
                <c:pt idx="804">
                  <c:v>588.9746359926213</c:v>
                </c:pt>
                <c:pt idx="805">
                  <c:v>588.9746359926213</c:v>
                </c:pt>
                <c:pt idx="806">
                  <c:v>588.9746359926213</c:v>
                </c:pt>
                <c:pt idx="807">
                  <c:v>588.9746359926213</c:v>
                </c:pt>
                <c:pt idx="808">
                  <c:v>588.9746359926213</c:v>
                </c:pt>
                <c:pt idx="809">
                  <c:v>588.9746359926213</c:v>
                </c:pt>
                <c:pt idx="810">
                  <c:v>588.9746359926213</c:v>
                </c:pt>
                <c:pt idx="811">
                  <c:v>588.9746359926213</c:v>
                </c:pt>
                <c:pt idx="812">
                  <c:v>588.9746359926213</c:v>
                </c:pt>
                <c:pt idx="813">
                  <c:v>588.9746359926213</c:v>
                </c:pt>
                <c:pt idx="814">
                  <c:v>588.9746359926213</c:v>
                </c:pt>
                <c:pt idx="815">
                  <c:v>588.9746359926213</c:v>
                </c:pt>
                <c:pt idx="816">
                  <c:v>588.9746359926213</c:v>
                </c:pt>
                <c:pt idx="817">
                  <c:v>588.9746359926213</c:v>
                </c:pt>
                <c:pt idx="818">
                  <c:v>588.9746359926213</c:v>
                </c:pt>
                <c:pt idx="819">
                  <c:v>588.9746359926213</c:v>
                </c:pt>
                <c:pt idx="820">
                  <c:v>588.9746359926213</c:v>
                </c:pt>
                <c:pt idx="821">
                  <c:v>588.9746359926213</c:v>
                </c:pt>
                <c:pt idx="822">
                  <c:v>588.9746359926213</c:v>
                </c:pt>
                <c:pt idx="823">
                  <c:v>588.9746359926213</c:v>
                </c:pt>
                <c:pt idx="824">
                  <c:v>588.9746359926213</c:v>
                </c:pt>
                <c:pt idx="825">
                  <c:v>588.9746359926213</c:v>
                </c:pt>
                <c:pt idx="826">
                  <c:v>588.9746359926213</c:v>
                </c:pt>
                <c:pt idx="827">
                  <c:v>588.9746359926213</c:v>
                </c:pt>
                <c:pt idx="828">
                  <c:v>588.9746359926213</c:v>
                </c:pt>
                <c:pt idx="829">
                  <c:v>588.9746359926213</c:v>
                </c:pt>
                <c:pt idx="830">
                  <c:v>588.9746359926213</c:v>
                </c:pt>
                <c:pt idx="831">
                  <c:v>588.9746359926213</c:v>
                </c:pt>
                <c:pt idx="832">
                  <c:v>588.9746359926213</c:v>
                </c:pt>
                <c:pt idx="833">
                  <c:v>588.9746359926213</c:v>
                </c:pt>
                <c:pt idx="834">
                  <c:v>588.9746359926213</c:v>
                </c:pt>
                <c:pt idx="835">
                  <c:v>588.9746359926213</c:v>
                </c:pt>
                <c:pt idx="836">
                  <c:v>588.9746359926213</c:v>
                </c:pt>
                <c:pt idx="837">
                  <c:v>588.9746359926213</c:v>
                </c:pt>
                <c:pt idx="838">
                  <c:v>588.9746359926213</c:v>
                </c:pt>
                <c:pt idx="839">
                  <c:v>588.9746359926213</c:v>
                </c:pt>
                <c:pt idx="840">
                  <c:v>588.9746359926213</c:v>
                </c:pt>
                <c:pt idx="841">
                  <c:v>588.9746359926213</c:v>
                </c:pt>
                <c:pt idx="842">
                  <c:v>588.9746359926213</c:v>
                </c:pt>
                <c:pt idx="843">
                  <c:v>588.9746359926213</c:v>
                </c:pt>
                <c:pt idx="844">
                  <c:v>588.9746359926213</c:v>
                </c:pt>
                <c:pt idx="845">
                  <c:v>588.9746359926213</c:v>
                </c:pt>
                <c:pt idx="846">
                  <c:v>588.9746359926213</c:v>
                </c:pt>
                <c:pt idx="847">
                  <c:v>588.9746359926213</c:v>
                </c:pt>
                <c:pt idx="848">
                  <c:v>588.9746359926213</c:v>
                </c:pt>
                <c:pt idx="849">
                  <c:v>588.9746359926213</c:v>
                </c:pt>
                <c:pt idx="850">
                  <c:v>588.9746359926213</c:v>
                </c:pt>
                <c:pt idx="851">
                  <c:v>588.9746359926213</c:v>
                </c:pt>
                <c:pt idx="852">
                  <c:v>588.9746359926213</c:v>
                </c:pt>
                <c:pt idx="853">
                  <c:v>588.9746359926213</c:v>
                </c:pt>
                <c:pt idx="854">
                  <c:v>588.9746359926213</c:v>
                </c:pt>
                <c:pt idx="855">
                  <c:v>588.9746359926213</c:v>
                </c:pt>
                <c:pt idx="856">
                  <c:v>588.9746359926213</c:v>
                </c:pt>
                <c:pt idx="857">
                  <c:v>588.9746359926213</c:v>
                </c:pt>
                <c:pt idx="858">
                  <c:v>588.9746359926213</c:v>
                </c:pt>
                <c:pt idx="859">
                  <c:v>588.9746359926213</c:v>
                </c:pt>
                <c:pt idx="860">
                  <c:v>588.9746359926213</c:v>
                </c:pt>
                <c:pt idx="861">
                  <c:v>588.9746359926213</c:v>
                </c:pt>
                <c:pt idx="862">
                  <c:v>588.9746359926213</c:v>
                </c:pt>
                <c:pt idx="863">
                  <c:v>588.9746359926213</c:v>
                </c:pt>
                <c:pt idx="864">
                  <c:v>588.9746359926213</c:v>
                </c:pt>
                <c:pt idx="865">
                  <c:v>588.9746359926213</c:v>
                </c:pt>
                <c:pt idx="866">
                  <c:v>588.9746359926213</c:v>
                </c:pt>
                <c:pt idx="867">
                  <c:v>588.9746359926213</c:v>
                </c:pt>
                <c:pt idx="868">
                  <c:v>588.9746359926213</c:v>
                </c:pt>
                <c:pt idx="869">
                  <c:v>588.9746359926213</c:v>
                </c:pt>
                <c:pt idx="870">
                  <c:v>588.9746359926213</c:v>
                </c:pt>
                <c:pt idx="871">
                  <c:v>588.9746359926213</c:v>
                </c:pt>
                <c:pt idx="872">
                  <c:v>588.9746359926213</c:v>
                </c:pt>
                <c:pt idx="873">
                  <c:v>588.9746359926213</c:v>
                </c:pt>
                <c:pt idx="874">
                  <c:v>588.9746359926213</c:v>
                </c:pt>
                <c:pt idx="875">
                  <c:v>588.9746359926213</c:v>
                </c:pt>
                <c:pt idx="876">
                  <c:v>588.9746359926213</c:v>
                </c:pt>
                <c:pt idx="877">
                  <c:v>588.9746359926213</c:v>
                </c:pt>
                <c:pt idx="878">
                  <c:v>588.9746359926213</c:v>
                </c:pt>
                <c:pt idx="879">
                  <c:v>588.9746359926213</c:v>
                </c:pt>
                <c:pt idx="880">
                  <c:v>588.9746359926213</c:v>
                </c:pt>
                <c:pt idx="881">
                  <c:v>588.9746359926213</c:v>
                </c:pt>
                <c:pt idx="882">
                  <c:v>588.9746359926213</c:v>
                </c:pt>
                <c:pt idx="883">
                  <c:v>588.9746359926213</c:v>
                </c:pt>
                <c:pt idx="884">
                  <c:v>588.9746359926213</c:v>
                </c:pt>
                <c:pt idx="885">
                  <c:v>588.9746359926213</c:v>
                </c:pt>
                <c:pt idx="886">
                  <c:v>588.9746359926213</c:v>
                </c:pt>
                <c:pt idx="887">
                  <c:v>588.9746359926213</c:v>
                </c:pt>
                <c:pt idx="888">
                  <c:v>588.9746359926213</c:v>
                </c:pt>
                <c:pt idx="889">
                  <c:v>588.9746359926213</c:v>
                </c:pt>
                <c:pt idx="890">
                  <c:v>588.9746359926213</c:v>
                </c:pt>
                <c:pt idx="891">
                  <c:v>588.9746359926213</c:v>
                </c:pt>
                <c:pt idx="892">
                  <c:v>588.9746359926213</c:v>
                </c:pt>
                <c:pt idx="893">
                  <c:v>588.9746359926213</c:v>
                </c:pt>
                <c:pt idx="894">
                  <c:v>588.9746359926213</c:v>
                </c:pt>
                <c:pt idx="895">
                  <c:v>588.9746359926213</c:v>
                </c:pt>
                <c:pt idx="896">
                  <c:v>588.9746359926213</c:v>
                </c:pt>
                <c:pt idx="897">
                  <c:v>588.9746359926213</c:v>
                </c:pt>
                <c:pt idx="898">
                  <c:v>588.9746359926213</c:v>
                </c:pt>
                <c:pt idx="899">
                  <c:v>588.9746359926213</c:v>
                </c:pt>
                <c:pt idx="900">
                  <c:v>588.9746359926213</c:v>
                </c:pt>
                <c:pt idx="901">
                  <c:v>588.9746359926213</c:v>
                </c:pt>
                <c:pt idx="902">
                  <c:v>588.9746359926213</c:v>
                </c:pt>
                <c:pt idx="903">
                  <c:v>588.9746359926213</c:v>
                </c:pt>
                <c:pt idx="904">
                  <c:v>588.9746359926213</c:v>
                </c:pt>
                <c:pt idx="905">
                  <c:v>588.9746359926213</c:v>
                </c:pt>
                <c:pt idx="906">
                  <c:v>588.9746359926213</c:v>
                </c:pt>
                <c:pt idx="907">
                  <c:v>588.9746359926213</c:v>
                </c:pt>
                <c:pt idx="908">
                  <c:v>588.9746359926213</c:v>
                </c:pt>
                <c:pt idx="909">
                  <c:v>588.9746359926213</c:v>
                </c:pt>
                <c:pt idx="910">
                  <c:v>588.9746359926213</c:v>
                </c:pt>
                <c:pt idx="911">
                  <c:v>588.9746359926213</c:v>
                </c:pt>
                <c:pt idx="912">
                  <c:v>588.9746359926213</c:v>
                </c:pt>
                <c:pt idx="913">
                  <c:v>588.9746359926213</c:v>
                </c:pt>
                <c:pt idx="914">
                  <c:v>588.9746359926213</c:v>
                </c:pt>
                <c:pt idx="915">
                  <c:v>588.9746359926213</c:v>
                </c:pt>
                <c:pt idx="916">
                  <c:v>588.9746359926213</c:v>
                </c:pt>
                <c:pt idx="917">
                  <c:v>588.9746359926213</c:v>
                </c:pt>
                <c:pt idx="918">
                  <c:v>588.9746359926213</c:v>
                </c:pt>
                <c:pt idx="919">
                  <c:v>588.9746359926213</c:v>
                </c:pt>
                <c:pt idx="920">
                  <c:v>588.9746359926213</c:v>
                </c:pt>
                <c:pt idx="921">
                  <c:v>588.9746359926213</c:v>
                </c:pt>
                <c:pt idx="922">
                  <c:v>588.9746359926213</c:v>
                </c:pt>
                <c:pt idx="923">
                  <c:v>588.9746359926213</c:v>
                </c:pt>
                <c:pt idx="924">
                  <c:v>588.9746359926213</c:v>
                </c:pt>
                <c:pt idx="925">
                  <c:v>588.9746359926213</c:v>
                </c:pt>
                <c:pt idx="926">
                  <c:v>588.9746359926213</c:v>
                </c:pt>
                <c:pt idx="927">
                  <c:v>588.9746359926213</c:v>
                </c:pt>
                <c:pt idx="928">
                  <c:v>588.9746359926213</c:v>
                </c:pt>
                <c:pt idx="929">
                  <c:v>588.9746359926213</c:v>
                </c:pt>
                <c:pt idx="930">
                  <c:v>588.9746359926213</c:v>
                </c:pt>
                <c:pt idx="931">
                  <c:v>588.9746359926213</c:v>
                </c:pt>
                <c:pt idx="932">
                  <c:v>588.9746359926213</c:v>
                </c:pt>
                <c:pt idx="933">
                  <c:v>588.9746359926213</c:v>
                </c:pt>
                <c:pt idx="934">
                  <c:v>588.9746359926213</c:v>
                </c:pt>
                <c:pt idx="935">
                  <c:v>588.9746359926213</c:v>
                </c:pt>
                <c:pt idx="936">
                  <c:v>588.9746359926213</c:v>
                </c:pt>
                <c:pt idx="937">
                  <c:v>588.9746359926213</c:v>
                </c:pt>
                <c:pt idx="938">
                  <c:v>588.9746359926213</c:v>
                </c:pt>
                <c:pt idx="939">
                  <c:v>588.9746359926213</c:v>
                </c:pt>
                <c:pt idx="940">
                  <c:v>588.9746359926213</c:v>
                </c:pt>
                <c:pt idx="941">
                  <c:v>588.9746359926213</c:v>
                </c:pt>
                <c:pt idx="942">
                  <c:v>588.9746359926213</c:v>
                </c:pt>
                <c:pt idx="943">
                  <c:v>588.9746359926213</c:v>
                </c:pt>
                <c:pt idx="944">
                  <c:v>588.9746359926213</c:v>
                </c:pt>
                <c:pt idx="945">
                  <c:v>588.9746359926213</c:v>
                </c:pt>
                <c:pt idx="946">
                  <c:v>588.9746359926213</c:v>
                </c:pt>
                <c:pt idx="947">
                  <c:v>588.9746359926213</c:v>
                </c:pt>
                <c:pt idx="948">
                  <c:v>588.9746359926213</c:v>
                </c:pt>
                <c:pt idx="949">
                  <c:v>588.9746359926213</c:v>
                </c:pt>
                <c:pt idx="950">
                  <c:v>588.9746359926213</c:v>
                </c:pt>
                <c:pt idx="951">
                  <c:v>588.9746359926213</c:v>
                </c:pt>
                <c:pt idx="952">
                  <c:v>588.9746359926213</c:v>
                </c:pt>
                <c:pt idx="953">
                  <c:v>588.9746359926213</c:v>
                </c:pt>
                <c:pt idx="954">
                  <c:v>588.9746359926213</c:v>
                </c:pt>
                <c:pt idx="955">
                  <c:v>588.9746359926213</c:v>
                </c:pt>
                <c:pt idx="956">
                  <c:v>588.9746359926213</c:v>
                </c:pt>
                <c:pt idx="957">
                  <c:v>588.9746359926213</c:v>
                </c:pt>
                <c:pt idx="958">
                  <c:v>588.9746359926213</c:v>
                </c:pt>
                <c:pt idx="959">
                  <c:v>588.9746359926213</c:v>
                </c:pt>
                <c:pt idx="960">
                  <c:v>588.9746359926213</c:v>
                </c:pt>
                <c:pt idx="961">
                  <c:v>588.9746359926213</c:v>
                </c:pt>
                <c:pt idx="962">
                  <c:v>588.9746359926213</c:v>
                </c:pt>
                <c:pt idx="963">
                  <c:v>588.9746359926213</c:v>
                </c:pt>
                <c:pt idx="964">
                  <c:v>588.9746359926213</c:v>
                </c:pt>
                <c:pt idx="965">
                  <c:v>588.9746359926213</c:v>
                </c:pt>
                <c:pt idx="966">
                  <c:v>588.9746359926213</c:v>
                </c:pt>
                <c:pt idx="967">
                  <c:v>588.9746359926213</c:v>
                </c:pt>
                <c:pt idx="968">
                  <c:v>588.9746359926213</c:v>
                </c:pt>
                <c:pt idx="969">
                  <c:v>588.9746359926213</c:v>
                </c:pt>
                <c:pt idx="970">
                  <c:v>588.9746359926213</c:v>
                </c:pt>
                <c:pt idx="971">
                  <c:v>588.9746359926213</c:v>
                </c:pt>
                <c:pt idx="972">
                  <c:v>588.9746359926213</c:v>
                </c:pt>
                <c:pt idx="973">
                  <c:v>588.9746359926213</c:v>
                </c:pt>
                <c:pt idx="974">
                  <c:v>588.9746359926213</c:v>
                </c:pt>
                <c:pt idx="975">
                  <c:v>588.9746359926213</c:v>
                </c:pt>
                <c:pt idx="976">
                  <c:v>588.9746359926213</c:v>
                </c:pt>
                <c:pt idx="977">
                  <c:v>588.9746359926213</c:v>
                </c:pt>
                <c:pt idx="978">
                  <c:v>588.9746359926213</c:v>
                </c:pt>
                <c:pt idx="979">
                  <c:v>588.9746359926213</c:v>
                </c:pt>
                <c:pt idx="980">
                  <c:v>588.9746359926213</c:v>
                </c:pt>
                <c:pt idx="981">
                  <c:v>588.9746359926213</c:v>
                </c:pt>
                <c:pt idx="982">
                  <c:v>588.9746359926213</c:v>
                </c:pt>
                <c:pt idx="983">
                  <c:v>588.9746359926213</c:v>
                </c:pt>
                <c:pt idx="984">
                  <c:v>588.9746359926213</c:v>
                </c:pt>
                <c:pt idx="985">
                  <c:v>588.9746359926213</c:v>
                </c:pt>
                <c:pt idx="986">
                  <c:v>588.9746359926213</c:v>
                </c:pt>
                <c:pt idx="987">
                  <c:v>588.9746359926213</c:v>
                </c:pt>
                <c:pt idx="988">
                  <c:v>588.9746359926213</c:v>
                </c:pt>
                <c:pt idx="989">
                  <c:v>588.9746359926213</c:v>
                </c:pt>
                <c:pt idx="990">
                  <c:v>588.9746359926213</c:v>
                </c:pt>
                <c:pt idx="991">
                  <c:v>588.9746359926213</c:v>
                </c:pt>
                <c:pt idx="992">
                  <c:v>588.9746359926213</c:v>
                </c:pt>
                <c:pt idx="993">
                  <c:v>588.9746359926213</c:v>
                </c:pt>
                <c:pt idx="994">
                  <c:v>588.9746359926213</c:v>
                </c:pt>
                <c:pt idx="995">
                  <c:v>588.9746359926213</c:v>
                </c:pt>
                <c:pt idx="996">
                  <c:v>588.9746359926213</c:v>
                </c:pt>
                <c:pt idx="997">
                  <c:v>588.9746359926213</c:v>
                </c:pt>
                <c:pt idx="998">
                  <c:v>588.9746359926213</c:v>
                </c:pt>
                <c:pt idx="999">
                  <c:v>588.9746359926213</c:v>
                </c:pt>
                <c:pt idx="1000">
                  <c:v>588.9746359926213</c:v>
                </c:pt>
              </c:numCache>
            </c:numRef>
          </c:xVal>
          <c:yVal>
            <c:numRef>
              <c:f>Calculs!$AE$4:$AE$1004</c:f>
              <c:numCache>
                <c:formatCode>0</c:formatCode>
                <c:ptCount val="1001"/>
                <c:pt idx="0">
                  <c:v>487.84771914632313</c:v>
                </c:pt>
                <c:pt idx="1">
                  <c:v>489.54718062018776</c:v>
                </c:pt>
                <c:pt idx="2">
                  <c:v>491.24294032459193</c:v>
                </c:pt>
                <c:pt idx="3">
                  <c:v>492.93501052437801</c:v>
                </c:pt>
                <c:pt idx="4">
                  <c:v>494.62340341378064</c:v>
                </c:pt>
                <c:pt idx="5">
                  <c:v>496.30813111696835</c:v>
                </c:pt>
                <c:pt idx="6">
                  <c:v>497.98920568858028</c:v>
                </c:pt>
                <c:pt idx="7">
                  <c:v>499.66663911425746</c:v>
                </c:pt>
                <c:pt idx="8">
                  <c:v>501.34044331116917</c:v>
                </c:pt>
                <c:pt idx="9">
                  <c:v>503.01063012853422</c:v>
                </c:pt>
                <c:pt idx="10">
                  <c:v>504.67721134813729</c:v>
                </c:pt>
                <c:pt idx="11">
                  <c:v>506.34019866652045</c:v>
                </c:pt>
                <c:pt idx="12">
                  <c:v>507.99960367772184</c:v>
                </c:pt>
                <c:pt idx="13">
                  <c:v>509.65543789319361</c:v>
                </c:pt>
                <c:pt idx="14">
                  <c:v>511.30771276114598</c:v>
                </c:pt>
                <c:pt idx="15">
                  <c:v>512.95643966700504</c:v>
                </c:pt>
                <c:pt idx="16">
                  <c:v>514.60162993386643</c:v>
                </c:pt>
                <c:pt idx="17">
                  <c:v>516.24329482294513</c:v>
                </c:pt>
                <c:pt idx="18">
                  <c:v>517.88144553402083</c:v>
                </c:pt>
                <c:pt idx="19">
                  <c:v>519.51609320587932</c:v>
                </c:pt>
                <c:pt idx="20">
                  <c:v>521.14724891675007</c:v>
                </c:pt>
                <c:pt idx="21">
                  <c:v>522.77492369390814</c:v>
                </c:pt>
                <c:pt idx="22">
                  <c:v>524.39912852300677</c:v>
                </c:pt>
                <c:pt idx="23">
                  <c:v>526.01987433880925</c:v>
                </c:pt>
                <c:pt idx="24">
                  <c:v>527.63717201618897</c:v>
                </c:pt>
                <c:pt idx="25">
                  <c:v>529.25103237056396</c:v>
                </c:pt>
                <c:pt idx="26">
                  <c:v>530.86146615832718</c:v>
                </c:pt>
                <c:pt idx="27">
                  <c:v>532.46848407727305</c:v>
                </c:pt>
                <c:pt idx="28">
                  <c:v>534.07209676702007</c:v>
                </c:pt>
                <c:pt idx="29">
                  <c:v>535.67231480942951</c:v>
                </c:pt>
                <c:pt idx="30">
                  <c:v>537.26914872902034</c:v>
                </c:pt>
                <c:pt idx="31">
                  <c:v>538.8626089933806</c:v>
                </c:pt>
                <c:pt idx="32">
                  <c:v>540.45270601357493</c:v>
                </c:pt>
                <c:pt idx="33">
                  <c:v>542.03945014454814</c:v>
                </c:pt>
                <c:pt idx="34">
                  <c:v>543.6228516855258</c:v>
                </c:pt>
                <c:pt idx="35">
                  <c:v>545.2029208804106</c:v>
                </c:pt>
                <c:pt idx="36">
                  <c:v>546.77966791817539</c:v>
                </c:pt>
                <c:pt idx="37">
                  <c:v>548.35310293325301</c:v>
                </c:pt>
                <c:pt idx="38">
                  <c:v>549.92323600592215</c:v>
                </c:pt>
                <c:pt idx="39">
                  <c:v>551.49007716269</c:v>
                </c:pt>
                <c:pt idx="40">
                  <c:v>553.05363637667176</c:v>
                </c:pt>
                <c:pt idx="41">
                  <c:v>554.61392356796614</c:v>
                </c:pt>
                <c:pt idx="42">
                  <c:v>556.17094860402813</c:v>
                </c:pt>
                <c:pt idx="43">
                  <c:v>557.72472130003825</c:v>
                </c:pt>
                <c:pt idx="44">
                  <c:v>559.27525141926856</c:v>
                </c:pt>
                <c:pt idx="45">
                  <c:v>560.82254867344523</c:v>
                </c:pt>
                <c:pt idx="46">
                  <c:v>562.36662272310855</c:v>
                </c:pt>
                <c:pt idx="47">
                  <c:v>563.90748317796897</c:v>
                </c:pt>
                <c:pt idx="48">
                  <c:v>565.44513959726044</c:v>
                </c:pt>
                <c:pt idx="49">
                  <c:v>566.97960149009089</c:v>
                </c:pt>
                <c:pt idx="50">
                  <c:v>568.51087831578911</c:v>
                </c:pt>
                <c:pt idx="51">
                  <c:v>570.03897948424901</c:v>
                </c:pt>
                <c:pt idx="52">
                  <c:v>571.56391435627074</c:v>
                </c:pt>
                <c:pt idx="53">
                  <c:v>573.08569224389885</c:v>
                </c:pt>
                <c:pt idx="54">
                  <c:v>574.6043224107575</c:v>
                </c:pt>
                <c:pt idx="55">
                  <c:v>576.11981407238295</c:v>
                </c:pt>
                <c:pt idx="56">
                  <c:v>577.63217639655272</c:v>
                </c:pt>
                <c:pt idx="57">
                  <c:v>579.14141850361273</c:v>
                </c:pt>
                <c:pt idx="58">
                  <c:v>580.64754946680046</c:v>
                </c:pt>
                <c:pt idx="59">
                  <c:v>582.15057831256649</c:v>
                </c:pt>
                <c:pt idx="60">
                  <c:v>583.6505140208925</c:v>
                </c:pt>
                <c:pt idx="61">
                  <c:v>585.14736552560703</c:v>
                </c:pt>
                <c:pt idx="62">
                  <c:v>586.64114171469828</c:v>
                </c:pt>
                <c:pt idx="63">
                  <c:v>588.13185143062412</c:v>
                </c:pt>
                <c:pt idx="64">
                  <c:v>589.61950347061975</c:v>
                </c:pt>
                <c:pt idx="65">
                  <c:v>591.10410658700266</c:v>
                </c:pt>
                <c:pt idx="66">
                  <c:v>592.585669487475</c:v>
                </c:pt>
                <c:pt idx="67">
                  <c:v>594.06420083542309</c:v>
                </c:pt>
                <c:pt idx="68">
                  <c:v>595.53970925021508</c:v>
                </c:pt>
                <c:pt idx="69">
                  <c:v>597.01220330749527</c:v>
                </c:pt>
                <c:pt idx="70">
                  <c:v>598.48169153947663</c:v>
                </c:pt>
                <c:pt idx="71">
                  <c:v>599.94818243523036</c:v>
                </c:pt>
                <c:pt idx="72">
                  <c:v>601.41168444097343</c:v>
                </c:pt>
                <c:pt idx="73">
                  <c:v>602.87220596035343</c:v>
                </c:pt>
                <c:pt idx="74">
                  <c:v>604.32975535473099</c:v>
                </c:pt>
                <c:pt idx="75">
                  <c:v>605.78434094346017</c:v>
                </c:pt>
                <c:pt idx="76">
                  <c:v>607.23597100416623</c:v>
                </c:pt>
                <c:pt idx="77">
                  <c:v>608.68465377302118</c:v>
                </c:pt>
                <c:pt idx="78">
                  <c:v>610.1303974450168</c:v>
                </c:pt>
                <c:pt idx="79">
                  <c:v>611.57321017423601</c:v>
                </c:pt>
                <c:pt idx="80">
                  <c:v>613.01310007412121</c:v>
                </c:pt>
                <c:pt idx="81">
                  <c:v>614.45007521774107</c:v>
                </c:pt>
                <c:pt idx="82">
                  <c:v>615.88414363805452</c:v>
                </c:pt>
                <c:pt idx="83">
                  <c:v>617.31531332817315</c:v>
                </c:pt>
                <c:pt idx="84">
                  <c:v>618.74359224162106</c:v>
                </c:pt>
                <c:pt idx="85">
                  <c:v>620.16898829259253</c:v>
                </c:pt>
                <c:pt idx="86">
                  <c:v>621.59150935620801</c:v>
                </c:pt>
                <c:pt idx="87">
                  <c:v>623.0111632687674</c:v>
                </c:pt>
                <c:pt idx="88">
                  <c:v>624.42795782800181</c:v>
                </c:pt>
                <c:pt idx="89">
                  <c:v>625.84190079332302</c:v>
                </c:pt>
                <c:pt idx="90">
                  <c:v>627.25299988607094</c:v>
                </c:pt>
                <c:pt idx="91">
                  <c:v>628.66126278975878</c:v>
                </c:pt>
                <c:pt idx="92">
                  <c:v>630.06669715031683</c:v>
                </c:pt>
                <c:pt idx="93">
                  <c:v>631.46931057633356</c:v>
                </c:pt>
                <c:pt idx="94">
                  <c:v>632.86911063929551</c:v>
                </c:pt>
                <c:pt idx="95">
                  <c:v>634.26610487382459</c:v>
                </c:pt>
                <c:pt idx="96">
                  <c:v>635.66030077791379</c:v>
                </c:pt>
                <c:pt idx="97">
                  <c:v>637.05170581316088</c:v>
                </c:pt>
                <c:pt idx="98">
                  <c:v>638.4403274050004</c:v>
                </c:pt>
                <c:pt idx="99">
                  <c:v>639.82617294293357</c:v>
                </c:pt>
                <c:pt idx="100">
                  <c:v>641.20924978075629</c:v>
                </c:pt>
                <c:pt idx="101">
                  <c:v>654.8883064246296</c:v>
                </c:pt>
                <c:pt idx="102">
                  <c:v>668.29518584562084</c:v>
                </c:pt>
                <c:pt idx="103">
                  <c:v>681.4369102654988</c:v>
                </c:pt>
                <c:pt idx="104">
                  <c:v>694.32017301844894</c:v>
                </c:pt>
                <c:pt idx="105">
                  <c:v>706.95135849586541</c:v>
                </c:pt>
                <c:pt idx="106">
                  <c:v>719.33656058114059</c:v>
                </c:pt>
                <c:pt idx="107">
                  <c:v>731.48159971003008</c:v>
                </c:pt>
                <c:pt idx="108">
                  <c:v>743.39203867812012</c:v>
                </c:pt>
                <c:pt idx="109">
                  <c:v>755.07319730452218</c:v>
                </c:pt>
                <c:pt idx="110">
                  <c:v>766.53016604994252</c:v>
                </c:pt>
                <c:pt idx="111">
                  <c:v>777.76781867754846</c:v>
                </c:pt>
                <c:pt idx="112">
                  <c:v>788.79082403641416</c:v>
                </c:pt>
                <c:pt idx="113">
                  <c:v>799.60365703964408</c:v>
                </c:pt>
                <c:pt idx="114">
                  <c:v>810.21060890242518</c:v>
                </c:pt>
                <c:pt idx="115">
                  <c:v>820.61579669914533</c:v>
                </c:pt>
                <c:pt idx="116">
                  <c:v>830.82317229325099</c:v>
                </c:pt>
                <c:pt idx="117">
                  <c:v>840.83653068862282</c:v>
                </c:pt>
                <c:pt idx="118">
                  <c:v>850.65951784685899</c:v>
                </c:pt>
                <c:pt idx="119">
                  <c:v>860.29563801091285</c:v>
                </c:pt>
                <c:pt idx="120">
                  <c:v>869.74826057198595</c:v>
                </c:pt>
                <c:pt idx="121">
                  <c:v>879.02062651338156</c:v>
                </c:pt>
                <c:pt idx="122">
                  <c:v>888.11585446214428</c:v>
                </c:pt>
                <c:pt idx="123">
                  <c:v>897.03694637670628</c:v>
                </c:pt>
                <c:pt idx="124">
                  <c:v>905.7867928964082</c:v>
                </c:pt>
                <c:pt idx="125">
                  <c:v>914.36817837663011</c:v>
                </c:pt>
                <c:pt idx="126">
                  <c:v>922.78378563133606</c:v>
                </c:pt>
                <c:pt idx="127">
                  <c:v>931.03620040307953</c:v>
                </c:pt>
                <c:pt idx="128">
                  <c:v>939.12791557892479</c:v>
                </c:pt>
                <c:pt idx="129">
                  <c:v>947.0613351692848</c:v>
                </c:pt>
                <c:pt idx="130">
                  <c:v>954.83877806535861</c:v>
                </c:pt>
                <c:pt idx="131">
                  <c:v>962.46248158964181</c:v>
                </c:pt>
                <c:pt idx="132">
                  <c:v>969.93460485288688</c:v>
                </c:pt>
                <c:pt idx="133">
                  <c:v>977.25723192988255</c:v>
                </c:pt>
                <c:pt idx="134">
                  <c:v>984.43237486550208</c:v>
                </c:pt>
                <c:pt idx="135">
                  <c:v>991.46197652162948</c:v>
                </c:pt>
                <c:pt idx="136">
                  <c:v>998.34791327479911</c:v>
                </c:pt>
                <c:pt idx="137">
                  <c:v>1005.0919975736781</c:v>
                </c:pt>
                <c:pt idx="138">
                  <c:v>1011.6959803648698</c:v>
                </c:pt>
                <c:pt idx="139">
                  <c:v>1018.1615533949202</c:v>
                </c:pt>
                <c:pt idx="140">
                  <c:v>1024.4903513958591</c:v>
                </c:pt>
                <c:pt idx="141">
                  <c:v>1030.6839541611039</c:v>
                </c:pt>
                <c:pt idx="142">
                  <c:v>1036.7438885180875</c:v>
                </c:pt>
                <c:pt idx="143">
                  <c:v>1042.6716302035431</c:v>
                </c:pt>
                <c:pt idx="144">
                  <c:v>1048.4686056469832</c:v>
                </c:pt>
                <c:pt idx="145">
                  <c:v>1054.1361936675453</c:v>
                </c:pt>
                <c:pt idx="146">
                  <c:v>1059.6757270890419</c:v>
                </c:pt>
                <c:pt idx="147">
                  <c:v>1065.0884942777361</c:v>
                </c:pt>
                <c:pt idx="148">
                  <c:v>1070.3757406070858</c:v>
                </c:pt>
                <c:pt idx="149">
                  <c:v>1075.5386698534239</c:v>
                </c:pt>
                <c:pt idx="150">
                  <c:v>1080.5784455263081</c:v>
                </c:pt>
                <c:pt idx="151">
                  <c:v>1085.496192137038</c:v>
                </c:pt>
                <c:pt idx="152">
                  <c:v>1090.2929964086363</c:v>
                </c:pt>
                <c:pt idx="153">
                  <c:v>1094.9699084303936</c:v>
                </c:pt>
                <c:pt idx="154">
                  <c:v>1099.5279427599037</c:v>
                </c:pt>
                <c:pt idx="155">
                  <c:v>1103.968079475351</c:v>
                </c:pt>
                <c:pt idx="156">
                  <c:v>1108.2912651806644</c:v>
                </c:pt>
                <c:pt idx="157">
                  <c:v>1112.4984139660166</c:v>
                </c:pt>
                <c:pt idx="158">
                  <c:v>1116.5904083260243</c:v>
                </c:pt>
                <c:pt idx="159">
                  <c:v>1120.5681000378938</c:v>
                </c:pt>
                <c:pt idx="160">
                  <c:v>1124.432311001658</c:v>
                </c:pt>
                <c:pt idx="161">
                  <c:v>1128.1838340445643</c:v>
                </c:pt>
                <c:pt idx="162">
                  <c:v>1131.8234336915939</c:v>
                </c:pt>
                <c:pt idx="163">
                  <c:v>1135.3518469040362</c:v>
                </c:pt>
                <c:pt idx="164">
                  <c:v>1138.7697837879821</c:v>
                </c:pt>
                <c:pt idx="165">
                  <c:v>1142.0779282745702</c:v>
                </c:pt>
                <c:pt idx="166">
                  <c:v>1145.2769387737878</c:v>
                </c:pt>
                <c:pt idx="167">
                  <c:v>1148.3674488036224</c:v>
                </c:pt>
                <c:pt idx="168">
                  <c:v>1151.3500675963605</c:v>
                </c:pt>
                <c:pt idx="169">
                  <c:v>1154.2253806838569</c:v>
                </c:pt>
                <c:pt idx="170">
                  <c:v>1156.9939504636304</c:v>
                </c:pt>
                <c:pt idx="171">
                  <c:v>1159.6563167477091</c:v>
                </c:pt>
                <c:pt idx="172">
                  <c:v>1162.2129972962246</c:v>
                </c:pt>
                <c:pt idx="173">
                  <c:v>1164.6644883378669</c:v>
                </c:pt>
                <c:pt idx="174">
                  <c:v>1167.0112650794408</c:v>
                </c:pt>
                <c:pt idx="175">
                  <c:v>1169.2537822069319</c:v>
                </c:pt>
                <c:pt idx="176">
                  <c:v>1171.3924743806851</c:v>
                </c:pt>
                <c:pt idx="177">
                  <c:v>1173.427756727531</c:v>
                </c:pt>
                <c:pt idx="178">
                  <c:v>1175.3600253329564</c:v>
                </c:pt>
                <c:pt idx="179">
                  <c:v>1177.1896577367297</c:v>
                </c:pt>
                <c:pt idx="180">
                  <c:v>1178.9170134357166</c:v>
                </c:pt>
                <c:pt idx="181">
                  <c:v>1180.542434398003</c:v>
                </c:pt>
                <c:pt idx="182">
                  <c:v>1182.0662455928264</c:v>
                </c:pt>
                <c:pt idx="183">
                  <c:v>1183.4887555412233</c:v>
                </c:pt>
                <c:pt idx="184">
                  <c:v>1184.8102568926899</c:v>
                </c:pt>
                <c:pt idx="185">
                  <c:v>1186.0310270335058</c:v>
                </c:pt>
                <c:pt idx="186">
                  <c:v>1187.1513287326436</c:v>
                </c:pt>
                <c:pt idx="187">
                  <c:v>1188.1714108313329</c:v>
                </c:pt>
                <c:pt idx="188">
                  <c:v>1189.0915089823011</c:v>
                </c:pt>
                <c:pt idx="189">
                  <c:v>1189.9118464444084</c:v>
                </c:pt>
                <c:pt idx="190">
                  <c:v>1190.6326349377516</c:v>
                </c:pt>
                <c:pt idx="191">
                  <c:v>1191.2540755632692</c:v>
                </c:pt>
                <c:pt idx="192">
                  <c:v>1191.7763597893713</c:v>
                </c:pt>
                <c:pt idx="193">
                  <c:v>1192.1996705061306</c:v>
                </c:pt>
                <c:pt idx="194">
                  <c:v>1192.5241831451251</c:v>
                </c:pt>
                <c:pt idx="195">
                  <c:v>1192.7500668602081</c:v>
                </c:pt>
                <c:pt idx="196">
                  <c:v>1192.8774857614485</c:v>
                </c:pt>
                <c:pt idx="197">
                  <c:v>1192.9066001914607</c:v>
                </c:pt>
                <c:pt idx="198">
                  <c:v>1192.8375680305887</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yVal>
          <c:smooth val="0"/>
          <c:extLst>
            <c:ext xmlns:c16="http://schemas.microsoft.com/office/drawing/2014/chart" uri="{C3380CC4-5D6E-409C-BE32-E72D297353CC}">
              <c16:uniqueId val="{00000005-432A-49A9-9499-7ED3E32DDB07}"/>
            </c:ext>
          </c:extLst>
        </c:ser>
        <c:ser>
          <c:idx val="6"/>
          <c:order val="5"/>
          <c:tx>
            <c:strRef>
              <c:f>Trajecto!$B$107</c:f>
              <c:strCache>
                <c:ptCount val="1"/>
                <c:pt idx="0">
                  <c:v>Phase ascendante</c:v>
                </c:pt>
              </c:strCache>
            </c:strRef>
          </c:tx>
          <c:spPr>
            <a:ln w="28575">
              <a:noFill/>
            </a:ln>
          </c:spPr>
          <c:marker>
            <c:symbol val="none"/>
          </c:marker>
          <c:dLbls>
            <c:spPr>
              <a:noFill/>
              <a:ln w="25400">
                <a:noFill/>
              </a:ln>
            </c:spPr>
            <c:txPr>
              <a:bodyPr/>
              <a:lstStyle/>
              <a:p>
                <a:pPr>
                  <a:defRPr sz="700" b="1" i="0" u="none" strike="noStrike" baseline="0">
                    <a:solidFill>
                      <a:srgbClr val="000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Trajecto!$D$158</c:f>
              <c:numCache>
                <c:formatCode>0</c:formatCode>
                <c:ptCount val="1"/>
                <c:pt idx="0">
                  <c:v>88.61961782709929</c:v>
                </c:pt>
              </c:numCache>
            </c:numRef>
          </c:xVal>
          <c:yVal>
            <c:numRef>
              <c:f>Trajecto!$C$158</c:f>
              <c:numCache>
                <c:formatCode>0</c:formatCode>
                <c:ptCount val="1"/>
                <c:pt idx="0">
                  <c:v>596.41878401529436</c:v>
                </c:pt>
              </c:numCache>
            </c:numRef>
          </c:yVal>
          <c:smooth val="0"/>
          <c:extLst>
            <c:ext xmlns:c16="http://schemas.microsoft.com/office/drawing/2014/chart" uri="{C3380CC4-5D6E-409C-BE32-E72D297353CC}">
              <c16:uniqueId val="{00000006-432A-49A9-9499-7ED3E32DDB07}"/>
            </c:ext>
          </c:extLst>
        </c:ser>
        <c:ser>
          <c:idx val="7"/>
          <c:order val="6"/>
          <c:tx>
            <c:strRef>
              <c:f>Trajecto!$B$108</c:f>
              <c:strCache>
                <c:ptCount val="1"/>
                <c:pt idx="0">
                  <c:v>Descente balistique</c:v>
                </c:pt>
              </c:strCache>
            </c:strRef>
          </c:tx>
          <c:spPr>
            <a:ln w="28575">
              <a:noFill/>
            </a:ln>
          </c:spPr>
          <c:marker>
            <c:symbol val="none"/>
          </c:marker>
          <c:dLbls>
            <c:spPr>
              <a:noFill/>
              <a:ln w="25400">
                <a:noFill/>
              </a:ln>
            </c:spPr>
            <c:txPr>
              <a:bodyPr/>
              <a:lstStyle/>
              <a:p>
                <a:pPr>
                  <a:defRPr sz="700" b="1" i="0" u="none" strike="noStrike" baseline="0">
                    <a:solidFill>
                      <a:srgbClr val="808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Trajecto!$D$159</c:f>
              <c:numCache>
                <c:formatCode>0</c:formatCode>
                <c:ptCount val="1"/>
                <c:pt idx="0">
                  <c:v>509.56971241463049</c:v>
                </c:pt>
              </c:numCache>
            </c:numRef>
          </c:xVal>
          <c:yVal>
            <c:numRef>
              <c:f>Trajecto!$C$159</c:f>
              <c:numCache>
                <c:formatCode>0</c:formatCode>
                <c:ptCount val="1"/>
                <c:pt idx="0">
                  <c:v>596.43874288072425</c:v>
                </c:pt>
              </c:numCache>
            </c:numRef>
          </c:yVal>
          <c:smooth val="0"/>
          <c:extLst>
            <c:ext xmlns:c16="http://schemas.microsoft.com/office/drawing/2014/chart" uri="{C3380CC4-5D6E-409C-BE32-E72D297353CC}">
              <c16:uniqueId val="{00000007-432A-49A9-9499-7ED3E32DDB07}"/>
            </c:ext>
          </c:extLst>
        </c:ser>
        <c:ser>
          <c:idx val="8"/>
          <c:order val="7"/>
          <c:tx>
            <c:strRef>
              <c:f>Trajecto!$D$161</c:f>
              <c:strCache>
                <c:ptCount val="1"/>
                <c:pt idx="0">
                  <c:v>Arc de triomphe</c:v>
                </c:pt>
              </c:strCache>
            </c:strRef>
          </c:tx>
          <c:spPr>
            <a:ln>
              <a:solidFill>
                <a:srgbClr val="C0C0C0"/>
              </a:solidFill>
            </a:ln>
          </c:spPr>
          <c:marker>
            <c:symbol val="none"/>
          </c:marker>
          <c:dLbls>
            <c:dLbl>
              <c:idx val="8"/>
              <c:tx>
                <c:strRef>
                  <c:f>Trajecto!$D$161</c:f>
                  <c:strCache>
                    <c:ptCount val="1"/>
                    <c:pt idx="0">
                      <c:v>Arc de triomphe</c:v>
                    </c:pt>
                  </c:strCache>
                </c:strRef>
              </c:tx>
              <c:spPr/>
              <c:txPr>
                <a:bodyPr/>
                <a:lstStyle/>
                <a:p>
                  <a:pPr>
                    <a:defRPr sz="700" b="0" i="0" u="none" strike="noStrike" baseline="0">
                      <a:solidFill>
                        <a:srgbClr val="C0C0C0"/>
                      </a:solidFill>
                      <a:latin typeface="Arial"/>
                      <a:ea typeface="Arial"/>
                      <a:cs typeface="Arial"/>
                    </a:defRPr>
                  </a:pPr>
                  <a:endParaRPr lang="fr-FR"/>
                </a:p>
              </c:txPr>
              <c:showLegendKey val="0"/>
              <c:showVal val="0"/>
              <c:showCatName val="0"/>
              <c:showSerName val="0"/>
              <c:showPercent val="0"/>
              <c:showBubbleSize val="0"/>
              <c:extLst>
                <c:ext xmlns:c15="http://schemas.microsoft.com/office/drawing/2012/chart" uri="{CE6537A1-D6FC-4f65-9D91-7224C49458BB}">
                  <c15:dlblFieldTable>
                    <c15:dlblFTEntry>
                      <c15:txfldGUID>{2FD362B5-2796-41F6-8B6D-E1C2A0A89BCC}</c15:txfldGUID>
                      <c15:f>Trajecto!$D$161</c15:f>
                      <c15:dlblFieldTableCache>
                        <c:ptCount val="1"/>
                        <c:pt idx="0">
                          <c:v>Arc de triomphe</c:v>
                        </c:pt>
                      </c15:dlblFieldTableCache>
                    </c15:dlblFTEntry>
                  </c15:dlblFieldTable>
                  <c15:showDataLabelsRange val="0"/>
                </c:ext>
                <c:ext xmlns:c16="http://schemas.microsoft.com/office/drawing/2014/chart" uri="{C3380CC4-5D6E-409C-BE32-E72D297353CC}">
                  <c16:uniqueId val="{00000008-432A-49A9-9499-7ED3E32DDB0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Trajecto!$D$162:$D$177</c:f>
              <c:numCache>
                <c:formatCode>0</c:formatCode>
                <c:ptCount val="16"/>
                <c:pt idx="0">
                  <c:v>350.75986525864886</c:v>
                </c:pt>
                <c:pt idx="1">
                  <c:v>373.75986525864886</c:v>
                </c:pt>
                <c:pt idx="2">
                  <c:v>373.75986525864886</c:v>
                </c:pt>
                <c:pt idx="3">
                  <c:v>350.75986525864886</c:v>
                </c:pt>
                <c:pt idx="4">
                  <c:v>373.75986525864886</c:v>
                </c:pt>
                <c:pt idx="5">
                  <c:v>373.75986525864886</c:v>
                </c:pt>
                <c:pt idx="6">
                  <c:v>358.75986525864886</c:v>
                </c:pt>
                <c:pt idx="7">
                  <c:v>358.75986525864886</c:v>
                </c:pt>
                <c:pt idx="8">
                  <c:v>373.75986525864886</c:v>
                </c:pt>
                <c:pt idx="9">
                  <c:v>358.75986525864886</c:v>
                </c:pt>
                <c:pt idx="10">
                  <c:v>358.35986525864888</c:v>
                </c:pt>
                <c:pt idx="11">
                  <c:v>357.55986525864887</c:v>
                </c:pt>
                <c:pt idx="12">
                  <c:v>356.75986525864886</c:v>
                </c:pt>
                <c:pt idx="13">
                  <c:v>355.75986525864886</c:v>
                </c:pt>
                <c:pt idx="14">
                  <c:v>354.55986525864887</c:v>
                </c:pt>
                <c:pt idx="15">
                  <c:v>350.75986525864886</c:v>
                </c:pt>
              </c:numCache>
            </c:numRef>
          </c:xVal>
          <c:yVal>
            <c:numRef>
              <c:f>Trajecto!$B$162:$B$177</c:f>
              <c:numCache>
                <c:formatCode>General</c:formatCode>
                <c:ptCount val="1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numCache>
            </c:numRef>
          </c:yVal>
          <c:smooth val="0"/>
          <c:extLst>
            <c:ext xmlns:c16="http://schemas.microsoft.com/office/drawing/2014/chart" uri="{C3380CC4-5D6E-409C-BE32-E72D297353CC}">
              <c16:uniqueId val="{00000009-432A-49A9-9499-7ED3E32DDB07}"/>
            </c:ext>
          </c:extLst>
        </c:ser>
        <c:ser>
          <c:idx val="9"/>
          <c:order val="8"/>
          <c:tx>
            <c:strRef>
              <c:f>Trajecto!$F$162</c:f>
              <c:strCache>
                <c:ptCount val="1"/>
                <c:pt idx="0">
                  <c:v>Arc de triomphe</c:v>
                </c:pt>
              </c:strCache>
            </c:strRef>
          </c:tx>
          <c:spPr>
            <a:ln>
              <a:solidFill>
                <a:srgbClr val="C0C0C0"/>
              </a:solidFill>
            </a:ln>
          </c:spPr>
          <c:marker>
            <c:symbol val="none"/>
          </c:marker>
          <c:xVal>
            <c:numRef>
              <c:f>Trajecto!$F$163:$F$178</c:f>
              <c:numCache>
                <c:formatCode>0</c:formatCode>
                <c:ptCount val="16"/>
                <c:pt idx="0">
                  <c:v>350.75986525864886</c:v>
                </c:pt>
                <c:pt idx="1">
                  <c:v>327.75986525864886</c:v>
                </c:pt>
                <c:pt idx="2">
                  <c:v>327.75986525864886</c:v>
                </c:pt>
                <c:pt idx="3">
                  <c:v>350.75986525864886</c:v>
                </c:pt>
                <c:pt idx="4">
                  <c:v>327.75986525864886</c:v>
                </c:pt>
                <c:pt idx="5">
                  <c:v>327.75986525864886</c:v>
                </c:pt>
                <c:pt idx="6">
                  <c:v>342.75986525864886</c:v>
                </c:pt>
                <c:pt idx="7">
                  <c:v>342.75986525864886</c:v>
                </c:pt>
                <c:pt idx="8">
                  <c:v>327.75986525864886</c:v>
                </c:pt>
                <c:pt idx="9">
                  <c:v>342.75986525864886</c:v>
                </c:pt>
                <c:pt idx="10">
                  <c:v>343.15986525864884</c:v>
                </c:pt>
                <c:pt idx="11">
                  <c:v>343.95986525864885</c:v>
                </c:pt>
                <c:pt idx="12">
                  <c:v>344.75986525864886</c:v>
                </c:pt>
                <c:pt idx="13">
                  <c:v>345.75986525864886</c:v>
                </c:pt>
                <c:pt idx="14">
                  <c:v>346.95986525864885</c:v>
                </c:pt>
                <c:pt idx="15">
                  <c:v>350.75986525864886</c:v>
                </c:pt>
              </c:numCache>
            </c:numRef>
          </c:xVal>
          <c:yVal>
            <c:numRef>
              <c:f>Trajecto!$B$162:$B$177</c:f>
              <c:numCache>
                <c:formatCode>General</c:formatCode>
                <c:ptCount val="1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numCache>
            </c:numRef>
          </c:yVal>
          <c:smooth val="0"/>
          <c:extLst>
            <c:ext xmlns:c16="http://schemas.microsoft.com/office/drawing/2014/chart" uri="{C3380CC4-5D6E-409C-BE32-E72D297353CC}">
              <c16:uniqueId val="{0000000A-432A-49A9-9499-7ED3E32DDB07}"/>
            </c:ext>
          </c:extLst>
        </c:ser>
        <c:ser>
          <c:idx val="10"/>
          <c:order val="9"/>
          <c:tx>
            <c:strRef>
              <c:f>Trajecto!$D$179</c:f>
              <c:strCache>
                <c:ptCount val="1"/>
                <c:pt idx="0">
                  <c:v>Tour Eiffel</c:v>
                </c:pt>
              </c:strCache>
            </c:strRef>
          </c:tx>
          <c:spPr>
            <a:ln>
              <a:solidFill>
                <a:srgbClr val="C0C0C0"/>
              </a:solidFill>
            </a:ln>
          </c:spPr>
          <c:marker>
            <c:symbol val="none"/>
          </c:marker>
          <c:dLbls>
            <c:dLbl>
              <c:idx val="6"/>
              <c:tx>
                <c:strRef>
                  <c:f>Trajecto!$D$179</c:f>
                  <c:strCache>
                    <c:ptCount val="1"/>
                    <c:pt idx="0">
                      <c:v>Tour Eiffel</c:v>
                    </c:pt>
                  </c:strCache>
                </c:strRef>
              </c:tx>
              <c:spPr/>
              <c:txPr>
                <a:bodyPr/>
                <a:lstStyle/>
                <a:p>
                  <a:pPr>
                    <a:defRPr sz="700" b="0" i="0" u="none" strike="noStrike" baseline="0">
                      <a:solidFill>
                        <a:srgbClr val="C0C0C0"/>
                      </a:solidFill>
                      <a:latin typeface="Arial"/>
                      <a:ea typeface="Arial"/>
                      <a:cs typeface="Arial"/>
                    </a:defRPr>
                  </a:pPr>
                  <a:endParaRPr lang="fr-FR"/>
                </a:p>
              </c:txPr>
              <c:showLegendKey val="0"/>
              <c:showVal val="0"/>
              <c:showCatName val="0"/>
              <c:showSerName val="0"/>
              <c:showPercent val="0"/>
              <c:showBubbleSize val="0"/>
              <c:extLst>
                <c:ext xmlns:c15="http://schemas.microsoft.com/office/drawing/2012/chart" uri="{CE6537A1-D6FC-4f65-9D91-7224C49458BB}">
                  <c15:dlblFieldTable>
                    <c15:dlblFTEntry>
                      <c15:txfldGUID>{23DAE8C0-EB1D-4B75-87A4-76F9C5B9F8D1}</c15:txfldGUID>
                      <c15:f>Trajecto!$D$179</c15:f>
                      <c15:dlblFieldTableCache>
                        <c:ptCount val="1"/>
                        <c:pt idx="0">
                          <c:v>Tour Eiffel</c:v>
                        </c:pt>
                      </c15:dlblFieldTableCache>
                    </c15:dlblFTEntry>
                  </c15:dlblFieldTable>
                  <c15:showDataLabelsRange val="0"/>
                </c:ext>
                <c:ext xmlns:c16="http://schemas.microsoft.com/office/drawing/2014/chart" uri="{C3380CC4-5D6E-409C-BE32-E72D297353CC}">
                  <c16:uniqueId val="{0000000B-432A-49A9-9499-7ED3E32DDB0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Trajecto!$D$180:$D$196</c:f>
              <c:numCache>
                <c:formatCode>0</c:formatCode>
                <c:ptCount val="17"/>
                <c:pt idx="0">
                  <c:v>350.75986525864886</c:v>
                </c:pt>
                <c:pt idx="1">
                  <c:v>350.75986525864886</c:v>
                </c:pt>
                <c:pt idx="2">
                  <c:v>360.75986525864886</c:v>
                </c:pt>
                <c:pt idx="3">
                  <c:v>350.75986525864886</c:v>
                </c:pt>
                <c:pt idx="4">
                  <c:v>360.75986525864886</c:v>
                </c:pt>
                <c:pt idx="5">
                  <c:v>363.75986525864886</c:v>
                </c:pt>
                <c:pt idx="6">
                  <c:v>367.75986525864886</c:v>
                </c:pt>
                <c:pt idx="7">
                  <c:v>370.75986525864886</c:v>
                </c:pt>
                <c:pt idx="8">
                  <c:v>375.75986525864886</c:v>
                </c:pt>
                <c:pt idx="9">
                  <c:v>380.75986525864886</c:v>
                </c:pt>
                <c:pt idx="10">
                  <c:v>386.75986525864886</c:v>
                </c:pt>
                <c:pt idx="11">
                  <c:v>398.75986525864886</c:v>
                </c:pt>
                <c:pt idx="12">
                  <c:v>412.75986525864886</c:v>
                </c:pt>
                <c:pt idx="13">
                  <c:v>387.75986525864886</c:v>
                </c:pt>
                <c:pt idx="14">
                  <c:v>380.75986525864886</c:v>
                </c:pt>
                <c:pt idx="15">
                  <c:v>365.75986525864886</c:v>
                </c:pt>
                <c:pt idx="16">
                  <c:v>350.75986525864886</c:v>
                </c:pt>
              </c:numCache>
            </c:numRef>
          </c:xVal>
          <c:yVal>
            <c:numRef>
              <c:f>Trajecto!$B$180:$B$196</c:f>
              <c:numCache>
                <c:formatCode>General</c:formatCode>
                <c:ptCount val="17"/>
                <c:pt idx="0">
                  <c:v>324</c:v>
                </c:pt>
                <c:pt idx="1">
                  <c:v>300</c:v>
                </c:pt>
                <c:pt idx="2">
                  <c:v>280</c:v>
                </c:pt>
                <c:pt idx="3">
                  <c:v>280</c:v>
                </c:pt>
                <c:pt idx="4">
                  <c:v>280</c:v>
                </c:pt>
                <c:pt idx="5">
                  <c:v>200</c:v>
                </c:pt>
                <c:pt idx="6">
                  <c:v>160</c:v>
                </c:pt>
                <c:pt idx="7">
                  <c:v>115</c:v>
                </c:pt>
                <c:pt idx="8">
                  <c:v>90</c:v>
                </c:pt>
                <c:pt idx="9">
                  <c:v>57</c:v>
                </c:pt>
                <c:pt idx="10">
                  <c:v>40</c:v>
                </c:pt>
                <c:pt idx="11">
                  <c:v>20</c:v>
                </c:pt>
                <c:pt idx="12">
                  <c:v>0.5</c:v>
                </c:pt>
                <c:pt idx="13">
                  <c:v>0.5</c:v>
                </c:pt>
                <c:pt idx="14">
                  <c:v>15</c:v>
                </c:pt>
                <c:pt idx="15">
                  <c:v>30</c:v>
                </c:pt>
                <c:pt idx="16">
                  <c:v>37</c:v>
                </c:pt>
              </c:numCache>
            </c:numRef>
          </c:yVal>
          <c:smooth val="0"/>
          <c:extLst>
            <c:ext xmlns:c16="http://schemas.microsoft.com/office/drawing/2014/chart" uri="{C3380CC4-5D6E-409C-BE32-E72D297353CC}">
              <c16:uniqueId val="{0000000C-432A-49A9-9499-7ED3E32DDB07}"/>
            </c:ext>
          </c:extLst>
        </c:ser>
        <c:ser>
          <c:idx val="11"/>
          <c:order val="10"/>
          <c:tx>
            <c:strRef>
              <c:f>Trajecto!$F$180</c:f>
              <c:strCache>
                <c:ptCount val="1"/>
                <c:pt idx="0">
                  <c:v>Tour Eiffel</c:v>
                </c:pt>
              </c:strCache>
            </c:strRef>
          </c:tx>
          <c:spPr>
            <a:ln>
              <a:solidFill>
                <a:srgbClr val="C0C0C0"/>
              </a:solidFill>
            </a:ln>
          </c:spPr>
          <c:marker>
            <c:symbol val="none"/>
          </c:marker>
          <c:xVal>
            <c:numRef>
              <c:f>Trajecto!$F$181:$F$197</c:f>
              <c:numCache>
                <c:formatCode>0</c:formatCode>
                <c:ptCount val="17"/>
                <c:pt idx="0">
                  <c:v>350.75986525864886</c:v>
                </c:pt>
                <c:pt idx="1">
                  <c:v>350.75986525864886</c:v>
                </c:pt>
                <c:pt idx="2">
                  <c:v>340.75986525864886</c:v>
                </c:pt>
                <c:pt idx="3">
                  <c:v>350.75986525864886</c:v>
                </c:pt>
                <c:pt idx="4">
                  <c:v>340.75986525864886</c:v>
                </c:pt>
                <c:pt idx="5">
                  <c:v>337.75986525864886</c:v>
                </c:pt>
                <c:pt idx="6">
                  <c:v>333.75986525864886</c:v>
                </c:pt>
                <c:pt idx="7">
                  <c:v>330.75986525864886</c:v>
                </c:pt>
                <c:pt idx="8">
                  <c:v>325.75986525864886</c:v>
                </c:pt>
                <c:pt idx="9">
                  <c:v>320.75986525864886</c:v>
                </c:pt>
                <c:pt idx="10">
                  <c:v>314.75986525864886</c:v>
                </c:pt>
                <c:pt idx="11">
                  <c:v>302.75986525864886</c:v>
                </c:pt>
                <c:pt idx="12">
                  <c:v>288.75986525864886</c:v>
                </c:pt>
                <c:pt idx="13">
                  <c:v>313.75986525864886</c:v>
                </c:pt>
                <c:pt idx="14">
                  <c:v>320.75986525864886</c:v>
                </c:pt>
                <c:pt idx="15">
                  <c:v>335.75986525864886</c:v>
                </c:pt>
                <c:pt idx="16">
                  <c:v>350.75986525864886</c:v>
                </c:pt>
              </c:numCache>
            </c:numRef>
          </c:xVal>
          <c:yVal>
            <c:numRef>
              <c:f>Trajecto!$B$180:$B$196</c:f>
              <c:numCache>
                <c:formatCode>General</c:formatCode>
                <c:ptCount val="17"/>
                <c:pt idx="0">
                  <c:v>324</c:v>
                </c:pt>
                <c:pt idx="1">
                  <c:v>300</c:v>
                </c:pt>
                <c:pt idx="2">
                  <c:v>280</c:v>
                </c:pt>
                <c:pt idx="3">
                  <c:v>280</c:v>
                </c:pt>
                <c:pt idx="4">
                  <c:v>280</c:v>
                </c:pt>
                <c:pt idx="5">
                  <c:v>200</c:v>
                </c:pt>
                <c:pt idx="6">
                  <c:v>160</c:v>
                </c:pt>
                <c:pt idx="7">
                  <c:v>115</c:v>
                </c:pt>
                <c:pt idx="8">
                  <c:v>90</c:v>
                </c:pt>
                <c:pt idx="9">
                  <c:v>57</c:v>
                </c:pt>
                <c:pt idx="10">
                  <c:v>40</c:v>
                </c:pt>
                <c:pt idx="11">
                  <c:v>20</c:v>
                </c:pt>
                <c:pt idx="12">
                  <c:v>0.5</c:v>
                </c:pt>
                <c:pt idx="13">
                  <c:v>0.5</c:v>
                </c:pt>
                <c:pt idx="14">
                  <c:v>15</c:v>
                </c:pt>
                <c:pt idx="15">
                  <c:v>30</c:v>
                </c:pt>
                <c:pt idx="16">
                  <c:v>37</c:v>
                </c:pt>
              </c:numCache>
            </c:numRef>
          </c:yVal>
          <c:smooth val="0"/>
          <c:extLst>
            <c:ext xmlns:c16="http://schemas.microsoft.com/office/drawing/2014/chart" uri="{C3380CC4-5D6E-409C-BE32-E72D297353CC}">
              <c16:uniqueId val="{0000000D-432A-49A9-9499-7ED3E32DDB07}"/>
            </c:ext>
          </c:extLst>
        </c:ser>
        <c:ser>
          <c:idx val="12"/>
          <c:order val="11"/>
          <c:tx>
            <c:strRef>
              <c:f>Trajecto!$D$179</c:f>
              <c:strCache>
                <c:ptCount val="1"/>
                <c:pt idx="0">
                  <c:v>Tour Eiffel</c:v>
                </c:pt>
              </c:strCache>
            </c:strRef>
          </c:tx>
          <c:spPr>
            <a:ln>
              <a:solidFill>
                <a:srgbClr val="C0C0C0"/>
              </a:solidFill>
            </a:ln>
          </c:spPr>
          <c:marker>
            <c:symbol val="none"/>
          </c:marker>
          <c:xVal>
            <c:numRef>
              <c:f>Trajecto!$D$197:$D$200</c:f>
              <c:numCache>
                <c:formatCode>0</c:formatCode>
                <c:ptCount val="4"/>
                <c:pt idx="0">
                  <c:v>350.75986525864886</c:v>
                </c:pt>
                <c:pt idx="1">
                  <c:v>367.75986525864886</c:v>
                </c:pt>
                <c:pt idx="2">
                  <c:v>361.75986525864886</c:v>
                </c:pt>
                <c:pt idx="3">
                  <c:v>350.75986525864886</c:v>
                </c:pt>
              </c:numCache>
            </c:numRef>
          </c:xVal>
          <c:yVal>
            <c:numRef>
              <c:f>Trajecto!$B$197:$B$200</c:f>
              <c:numCache>
                <c:formatCode>General</c:formatCode>
                <c:ptCount val="4"/>
                <c:pt idx="0">
                  <c:v>67</c:v>
                </c:pt>
                <c:pt idx="1">
                  <c:v>67</c:v>
                </c:pt>
                <c:pt idx="2">
                  <c:v>100</c:v>
                </c:pt>
                <c:pt idx="3">
                  <c:v>100</c:v>
                </c:pt>
              </c:numCache>
            </c:numRef>
          </c:yVal>
          <c:smooth val="0"/>
          <c:extLst>
            <c:ext xmlns:c16="http://schemas.microsoft.com/office/drawing/2014/chart" uri="{C3380CC4-5D6E-409C-BE32-E72D297353CC}">
              <c16:uniqueId val="{0000000E-432A-49A9-9499-7ED3E32DDB07}"/>
            </c:ext>
          </c:extLst>
        </c:ser>
        <c:ser>
          <c:idx val="13"/>
          <c:order val="12"/>
          <c:tx>
            <c:strRef>
              <c:f>Trajecto!$F$180</c:f>
              <c:strCache>
                <c:ptCount val="1"/>
                <c:pt idx="0">
                  <c:v>Tour Eiffel</c:v>
                </c:pt>
              </c:strCache>
            </c:strRef>
          </c:tx>
          <c:spPr>
            <a:ln>
              <a:solidFill>
                <a:srgbClr val="C0C0C0"/>
              </a:solidFill>
            </a:ln>
          </c:spPr>
          <c:marker>
            <c:symbol val="none"/>
          </c:marker>
          <c:xVal>
            <c:numRef>
              <c:f>Trajecto!$F$198:$F$201</c:f>
              <c:numCache>
                <c:formatCode>0</c:formatCode>
                <c:ptCount val="4"/>
                <c:pt idx="0">
                  <c:v>350.75986525864886</c:v>
                </c:pt>
                <c:pt idx="1">
                  <c:v>333.75986525864886</c:v>
                </c:pt>
                <c:pt idx="2">
                  <c:v>339.75986525864886</c:v>
                </c:pt>
                <c:pt idx="3">
                  <c:v>350.75986525864886</c:v>
                </c:pt>
              </c:numCache>
            </c:numRef>
          </c:xVal>
          <c:yVal>
            <c:numRef>
              <c:f>Trajecto!$B$197:$B$200</c:f>
              <c:numCache>
                <c:formatCode>General</c:formatCode>
                <c:ptCount val="4"/>
                <c:pt idx="0">
                  <c:v>67</c:v>
                </c:pt>
                <c:pt idx="1">
                  <c:v>67</c:v>
                </c:pt>
                <c:pt idx="2">
                  <c:v>100</c:v>
                </c:pt>
                <c:pt idx="3">
                  <c:v>100</c:v>
                </c:pt>
              </c:numCache>
            </c:numRef>
          </c:yVal>
          <c:smooth val="0"/>
          <c:extLst>
            <c:ext xmlns:c16="http://schemas.microsoft.com/office/drawing/2014/chart" uri="{C3380CC4-5D6E-409C-BE32-E72D297353CC}">
              <c16:uniqueId val="{0000000F-432A-49A9-9499-7ED3E32DDB07}"/>
            </c:ext>
          </c:extLst>
        </c:ser>
        <c:ser>
          <c:idx val="3"/>
          <c:order val="13"/>
          <c:tx>
            <c:strRef>
              <c:f>Trajecto!$B$109</c:f>
              <c:strCache>
                <c:ptCount val="1"/>
                <c:pt idx="0">
                  <c:v>Fusée sous parachute</c:v>
                </c:pt>
              </c:strCache>
            </c:strRef>
          </c:tx>
          <c:spPr>
            <a:ln>
              <a:solidFill>
                <a:srgbClr val="008000"/>
              </a:solidFill>
            </a:ln>
          </c:spPr>
          <c:marker>
            <c:symbol val="none"/>
          </c:marker>
          <c:dLbls>
            <c:dLbl>
              <c:idx val="1"/>
              <c:tx>
                <c:strRef>
                  <c:f>Trajecto!$B$109</c:f>
                  <c:strCache>
                    <c:ptCount val="1"/>
                    <c:pt idx="0">
                      <c:v>Fusée sous parachute</c:v>
                    </c:pt>
                  </c:strCache>
                </c:strRef>
              </c:tx>
              <c:spPr/>
              <c:txPr>
                <a:bodyPr/>
                <a:lstStyle/>
                <a:p>
                  <a:pPr>
                    <a:defRPr sz="700" b="1" i="0" u="none" strike="noStrike" baseline="0">
                      <a:solidFill>
                        <a:srgbClr val="008000"/>
                      </a:solidFill>
                      <a:latin typeface="Arial"/>
                      <a:ea typeface="Arial"/>
                      <a:cs typeface="Arial"/>
                    </a:defRPr>
                  </a:pPr>
                  <a:endParaRPr lang="fr-FR"/>
                </a:p>
              </c:txPr>
              <c:showLegendKey val="0"/>
              <c:showVal val="0"/>
              <c:showCatName val="0"/>
              <c:showSerName val="0"/>
              <c:showPercent val="0"/>
              <c:showBubbleSize val="0"/>
              <c:extLst>
                <c:ext xmlns:c15="http://schemas.microsoft.com/office/drawing/2012/chart" uri="{CE6537A1-D6FC-4f65-9D91-7224C49458BB}">
                  <c15:dlblFieldTable>
                    <c15:dlblFTEntry>
                      <c15:txfldGUID>{9DC4E69B-8120-4B89-BD33-3CC990844188}</c15:txfldGUID>
                      <c15:f>Trajecto!$B$109</c15:f>
                      <c15:dlblFieldTableCache>
                        <c:ptCount val="1"/>
                        <c:pt idx="0">
                          <c:v>Fusée sous parachute</c:v>
                        </c:pt>
                      </c15:dlblFieldTableCache>
                    </c15:dlblFTEntry>
                  </c15:dlblFieldTable>
                  <c15:showDataLabelsRange val="0"/>
                </c:ext>
                <c:ext xmlns:c16="http://schemas.microsoft.com/office/drawing/2014/chart" uri="{C3380CC4-5D6E-409C-BE32-E72D297353CC}">
                  <c16:uniqueId val="{00000010-432A-49A9-9499-7ED3E32DDB0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Trajecto!$B$124:$B$130</c:f>
              <c:numCache>
                <c:formatCode>0</c:formatCode>
                <c:ptCount val="7"/>
                <c:pt idx="0">
                  <c:v>354.47847130839716</c:v>
                </c:pt>
                <c:pt idx="1">
                  <c:v>354.47847130839716</c:v>
                </c:pt>
                <c:pt idx="2">
                  <c:v>354.47847130839716</c:v>
                </c:pt>
                <c:pt idx="3">
                  <c:v>384.29941050916187</c:v>
                </c:pt>
                <c:pt idx="4">
                  <c:v>354.47847130839716</c:v>
                </c:pt>
                <c:pt idx="5">
                  <c:v>324.65753210763245</c:v>
                </c:pt>
                <c:pt idx="6">
                  <c:v>354.47847130839716</c:v>
                </c:pt>
              </c:numCache>
            </c:numRef>
          </c:xVal>
          <c:yVal>
            <c:numRef>
              <c:f>Trajecto!$C$124:$C$130</c:f>
              <c:numCache>
                <c:formatCode>0</c:formatCode>
                <c:ptCount val="7"/>
                <c:pt idx="0">
                  <c:v>1192.8375680305887</c:v>
                </c:pt>
                <c:pt idx="1">
                  <c:v>596.41878401529436</c:v>
                </c:pt>
                <c:pt idx="2">
                  <c:v>0</c:v>
                </c:pt>
                <c:pt idx="3">
                  <c:v>59.641878401529439</c:v>
                </c:pt>
                <c:pt idx="4">
                  <c:v>0</c:v>
                </c:pt>
                <c:pt idx="5">
                  <c:v>59.641878401529439</c:v>
                </c:pt>
                <c:pt idx="6" formatCode="General">
                  <c:v>0</c:v>
                </c:pt>
              </c:numCache>
            </c:numRef>
          </c:yVal>
          <c:smooth val="0"/>
          <c:extLst>
            <c:ext xmlns:c16="http://schemas.microsoft.com/office/drawing/2014/chart" uri="{C3380CC4-5D6E-409C-BE32-E72D297353CC}">
              <c16:uniqueId val="{00000011-432A-49A9-9499-7ED3E32DDB07}"/>
            </c:ext>
          </c:extLst>
        </c:ser>
        <c:dLbls>
          <c:showLegendKey val="0"/>
          <c:showVal val="0"/>
          <c:showCatName val="0"/>
          <c:showSerName val="0"/>
          <c:showPercent val="0"/>
          <c:showBubbleSize val="0"/>
        </c:dLbls>
        <c:axId val="148241024"/>
        <c:axId val="149054208"/>
      </c:scatterChart>
      <c:valAx>
        <c:axId val="148241024"/>
        <c:scaling>
          <c:orientation val="minMax"/>
          <c:min val="0"/>
        </c:scaling>
        <c:delete val="0"/>
        <c:axPos val="b"/>
        <c:majorGridlines>
          <c:spPr>
            <a:ln w="3175">
              <a:solidFill>
                <a:srgbClr val="000000"/>
              </a:solidFill>
              <a:prstDash val="sysDash"/>
            </a:ln>
          </c:spPr>
        </c:majorGridlines>
        <c:title>
          <c:tx>
            <c:strRef>
              <c:f>Trajecto!$B$112</c:f>
              <c:strCache>
                <c:ptCount val="1"/>
                <c:pt idx="0">
                  <c:v>Portée x [m]</c:v>
                </c:pt>
              </c:strCache>
            </c:strRef>
          </c:tx>
          <c:layout>
            <c:manualLayout>
              <c:xMode val="edge"/>
              <c:yMode val="edge"/>
              <c:x val="0.56464627732344286"/>
              <c:y val="0.84829693458129063"/>
            </c:manualLayout>
          </c:layout>
          <c:overlay val="0"/>
          <c:spPr>
            <a:solidFill>
              <a:srgbClr val="FFFFFF"/>
            </a:solidFill>
            <a:ln w="25400">
              <a:noFill/>
            </a:ln>
          </c:spPr>
          <c:txPr>
            <a:bodyPr/>
            <a:lstStyle/>
            <a:p>
              <a:pPr>
                <a:defRPr sz="800" b="1" i="0" u="none" strike="noStrike" baseline="0">
                  <a:solidFill>
                    <a:srgbClr val="0000FF"/>
                  </a:solidFill>
                  <a:latin typeface="Arial"/>
                  <a:ea typeface="Arial"/>
                  <a:cs typeface="Arial"/>
                </a:defRPr>
              </a:pPr>
              <a:endParaRPr lang="fr-FR"/>
            </a:p>
          </c:tx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9054208"/>
        <c:crosses val="autoZero"/>
        <c:crossBetween val="midCat"/>
      </c:valAx>
      <c:valAx>
        <c:axId val="149054208"/>
        <c:scaling>
          <c:orientation val="minMax"/>
          <c:min val="0"/>
        </c:scaling>
        <c:delete val="0"/>
        <c:axPos val="l"/>
        <c:majorGridlines>
          <c:spPr>
            <a:ln w="3175">
              <a:solidFill>
                <a:srgbClr val="000000"/>
              </a:solidFill>
              <a:prstDash val="sysDash"/>
            </a:ln>
          </c:spPr>
        </c:majorGridlines>
        <c:title>
          <c:tx>
            <c:rich>
              <a:bodyPr/>
              <a:lstStyle/>
              <a:p>
                <a:pPr>
                  <a:defRPr sz="800" b="1" i="0" u="none" strike="noStrike" baseline="0">
                    <a:solidFill>
                      <a:srgbClr val="0000FF"/>
                    </a:solidFill>
                    <a:latin typeface="Arial"/>
                    <a:ea typeface="Arial"/>
                    <a:cs typeface="Arial"/>
                  </a:defRPr>
                </a:pPr>
                <a:r>
                  <a:rPr lang="fr-FR"/>
                  <a:t>Altitude z [m]</a:t>
                </a:r>
              </a:p>
            </c:rich>
          </c:tx>
          <c:layout>
            <c:manualLayout>
              <c:xMode val="edge"/>
              <c:yMode val="edge"/>
              <c:x val="8.1818320007296413E-2"/>
              <c:y val="6.8111391736410315E-2"/>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8241024"/>
        <c:crosses val="autoZero"/>
        <c:crossBetween val="midCat"/>
      </c:valAx>
      <c:spPr>
        <a:gradFill rotWithShape="0">
          <a:gsLst>
            <a:gs pos="0">
              <a:srgbClr val="99CCFF"/>
            </a:gs>
            <a:gs pos="100000">
              <a:srgbClr val="FFFFFF"/>
            </a:gs>
          </a:gsLst>
          <a:lin ang="5400000" scaled="1"/>
        </a:gradFill>
        <a:ln w="12700">
          <a:solidFill>
            <a:srgbClr val="80808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paperSize="9" firstPageNumber="0"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Trajecto!$B$114</c:f>
          <c:strCache>
            <c:ptCount val="1"/>
            <c:pt idx="0">
              <c:v>Altitude z  /  Temps</c:v>
            </c:pt>
          </c:strCache>
        </c:strRef>
      </c:tx>
      <c:layout>
        <c:manualLayout>
          <c:xMode val="edge"/>
          <c:yMode val="edge"/>
          <c:x val="0.57666688909649"/>
          <c:y val="3.7151818286865097E-2"/>
        </c:manualLayout>
      </c:layout>
      <c:overlay val="0"/>
      <c:spPr>
        <a:noFill/>
        <a:ln w="25400">
          <a:noFill/>
        </a:ln>
      </c:spPr>
      <c:txPr>
        <a:bodyPr/>
        <a:lstStyle/>
        <a:p>
          <a:pPr>
            <a:defRPr sz="800" b="1" i="0" u="none" strike="noStrike" baseline="0">
              <a:solidFill>
                <a:srgbClr val="0000FF"/>
              </a:solidFill>
              <a:latin typeface="Arial"/>
              <a:ea typeface="Arial"/>
              <a:cs typeface="Arial"/>
            </a:defRPr>
          </a:pPr>
          <a:endParaRPr lang="fr-FR"/>
        </a:p>
      </c:txPr>
    </c:title>
    <c:autoTitleDeleted val="0"/>
    <c:plotArea>
      <c:layout>
        <c:manualLayout>
          <c:layoutTarget val="inner"/>
          <c:xMode val="edge"/>
          <c:yMode val="edge"/>
          <c:x val="7.6666916233451413E-2"/>
          <c:y val="3.5608360198500402E-2"/>
          <c:w val="0.89333624132890843"/>
          <c:h val="0.89614373166225958"/>
        </c:manualLayout>
      </c:layout>
      <c:scatterChart>
        <c:scatterStyle val="lineMarker"/>
        <c:varyColors val="0"/>
        <c:ser>
          <c:idx val="4"/>
          <c:order val="0"/>
          <c:tx>
            <c:v>Point invisible pour mise à l'echelle</c:v>
          </c:tx>
          <c:spPr>
            <a:ln w="28575">
              <a:noFill/>
            </a:ln>
          </c:spPr>
          <c:marker>
            <c:symbol val="none"/>
          </c:marker>
          <c:xVal>
            <c:numLit>
              <c:formatCode>General</c:formatCode>
              <c:ptCount val="1"/>
              <c:pt idx="0">
                <c:v>0</c:v>
              </c:pt>
            </c:numLit>
          </c:xVal>
          <c:yVal>
            <c:numRef>
              <c:f>Trajecto!$B$121</c:f>
              <c:numCache>
                <c:formatCode>0</c:formatCode>
                <c:ptCount val="1"/>
                <c:pt idx="0">
                  <c:v>1192.8774857614485</c:v>
                </c:pt>
              </c:numCache>
            </c:numRef>
          </c:yVal>
          <c:smooth val="0"/>
          <c:extLst>
            <c:ext xmlns:c16="http://schemas.microsoft.com/office/drawing/2014/chart" uri="{C3380CC4-5D6E-409C-BE32-E72D297353CC}">
              <c16:uniqueId val="{00000000-4C7F-469F-ADED-1B0B28F452E1}"/>
            </c:ext>
          </c:extLst>
        </c:ser>
        <c:ser>
          <c:idx val="0"/>
          <c:order val="1"/>
          <c:tx>
            <c:v>1 point par seconde</c:v>
          </c:tx>
          <c:spPr>
            <a:ln w="28575">
              <a:noFill/>
            </a:ln>
          </c:spPr>
          <c:marker>
            <c:symbol val="plus"/>
            <c:size val="7"/>
            <c:spPr>
              <a:noFill/>
              <a:ln>
                <a:solidFill>
                  <a:srgbClr val="000000"/>
                </a:solidFill>
                <a:prstDash val="solid"/>
              </a:ln>
            </c:spPr>
          </c:marker>
          <c:xVal>
            <c:numRef>
              <c:f>Calculs!$AC$4:$AC$1004</c:f>
              <c:numCache>
                <c:formatCode>0</c:formatCode>
                <c:ptCount val="1001"/>
                <c:pt idx="0">
                  <c:v>-1</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3.9999999999999831</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4.999999999999976</c:v>
                </c:pt>
                <c:pt idx="109">
                  <c:v>#N/A</c:v>
                </c:pt>
                <c:pt idx="110">
                  <c:v>#N/A</c:v>
                </c:pt>
                <c:pt idx="111">
                  <c:v>#N/A</c:v>
                </c:pt>
                <c:pt idx="112">
                  <c:v>#N/A</c:v>
                </c:pt>
                <c:pt idx="113">
                  <c:v>#N/A</c:v>
                </c:pt>
                <c:pt idx="114">
                  <c:v>#N/A</c:v>
                </c:pt>
                <c:pt idx="115">
                  <c:v>#N/A</c:v>
                </c:pt>
                <c:pt idx="116">
                  <c:v>#N/A</c:v>
                </c:pt>
                <c:pt idx="117">
                  <c:v>#N/A</c:v>
                </c:pt>
                <c:pt idx="118">
                  <c:v>5.9999999999999725</c:v>
                </c:pt>
                <c:pt idx="119">
                  <c:v>#N/A</c:v>
                </c:pt>
                <c:pt idx="120">
                  <c:v>#N/A</c:v>
                </c:pt>
                <c:pt idx="121">
                  <c:v>#N/A</c:v>
                </c:pt>
                <c:pt idx="122">
                  <c:v>#N/A</c:v>
                </c:pt>
                <c:pt idx="123">
                  <c:v>#N/A</c:v>
                </c:pt>
                <c:pt idx="124">
                  <c:v>#N/A</c:v>
                </c:pt>
                <c:pt idx="125">
                  <c:v>#N/A</c:v>
                </c:pt>
                <c:pt idx="126">
                  <c:v>#N/A</c:v>
                </c:pt>
                <c:pt idx="127">
                  <c:v>#N/A</c:v>
                </c:pt>
                <c:pt idx="128">
                  <c:v>6.9999999999999689</c:v>
                </c:pt>
                <c:pt idx="129">
                  <c:v>#N/A</c:v>
                </c:pt>
                <c:pt idx="130">
                  <c:v>#N/A</c:v>
                </c:pt>
                <c:pt idx="131">
                  <c:v>#N/A</c:v>
                </c:pt>
                <c:pt idx="132">
                  <c:v>#N/A</c:v>
                </c:pt>
                <c:pt idx="133">
                  <c:v>#N/A</c:v>
                </c:pt>
                <c:pt idx="134">
                  <c:v>#N/A</c:v>
                </c:pt>
                <c:pt idx="135">
                  <c:v>#N/A</c:v>
                </c:pt>
                <c:pt idx="136">
                  <c:v>#N/A</c:v>
                </c:pt>
                <c:pt idx="137">
                  <c:v>#N/A</c:v>
                </c:pt>
                <c:pt idx="138">
                  <c:v>7.9999999999999654</c:v>
                </c:pt>
                <c:pt idx="139">
                  <c:v>#N/A</c:v>
                </c:pt>
                <c:pt idx="140">
                  <c:v>#N/A</c:v>
                </c:pt>
                <c:pt idx="141">
                  <c:v>#N/A</c:v>
                </c:pt>
                <c:pt idx="142">
                  <c:v>#N/A</c:v>
                </c:pt>
                <c:pt idx="143">
                  <c:v>#N/A</c:v>
                </c:pt>
                <c:pt idx="144">
                  <c:v>#N/A</c:v>
                </c:pt>
                <c:pt idx="145">
                  <c:v>#N/A</c:v>
                </c:pt>
                <c:pt idx="146">
                  <c:v>#N/A</c:v>
                </c:pt>
                <c:pt idx="147">
                  <c:v>#N/A</c:v>
                </c:pt>
                <c:pt idx="148">
                  <c:v>8.9999999999999627</c:v>
                </c:pt>
                <c:pt idx="149">
                  <c:v>#N/A</c:v>
                </c:pt>
                <c:pt idx="150">
                  <c:v>#N/A</c:v>
                </c:pt>
                <c:pt idx="151">
                  <c:v>#N/A</c:v>
                </c:pt>
                <c:pt idx="152">
                  <c:v>#N/A</c:v>
                </c:pt>
                <c:pt idx="153">
                  <c:v>#N/A</c:v>
                </c:pt>
                <c:pt idx="154">
                  <c:v>#N/A</c:v>
                </c:pt>
                <c:pt idx="155">
                  <c:v>#N/A</c:v>
                </c:pt>
                <c:pt idx="156">
                  <c:v>#N/A</c:v>
                </c:pt>
                <c:pt idx="157">
                  <c:v>#N/A</c:v>
                </c:pt>
                <c:pt idx="158">
                  <c:v>9.9999999999999591</c:v>
                </c:pt>
                <c:pt idx="159">
                  <c:v>#N/A</c:v>
                </c:pt>
                <c:pt idx="160">
                  <c:v>#N/A</c:v>
                </c:pt>
                <c:pt idx="161">
                  <c:v>#N/A</c:v>
                </c:pt>
                <c:pt idx="162">
                  <c:v>#N/A</c:v>
                </c:pt>
                <c:pt idx="163">
                  <c:v>#N/A</c:v>
                </c:pt>
                <c:pt idx="164">
                  <c:v>#N/A</c:v>
                </c:pt>
                <c:pt idx="165">
                  <c:v>#N/A</c:v>
                </c:pt>
                <c:pt idx="166">
                  <c:v>#N/A</c:v>
                </c:pt>
                <c:pt idx="167">
                  <c:v>#N/A</c:v>
                </c:pt>
                <c:pt idx="168">
                  <c:v>10.999999999999956</c:v>
                </c:pt>
                <c:pt idx="169">
                  <c:v>#N/A</c:v>
                </c:pt>
                <c:pt idx="170">
                  <c:v>#N/A</c:v>
                </c:pt>
                <c:pt idx="171">
                  <c:v>#N/A</c:v>
                </c:pt>
                <c:pt idx="172">
                  <c:v>#N/A</c:v>
                </c:pt>
                <c:pt idx="173">
                  <c:v>#N/A</c:v>
                </c:pt>
                <c:pt idx="174">
                  <c:v>#N/A</c:v>
                </c:pt>
                <c:pt idx="175">
                  <c:v>#N/A</c:v>
                </c:pt>
                <c:pt idx="176">
                  <c:v>#N/A</c:v>
                </c:pt>
                <c:pt idx="177">
                  <c:v>#N/A</c:v>
                </c:pt>
                <c:pt idx="178">
                  <c:v>11.999999999999952</c:v>
                </c:pt>
                <c:pt idx="179">
                  <c:v>#N/A</c:v>
                </c:pt>
                <c:pt idx="180">
                  <c:v>#N/A</c:v>
                </c:pt>
                <c:pt idx="181">
                  <c:v>#N/A</c:v>
                </c:pt>
                <c:pt idx="182">
                  <c:v>#N/A</c:v>
                </c:pt>
                <c:pt idx="183">
                  <c:v>#N/A</c:v>
                </c:pt>
                <c:pt idx="184">
                  <c:v>#N/A</c:v>
                </c:pt>
                <c:pt idx="185">
                  <c:v>#N/A</c:v>
                </c:pt>
                <c:pt idx="186">
                  <c:v>#N/A</c:v>
                </c:pt>
                <c:pt idx="187">
                  <c:v>#N/A</c:v>
                </c:pt>
                <c:pt idx="188">
                  <c:v>12.999999999999948</c:v>
                </c:pt>
                <c:pt idx="189">
                  <c:v>#N/A</c:v>
                </c:pt>
                <c:pt idx="190">
                  <c:v>#N/A</c:v>
                </c:pt>
                <c:pt idx="191">
                  <c:v>#N/A</c:v>
                </c:pt>
                <c:pt idx="192">
                  <c:v>#N/A</c:v>
                </c:pt>
                <c:pt idx="193">
                  <c:v>#N/A</c:v>
                </c:pt>
                <c:pt idx="194">
                  <c:v>#N/A</c:v>
                </c:pt>
                <c:pt idx="195">
                  <c:v>#N/A</c:v>
                </c:pt>
                <c:pt idx="196">
                  <c:v>#N/A</c:v>
                </c:pt>
                <c:pt idx="197">
                  <c:v>#N/A</c:v>
                </c:pt>
                <c:pt idx="198">
                  <c:v>13.999999999999945</c:v>
                </c:pt>
                <c:pt idx="199">
                  <c:v>#N/A</c:v>
                </c:pt>
                <c:pt idx="200">
                  <c:v>#N/A</c:v>
                </c:pt>
                <c:pt idx="201">
                  <c:v>#N/A</c:v>
                </c:pt>
                <c:pt idx="202">
                  <c:v>#N/A</c:v>
                </c:pt>
                <c:pt idx="203">
                  <c:v>#N/A</c:v>
                </c:pt>
                <c:pt idx="204">
                  <c:v>#N/A</c:v>
                </c:pt>
                <c:pt idx="205">
                  <c:v>#N/A</c:v>
                </c:pt>
                <c:pt idx="206">
                  <c:v>#N/A</c:v>
                </c:pt>
                <c:pt idx="207">
                  <c:v>#N/A</c:v>
                </c:pt>
                <c:pt idx="208">
                  <c:v>14.999999999999941</c:v>
                </c:pt>
                <c:pt idx="209">
                  <c:v>#N/A</c:v>
                </c:pt>
                <c:pt idx="210">
                  <c:v>#N/A</c:v>
                </c:pt>
                <c:pt idx="211">
                  <c:v>#N/A</c:v>
                </c:pt>
                <c:pt idx="212">
                  <c:v>#N/A</c:v>
                </c:pt>
                <c:pt idx="213">
                  <c:v>#N/A</c:v>
                </c:pt>
                <c:pt idx="214">
                  <c:v>#N/A</c:v>
                </c:pt>
                <c:pt idx="215">
                  <c:v>#N/A</c:v>
                </c:pt>
                <c:pt idx="216">
                  <c:v>#N/A</c:v>
                </c:pt>
                <c:pt idx="217">
                  <c:v>#N/A</c:v>
                </c:pt>
                <c:pt idx="218">
                  <c:v>15.999999999999938</c:v>
                </c:pt>
                <c:pt idx="219">
                  <c:v>#N/A</c:v>
                </c:pt>
                <c:pt idx="220">
                  <c:v>#N/A</c:v>
                </c:pt>
                <c:pt idx="221">
                  <c:v>#N/A</c:v>
                </c:pt>
                <c:pt idx="222">
                  <c:v>#N/A</c:v>
                </c:pt>
                <c:pt idx="223">
                  <c:v>#N/A</c:v>
                </c:pt>
                <c:pt idx="224">
                  <c:v>#N/A</c:v>
                </c:pt>
                <c:pt idx="225">
                  <c:v>#N/A</c:v>
                </c:pt>
                <c:pt idx="226">
                  <c:v>#N/A</c:v>
                </c:pt>
                <c:pt idx="227">
                  <c:v>#N/A</c:v>
                </c:pt>
                <c:pt idx="228">
                  <c:v>16.99999999999995</c:v>
                </c:pt>
                <c:pt idx="229">
                  <c:v>#N/A</c:v>
                </c:pt>
                <c:pt idx="230">
                  <c:v>#N/A</c:v>
                </c:pt>
                <c:pt idx="231">
                  <c:v>#N/A</c:v>
                </c:pt>
                <c:pt idx="232">
                  <c:v>#N/A</c:v>
                </c:pt>
                <c:pt idx="233">
                  <c:v>#N/A</c:v>
                </c:pt>
                <c:pt idx="234">
                  <c:v>#N/A</c:v>
                </c:pt>
                <c:pt idx="235">
                  <c:v>#N/A</c:v>
                </c:pt>
                <c:pt idx="236">
                  <c:v>#N/A</c:v>
                </c:pt>
                <c:pt idx="237">
                  <c:v>#N/A</c:v>
                </c:pt>
                <c:pt idx="238">
                  <c:v>17.999999999999964</c:v>
                </c:pt>
                <c:pt idx="239">
                  <c:v>#N/A</c:v>
                </c:pt>
                <c:pt idx="240">
                  <c:v>#N/A</c:v>
                </c:pt>
                <c:pt idx="241">
                  <c:v>#N/A</c:v>
                </c:pt>
                <c:pt idx="242">
                  <c:v>#N/A</c:v>
                </c:pt>
                <c:pt idx="243">
                  <c:v>#N/A</c:v>
                </c:pt>
                <c:pt idx="244">
                  <c:v>#N/A</c:v>
                </c:pt>
                <c:pt idx="245">
                  <c:v>#N/A</c:v>
                </c:pt>
                <c:pt idx="246">
                  <c:v>#N/A</c:v>
                </c:pt>
                <c:pt idx="247">
                  <c:v>#N/A</c:v>
                </c:pt>
                <c:pt idx="248">
                  <c:v>18.999999999999979</c:v>
                </c:pt>
                <c:pt idx="249">
                  <c:v>#N/A</c:v>
                </c:pt>
                <c:pt idx="250">
                  <c:v>#N/A</c:v>
                </c:pt>
                <c:pt idx="251">
                  <c:v>#N/A</c:v>
                </c:pt>
                <c:pt idx="252">
                  <c:v>#N/A</c:v>
                </c:pt>
                <c:pt idx="253">
                  <c:v>#N/A</c:v>
                </c:pt>
                <c:pt idx="254">
                  <c:v>#N/A</c:v>
                </c:pt>
                <c:pt idx="255">
                  <c:v>#N/A</c:v>
                </c:pt>
                <c:pt idx="256">
                  <c:v>#N/A</c:v>
                </c:pt>
                <c:pt idx="257">
                  <c:v>#N/A</c:v>
                </c:pt>
                <c:pt idx="258">
                  <c:v>19.999999999999993</c:v>
                </c:pt>
                <c:pt idx="259">
                  <c:v>#N/A</c:v>
                </c:pt>
                <c:pt idx="260">
                  <c:v>#N/A</c:v>
                </c:pt>
                <c:pt idx="261">
                  <c:v>#N/A</c:v>
                </c:pt>
                <c:pt idx="262">
                  <c:v>#N/A</c:v>
                </c:pt>
                <c:pt idx="263">
                  <c:v>#N/A</c:v>
                </c:pt>
                <c:pt idx="264">
                  <c:v>#N/A</c:v>
                </c:pt>
                <c:pt idx="265">
                  <c:v>#N/A</c:v>
                </c:pt>
                <c:pt idx="266">
                  <c:v>#N/A</c:v>
                </c:pt>
                <c:pt idx="267">
                  <c:v>#N/A</c:v>
                </c:pt>
                <c:pt idx="268">
                  <c:v>21.000000000000007</c:v>
                </c:pt>
                <c:pt idx="269">
                  <c:v>#N/A</c:v>
                </c:pt>
                <c:pt idx="270">
                  <c:v>#N/A</c:v>
                </c:pt>
                <c:pt idx="271">
                  <c:v>#N/A</c:v>
                </c:pt>
                <c:pt idx="272">
                  <c:v>#N/A</c:v>
                </c:pt>
                <c:pt idx="273">
                  <c:v>#N/A</c:v>
                </c:pt>
                <c:pt idx="274">
                  <c:v>#N/A</c:v>
                </c:pt>
                <c:pt idx="275">
                  <c:v>#N/A</c:v>
                </c:pt>
                <c:pt idx="276">
                  <c:v>#N/A</c:v>
                </c:pt>
                <c:pt idx="277">
                  <c:v>#N/A</c:v>
                </c:pt>
                <c:pt idx="278">
                  <c:v>22.000000000000021</c:v>
                </c:pt>
                <c:pt idx="279">
                  <c:v>#N/A</c:v>
                </c:pt>
                <c:pt idx="280">
                  <c:v>#N/A</c:v>
                </c:pt>
                <c:pt idx="281">
                  <c:v>#N/A</c:v>
                </c:pt>
                <c:pt idx="282">
                  <c:v>#N/A</c:v>
                </c:pt>
                <c:pt idx="283">
                  <c:v>#N/A</c:v>
                </c:pt>
                <c:pt idx="284">
                  <c:v>#N/A</c:v>
                </c:pt>
                <c:pt idx="285">
                  <c:v>#N/A</c:v>
                </c:pt>
                <c:pt idx="286">
                  <c:v>#N/A</c:v>
                </c:pt>
                <c:pt idx="287">
                  <c:v>#N/A</c:v>
                </c:pt>
                <c:pt idx="288">
                  <c:v>23.000000000000036</c:v>
                </c:pt>
                <c:pt idx="289">
                  <c:v>#N/A</c:v>
                </c:pt>
                <c:pt idx="290">
                  <c:v>#N/A</c:v>
                </c:pt>
                <c:pt idx="291">
                  <c:v>#N/A</c:v>
                </c:pt>
                <c:pt idx="292">
                  <c:v>#N/A</c:v>
                </c:pt>
                <c:pt idx="293">
                  <c:v>#N/A</c:v>
                </c:pt>
                <c:pt idx="294">
                  <c:v>#N/A</c:v>
                </c:pt>
                <c:pt idx="295">
                  <c:v>#N/A</c:v>
                </c:pt>
                <c:pt idx="296">
                  <c:v>#N/A</c:v>
                </c:pt>
                <c:pt idx="297">
                  <c:v>#N/A</c:v>
                </c:pt>
                <c:pt idx="298">
                  <c:v>24.00000000000005</c:v>
                </c:pt>
                <c:pt idx="299">
                  <c:v>#N/A</c:v>
                </c:pt>
                <c:pt idx="300">
                  <c:v>#N/A</c:v>
                </c:pt>
                <c:pt idx="301">
                  <c:v>#N/A</c:v>
                </c:pt>
                <c:pt idx="302">
                  <c:v>#N/A</c:v>
                </c:pt>
                <c:pt idx="303">
                  <c:v>#N/A</c:v>
                </c:pt>
                <c:pt idx="304">
                  <c:v>#N/A</c:v>
                </c:pt>
                <c:pt idx="305">
                  <c:v>#N/A</c:v>
                </c:pt>
                <c:pt idx="306">
                  <c:v>#N/A</c:v>
                </c:pt>
                <c:pt idx="307">
                  <c:v>#N/A</c:v>
                </c:pt>
                <c:pt idx="308">
                  <c:v>25.000000000000064</c:v>
                </c:pt>
                <c:pt idx="309">
                  <c:v>#N/A</c:v>
                </c:pt>
                <c:pt idx="310">
                  <c:v>#N/A</c:v>
                </c:pt>
                <c:pt idx="311">
                  <c:v>#N/A</c:v>
                </c:pt>
                <c:pt idx="312">
                  <c:v>#N/A</c:v>
                </c:pt>
                <c:pt idx="313">
                  <c:v>#N/A</c:v>
                </c:pt>
                <c:pt idx="314">
                  <c:v>#N/A</c:v>
                </c:pt>
                <c:pt idx="315">
                  <c:v>#N/A</c:v>
                </c:pt>
                <c:pt idx="316">
                  <c:v>#N/A</c:v>
                </c:pt>
                <c:pt idx="317">
                  <c:v>#N/A</c:v>
                </c:pt>
                <c:pt idx="318">
                  <c:v>26.000000000000078</c:v>
                </c:pt>
                <c:pt idx="319">
                  <c:v>#N/A</c:v>
                </c:pt>
                <c:pt idx="320">
                  <c:v>#N/A</c:v>
                </c:pt>
                <c:pt idx="321">
                  <c:v>#N/A</c:v>
                </c:pt>
                <c:pt idx="322">
                  <c:v>#N/A</c:v>
                </c:pt>
                <c:pt idx="323">
                  <c:v>#N/A</c:v>
                </c:pt>
                <c:pt idx="324">
                  <c:v>#N/A</c:v>
                </c:pt>
                <c:pt idx="325">
                  <c:v>#N/A</c:v>
                </c:pt>
                <c:pt idx="326">
                  <c:v>#N/A</c:v>
                </c:pt>
                <c:pt idx="327">
                  <c:v>#N/A</c:v>
                </c:pt>
                <c:pt idx="328">
                  <c:v>27.000000000000092</c:v>
                </c:pt>
                <c:pt idx="329">
                  <c:v>#N/A</c:v>
                </c:pt>
                <c:pt idx="330">
                  <c:v>#N/A</c:v>
                </c:pt>
                <c:pt idx="331">
                  <c:v>#N/A</c:v>
                </c:pt>
                <c:pt idx="332">
                  <c:v>#N/A</c:v>
                </c:pt>
                <c:pt idx="333">
                  <c:v>#N/A</c:v>
                </c:pt>
                <c:pt idx="334">
                  <c:v>#N/A</c:v>
                </c:pt>
                <c:pt idx="335">
                  <c:v>#N/A</c:v>
                </c:pt>
                <c:pt idx="336">
                  <c:v>#N/A</c:v>
                </c:pt>
                <c:pt idx="337">
                  <c:v>#N/A</c:v>
                </c:pt>
                <c:pt idx="338">
                  <c:v>28.000000000000107</c:v>
                </c:pt>
                <c:pt idx="339">
                  <c:v>#N/A</c:v>
                </c:pt>
                <c:pt idx="340">
                  <c:v>#N/A</c:v>
                </c:pt>
                <c:pt idx="341">
                  <c:v>#N/A</c:v>
                </c:pt>
                <c:pt idx="342">
                  <c:v>#N/A</c:v>
                </c:pt>
                <c:pt idx="343">
                  <c:v>#N/A</c:v>
                </c:pt>
                <c:pt idx="344">
                  <c:v>#N/A</c:v>
                </c:pt>
                <c:pt idx="345">
                  <c:v>#N/A</c:v>
                </c:pt>
                <c:pt idx="346">
                  <c:v>#N/A</c:v>
                </c:pt>
                <c:pt idx="347">
                  <c:v>#N/A</c:v>
                </c:pt>
                <c:pt idx="348">
                  <c:v>29.000000000000121</c:v>
                </c:pt>
                <c:pt idx="349">
                  <c:v>#N/A</c:v>
                </c:pt>
                <c:pt idx="350">
                  <c:v>#N/A</c:v>
                </c:pt>
                <c:pt idx="351">
                  <c:v>#N/A</c:v>
                </c:pt>
                <c:pt idx="352">
                  <c:v>#N/A</c:v>
                </c:pt>
                <c:pt idx="353">
                  <c:v>#N/A</c:v>
                </c:pt>
                <c:pt idx="354">
                  <c:v>#N/A</c:v>
                </c:pt>
                <c:pt idx="355">
                  <c:v>#N/A</c:v>
                </c:pt>
                <c:pt idx="356">
                  <c:v>#N/A</c:v>
                </c:pt>
                <c:pt idx="357">
                  <c:v>#N/A</c:v>
                </c:pt>
                <c:pt idx="358">
                  <c:v>30.000000000000135</c:v>
                </c:pt>
                <c:pt idx="359">
                  <c:v>#N/A</c:v>
                </c:pt>
                <c:pt idx="360">
                  <c:v>#N/A</c:v>
                </c:pt>
                <c:pt idx="361">
                  <c:v>#N/A</c:v>
                </c:pt>
                <c:pt idx="362">
                  <c:v>#N/A</c:v>
                </c:pt>
                <c:pt idx="363">
                  <c:v>#N/A</c:v>
                </c:pt>
                <c:pt idx="364">
                  <c:v>#N/A</c:v>
                </c:pt>
                <c:pt idx="365">
                  <c:v>#N/A</c:v>
                </c:pt>
                <c:pt idx="366">
                  <c:v>#N/A</c:v>
                </c:pt>
                <c:pt idx="367">
                  <c:v>#N/A</c:v>
                </c:pt>
                <c:pt idx="368">
                  <c:v>31.000000000000149</c:v>
                </c:pt>
                <c:pt idx="369">
                  <c:v>#N/A</c:v>
                </c:pt>
                <c:pt idx="370">
                  <c:v>#N/A</c:v>
                </c:pt>
                <c:pt idx="371">
                  <c:v>#N/A</c:v>
                </c:pt>
                <c:pt idx="372">
                  <c:v>#N/A</c:v>
                </c:pt>
                <c:pt idx="373">
                  <c:v>#N/A</c:v>
                </c:pt>
                <c:pt idx="374">
                  <c:v>#N/A</c:v>
                </c:pt>
                <c:pt idx="375">
                  <c:v>#N/A</c:v>
                </c:pt>
                <c:pt idx="376">
                  <c:v>#N/A</c:v>
                </c:pt>
                <c:pt idx="377">
                  <c:v>#N/A</c:v>
                </c:pt>
                <c:pt idx="378">
                  <c:v>32.000000000000163</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xVal>
          <c:yVal>
            <c:numRef>
              <c:f>Calculs!$K$4:$K$1004</c:f>
              <c:numCache>
                <c:formatCode>0.00</c:formatCode>
                <c:ptCount val="1001"/>
                <c:pt idx="0">
                  <c:v>487.84771914632313</c:v>
                </c:pt>
                <c:pt idx="1">
                  <c:v>489.54718062018776</c:v>
                </c:pt>
                <c:pt idx="2">
                  <c:v>491.24294032459193</c:v>
                </c:pt>
                <c:pt idx="3">
                  <c:v>492.93501052437801</c:v>
                </c:pt>
                <c:pt idx="4">
                  <c:v>494.62340341378064</c:v>
                </c:pt>
                <c:pt idx="5">
                  <c:v>496.30813111696835</c:v>
                </c:pt>
                <c:pt idx="6">
                  <c:v>497.98920568858028</c:v>
                </c:pt>
                <c:pt idx="7">
                  <c:v>499.66663911425746</c:v>
                </c:pt>
                <c:pt idx="8">
                  <c:v>501.34044331116917</c:v>
                </c:pt>
                <c:pt idx="9">
                  <c:v>503.01063012853422</c:v>
                </c:pt>
                <c:pt idx="10">
                  <c:v>504.67721134813729</c:v>
                </c:pt>
                <c:pt idx="11">
                  <c:v>506.34019866652045</c:v>
                </c:pt>
                <c:pt idx="12">
                  <c:v>507.99960367772184</c:v>
                </c:pt>
                <c:pt idx="13">
                  <c:v>509.65543789319361</c:v>
                </c:pt>
                <c:pt idx="14">
                  <c:v>511.30771276114598</c:v>
                </c:pt>
                <c:pt idx="15">
                  <c:v>512.95643966700504</c:v>
                </c:pt>
                <c:pt idx="16">
                  <c:v>514.60162993386643</c:v>
                </c:pt>
                <c:pt idx="17">
                  <c:v>516.24329482294513</c:v>
                </c:pt>
                <c:pt idx="18">
                  <c:v>517.88144553402083</c:v>
                </c:pt>
                <c:pt idx="19">
                  <c:v>519.51609320587932</c:v>
                </c:pt>
                <c:pt idx="20">
                  <c:v>521.14724891675007</c:v>
                </c:pt>
                <c:pt idx="21">
                  <c:v>522.77492369390814</c:v>
                </c:pt>
                <c:pt idx="22">
                  <c:v>524.39912852300677</c:v>
                </c:pt>
                <c:pt idx="23">
                  <c:v>526.01987433880925</c:v>
                </c:pt>
                <c:pt idx="24">
                  <c:v>527.63717201618897</c:v>
                </c:pt>
                <c:pt idx="25">
                  <c:v>529.25103237056396</c:v>
                </c:pt>
                <c:pt idx="26">
                  <c:v>530.86146615832718</c:v>
                </c:pt>
                <c:pt idx="27">
                  <c:v>532.46848407727305</c:v>
                </c:pt>
                <c:pt idx="28">
                  <c:v>534.07209676702007</c:v>
                </c:pt>
                <c:pt idx="29">
                  <c:v>535.67231480942951</c:v>
                </c:pt>
                <c:pt idx="30">
                  <c:v>537.26914872902034</c:v>
                </c:pt>
                <c:pt idx="31">
                  <c:v>538.8626089933806</c:v>
                </c:pt>
                <c:pt idx="32">
                  <c:v>540.45270601357493</c:v>
                </c:pt>
                <c:pt idx="33">
                  <c:v>542.03945014454814</c:v>
                </c:pt>
                <c:pt idx="34">
                  <c:v>543.6228516855258</c:v>
                </c:pt>
                <c:pt idx="35">
                  <c:v>545.2029208804106</c:v>
                </c:pt>
                <c:pt idx="36">
                  <c:v>546.77966791817539</c:v>
                </c:pt>
                <c:pt idx="37">
                  <c:v>548.35310293325301</c:v>
                </c:pt>
                <c:pt idx="38">
                  <c:v>549.92323600592215</c:v>
                </c:pt>
                <c:pt idx="39">
                  <c:v>551.49007716269</c:v>
                </c:pt>
                <c:pt idx="40">
                  <c:v>553.05363637667176</c:v>
                </c:pt>
                <c:pt idx="41">
                  <c:v>554.61392356796614</c:v>
                </c:pt>
                <c:pt idx="42">
                  <c:v>556.17094860402813</c:v>
                </c:pt>
                <c:pt idx="43">
                  <c:v>557.72472130003825</c:v>
                </c:pt>
                <c:pt idx="44">
                  <c:v>559.27525141926856</c:v>
                </c:pt>
                <c:pt idx="45">
                  <c:v>560.82254867344523</c:v>
                </c:pt>
                <c:pt idx="46">
                  <c:v>562.36662272310855</c:v>
                </c:pt>
                <c:pt idx="47">
                  <c:v>563.90748317796897</c:v>
                </c:pt>
                <c:pt idx="48">
                  <c:v>565.44513959726044</c:v>
                </c:pt>
                <c:pt idx="49">
                  <c:v>566.97960149009089</c:v>
                </c:pt>
                <c:pt idx="50">
                  <c:v>568.51087831578911</c:v>
                </c:pt>
                <c:pt idx="51">
                  <c:v>570.03897948424901</c:v>
                </c:pt>
                <c:pt idx="52">
                  <c:v>571.56391435627074</c:v>
                </c:pt>
                <c:pt idx="53">
                  <c:v>573.08569224389885</c:v>
                </c:pt>
                <c:pt idx="54">
                  <c:v>574.6043224107575</c:v>
                </c:pt>
                <c:pt idx="55">
                  <c:v>576.11981407238295</c:v>
                </c:pt>
                <c:pt idx="56">
                  <c:v>577.63217639655272</c:v>
                </c:pt>
                <c:pt idx="57">
                  <c:v>579.14141850361273</c:v>
                </c:pt>
                <c:pt idx="58">
                  <c:v>580.64754946680046</c:v>
                </c:pt>
                <c:pt idx="59">
                  <c:v>582.15057831256649</c:v>
                </c:pt>
                <c:pt idx="60">
                  <c:v>583.6505140208925</c:v>
                </c:pt>
                <c:pt idx="61">
                  <c:v>585.14736552560703</c:v>
                </c:pt>
                <c:pt idx="62">
                  <c:v>586.64114171469828</c:v>
                </c:pt>
                <c:pt idx="63">
                  <c:v>588.13185143062412</c:v>
                </c:pt>
                <c:pt idx="64">
                  <c:v>589.61950347061975</c:v>
                </c:pt>
                <c:pt idx="65">
                  <c:v>591.10410658700266</c:v>
                </c:pt>
                <c:pt idx="66">
                  <c:v>592.585669487475</c:v>
                </c:pt>
                <c:pt idx="67">
                  <c:v>594.06420083542309</c:v>
                </c:pt>
                <c:pt idx="68">
                  <c:v>595.53970925021508</c:v>
                </c:pt>
                <c:pt idx="69">
                  <c:v>597.01220330749527</c:v>
                </c:pt>
                <c:pt idx="70">
                  <c:v>598.48169153947663</c:v>
                </c:pt>
                <c:pt idx="71">
                  <c:v>599.94818243523036</c:v>
                </c:pt>
                <c:pt idx="72">
                  <c:v>601.41168444097343</c:v>
                </c:pt>
                <c:pt idx="73">
                  <c:v>602.87220596035343</c:v>
                </c:pt>
                <c:pt idx="74">
                  <c:v>604.32975535473099</c:v>
                </c:pt>
                <c:pt idx="75">
                  <c:v>605.78434094346017</c:v>
                </c:pt>
                <c:pt idx="76">
                  <c:v>607.23597100416623</c:v>
                </c:pt>
                <c:pt idx="77">
                  <c:v>608.68465377302118</c:v>
                </c:pt>
                <c:pt idx="78">
                  <c:v>610.1303974450168</c:v>
                </c:pt>
                <c:pt idx="79">
                  <c:v>611.57321017423601</c:v>
                </c:pt>
                <c:pt idx="80">
                  <c:v>613.01310007412121</c:v>
                </c:pt>
                <c:pt idx="81">
                  <c:v>614.45007521774107</c:v>
                </c:pt>
                <c:pt idx="82">
                  <c:v>615.88414363805452</c:v>
                </c:pt>
                <c:pt idx="83">
                  <c:v>617.31531332817315</c:v>
                </c:pt>
                <c:pt idx="84">
                  <c:v>618.74359224162106</c:v>
                </c:pt>
                <c:pt idx="85">
                  <c:v>620.16898829259253</c:v>
                </c:pt>
                <c:pt idx="86">
                  <c:v>621.59150935620801</c:v>
                </c:pt>
                <c:pt idx="87">
                  <c:v>623.0111632687674</c:v>
                </c:pt>
                <c:pt idx="88">
                  <c:v>624.42795782800181</c:v>
                </c:pt>
                <c:pt idx="89">
                  <c:v>625.84190079332302</c:v>
                </c:pt>
                <c:pt idx="90">
                  <c:v>627.25299988607094</c:v>
                </c:pt>
                <c:pt idx="91">
                  <c:v>628.66126278975878</c:v>
                </c:pt>
                <c:pt idx="92">
                  <c:v>630.06669715031683</c:v>
                </c:pt>
                <c:pt idx="93">
                  <c:v>631.46931057633356</c:v>
                </c:pt>
                <c:pt idx="94">
                  <c:v>632.86911063929551</c:v>
                </c:pt>
                <c:pt idx="95">
                  <c:v>634.26610487382459</c:v>
                </c:pt>
                <c:pt idx="96">
                  <c:v>635.66030077791379</c:v>
                </c:pt>
                <c:pt idx="97">
                  <c:v>637.05170581316088</c:v>
                </c:pt>
                <c:pt idx="98">
                  <c:v>638.4403274050004</c:v>
                </c:pt>
                <c:pt idx="99">
                  <c:v>639.82617294293357</c:v>
                </c:pt>
                <c:pt idx="100">
                  <c:v>641.20924978075629</c:v>
                </c:pt>
                <c:pt idx="101">
                  <c:v>654.8883064246296</c:v>
                </c:pt>
                <c:pt idx="102">
                  <c:v>668.29518584562084</c:v>
                </c:pt>
                <c:pt idx="103">
                  <c:v>681.4369102654988</c:v>
                </c:pt>
                <c:pt idx="104">
                  <c:v>694.32017301844894</c:v>
                </c:pt>
                <c:pt idx="105">
                  <c:v>706.95135849586541</c:v>
                </c:pt>
                <c:pt idx="106">
                  <c:v>719.33656058114059</c:v>
                </c:pt>
                <c:pt idx="107">
                  <c:v>731.48159971003008</c:v>
                </c:pt>
                <c:pt idx="108">
                  <c:v>743.39203867812012</c:v>
                </c:pt>
                <c:pt idx="109">
                  <c:v>755.07319730452218</c:v>
                </c:pt>
                <c:pt idx="110">
                  <c:v>766.53016604994252</c:v>
                </c:pt>
                <c:pt idx="111">
                  <c:v>777.76781867754846</c:v>
                </c:pt>
                <c:pt idx="112">
                  <c:v>788.79082403641416</c:v>
                </c:pt>
                <c:pt idx="113">
                  <c:v>799.60365703964408</c:v>
                </c:pt>
                <c:pt idx="114">
                  <c:v>810.21060890242518</c:v>
                </c:pt>
                <c:pt idx="115">
                  <c:v>820.61579669914533</c:v>
                </c:pt>
                <c:pt idx="116">
                  <c:v>830.82317229325099</c:v>
                </c:pt>
                <c:pt idx="117">
                  <c:v>840.83653068862282</c:v>
                </c:pt>
                <c:pt idx="118">
                  <c:v>850.65951784685899</c:v>
                </c:pt>
                <c:pt idx="119">
                  <c:v>860.29563801091285</c:v>
                </c:pt>
                <c:pt idx="120">
                  <c:v>869.74826057198595</c:v>
                </c:pt>
                <c:pt idx="121">
                  <c:v>879.02062651338156</c:v>
                </c:pt>
                <c:pt idx="122">
                  <c:v>888.11585446214428</c:v>
                </c:pt>
                <c:pt idx="123">
                  <c:v>897.03694637670628</c:v>
                </c:pt>
                <c:pt idx="124">
                  <c:v>905.7867928964082</c:v>
                </c:pt>
                <c:pt idx="125">
                  <c:v>914.36817837663011</c:v>
                </c:pt>
                <c:pt idx="126">
                  <c:v>922.78378563133606</c:v>
                </c:pt>
                <c:pt idx="127">
                  <c:v>931.03620040307953</c:v>
                </c:pt>
                <c:pt idx="128">
                  <c:v>939.12791557892479</c:v>
                </c:pt>
                <c:pt idx="129">
                  <c:v>947.0613351692848</c:v>
                </c:pt>
                <c:pt idx="130">
                  <c:v>954.83877806535861</c:v>
                </c:pt>
                <c:pt idx="131">
                  <c:v>962.46248158964181</c:v>
                </c:pt>
                <c:pt idx="132">
                  <c:v>969.93460485288688</c:v>
                </c:pt>
                <c:pt idx="133">
                  <c:v>977.25723192988255</c:v>
                </c:pt>
                <c:pt idx="134">
                  <c:v>984.43237486550208</c:v>
                </c:pt>
                <c:pt idx="135">
                  <c:v>991.46197652162948</c:v>
                </c:pt>
                <c:pt idx="136">
                  <c:v>998.34791327479911</c:v>
                </c:pt>
                <c:pt idx="137">
                  <c:v>1005.0919975736781</c:v>
                </c:pt>
                <c:pt idx="138">
                  <c:v>1011.6959803648698</c:v>
                </c:pt>
                <c:pt idx="139">
                  <c:v>1018.1615533949202</c:v>
                </c:pt>
                <c:pt idx="140">
                  <c:v>1024.4903513958591</c:v>
                </c:pt>
                <c:pt idx="141">
                  <c:v>1030.6839541611039</c:v>
                </c:pt>
                <c:pt idx="142">
                  <c:v>1036.7438885180875</c:v>
                </c:pt>
                <c:pt idx="143">
                  <c:v>1042.6716302035431</c:v>
                </c:pt>
                <c:pt idx="144">
                  <c:v>1048.4686056469832</c:v>
                </c:pt>
                <c:pt idx="145">
                  <c:v>1054.1361936675453</c:v>
                </c:pt>
                <c:pt idx="146">
                  <c:v>1059.6757270890419</c:v>
                </c:pt>
                <c:pt idx="147">
                  <c:v>1065.0884942777361</c:v>
                </c:pt>
                <c:pt idx="148">
                  <c:v>1070.3757406070858</c:v>
                </c:pt>
                <c:pt idx="149">
                  <c:v>1075.5386698534239</c:v>
                </c:pt>
                <c:pt idx="150">
                  <c:v>1080.5784455263081</c:v>
                </c:pt>
                <c:pt idx="151">
                  <c:v>1085.496192137038</c:v>
                </c:pt>
                <c:pt idx="152">
                  <c:v>1090.2929964086363</c:v>
                </c:pt>
                <c:pt idx="153">
                  <c:v>1094.9699084303936</c:v>
                </c:pt>
                <c:pt idx="154">
                  <c:v>1099.5279427599037</c:v>
                </c:pt>
                <c:pt idx="155">
                  <c:v>1103.968079475351</c:v>
                </c:pt>
                <c:pt idx="156">
                  <c:v>1108.2912651806644</c:v>
                </c:pt>
                <c:pt idx="157">
                  <c:v>1112.4984139660166</c:v>
                </c:pt>
                <c:pt idx="158">
                  <c:v>1116.5904083260243</c:v>
                </c:pt>
                <c:pt idx="159">
                  <c:v>1120.5681000378938</c:v>
                </c:pt>
                <c:pt idx="160">
                  <c:v>1124.432311001658</c:v>
                </c:pt>
                <c:pt idx="161">
                  <c:v>1128.1838340445643</c:v>
                </c:pt>
                <c:pt idx="162">
                  <c:v>1131.8234336915939</c:v>
                </c:pt>
                <c:pt idx="163">
                  <c:v>1135.3518469040362</c:v>
                </c:pt>
                <c:pt idx="164">
                  <c:v>1138.7697837879821</c:v>
                </c:pt>
                <c:pt idx="165">
                  <c:v>1142.0779282745702</c:v>
                </c:pt>
                <c:pt idx="166">
                  <c:v>1145.2769387737878</c:v>
                </c:pt>
                <c:pt idx="167">
                  <c:v>1148.3674488036224</c:v>
                </c:pt>
                <c:pt idx="168">
                  <c:v>1151.3500675963605</c:v>
                </c:pt>
                <c:pt idx="169">
                  <c:v>1154.2253806838569</c:v>
                </c:pt>
                <c:pt idx="170">
                  <c:v>1156.9939504636304</c:v>
                </c:pt>
                <c:pt idx="171">
                  <c:v>1159.6563167477091</c:v>
                </c:pt>
                <c:pt idx="172">
                  <c:v>1162.2129972962246</c:v>
                </c:pt>
                <c:pt idx="173">
                  <c:v>1164.6644883378669</c:v>
                </c:pt>
                <c:pt idx="174">
                  <c:v>1167.0112650794408</c:v>
                </c:pt>
                <c:pt idx="175">
                  <c:v>1169.2537822069319</c:v>
                </c:pt>
                <c:pt idx="176">
                  <c:v>1171.3924743806851</c:v>
                </c:pt>
                <c:pt idx="177">
                  <c:v>1173.427756727531</c:v>
                </c:pt>
                <c:pt idx="178">
                  <c:v>1175.3600253329564</c:v>
                </c:pt>
                <c:pt idx="179">
                  <c:v>1177.1896577367297</c:v>
                </c:pt>
                <c:pt idx="180">
                  <c:v>1178.9170134357166</c:v>
                </c:pt>
                <c:pt idx="181">
                  <c:v>1180.542434398003</c:v>
                </c:pt>
                <c:pt idx="182">
                  <c:v>1182.0662455928264</c:v>
                </c:pt>
                <c:pt idx="183">
                  <c:v>1183.4887555412233</c:v>
                </c:pt>
                <c:pt idx="184">
                  <c:v>1184.8102568926899</c:v>
                </c:pt>
                <c:pt idx="185">
                  <c:v>1186.0310270335058</c:v>
                </c:pt>
                <c:pt idx="186">
                  <c:v>1187.1513287326436</c:v>
                </c:pt>
                <c:pt idx="187">
                  <c:v>1188.1714108313329</c:v>
                </c:pt>
                <c:pt idx="188">
                  <c:v>1189.0915089823011</c:v>
                </c:pt>
                <c:pt idx="189">
                  <c:v>1189.9118464444084</c:v>
                </c:pt>
                <c:pt idx="190">
                  <c:v>1190.6326349377516</c:v>
                </c:pt>
                <c:pt idx="191">
                  <c:v>1191.2540755632692</c:v>
                </c:pt>
                <c:pt idx="192">
                  <c:v>1191.7763597893713</c:v>
                </c:pt>
                <c:pt idx="193">
                  <c:v>1192.1996705061306</c:v>
                </c:pt>
                <c:pt idx="194">
                  <c:v>1192.5241831451251</c:v>
                </c:pt>
                <c:pt idx="195">
                  <c:v>1192.7500668602081</c:v>
                </c:pt>
                <c:pt idx="196">
                  <c:v>1192.8774857614485</c:v>
                </c:pt>
                <c:pt idx="197">
                  <c:v>1192.9066001914607</c:v>
                </c:pt>
                <c:pt idx="198">
                  <c:v>1192.8375680305887</c:v>
                </c:pt>
                <c:pt idx="199">
                  <c:v>1192.6705460152034</c:v>
                </c:pt>
                <c:pt idx="200">
                  <c:v>1192.4056910519494</c:v>
                </c:pt>
                <c:pt idx="201">
                  <c:v>1192.0431615103162</c:v>
                </c:pt>
                <c:pt idx="202">
                  <c:v>1191.5831184764559</c:v>
                </c:pt>
                <c:pt idx="203">
                  <c:v>1191.0257269526617</c:v>
                </c:pt>
                <c:pt idx="204">
                  <c:v>1190.3711569891998</c:v>
                </c:pt>
                <c:pt idx="205">
                  <c:v>1189.6195847379886</c:v>
                </c:pt>
                <c:pt idx="206">
                  <c:v>1188.7711934206761</c:v>
                </c:pt>
                <c:pt idx="207">
                  <c:v>1187.826174206712</c:v>
                </c:pt>
                <c:pt idx="208">
                  <c:v>1186.7847269998153</c:v>
                </c:pt>
                <c:pt idx="209">
                  <c:v>1185.6470611336642</c:v>
                </c:pt>
                <c:pt idx="210">
                  <c:v>1184.4133959795777</c:v>
                </c:pt>
                <c:pt idx="211">
                  <c:v>1183.0839614704189</c:v>
                </c:pt>
                <c:pt idx="212">
                  <c:v>1181.6589985459332</c:v>
                </c:pt>
                <c:pt idx="213">
                  <c:v>1180.1387595253143</c:v>
                </c:pt>
                <c:pt idx="214">
                  <c:v>1178.5235084130379</c:v>
                </c:pt>
                <c:pt idx="215">
                  <c:v>1176.8135211439803</c:v>
                </c:pt>
                <c:pt idx="216">
                  <c:v>1175.0090857736438</c:v>
                </c:pt>
                <c:pt idx="217">
                  <c:v>1173.1105026189746</c:v>
                </c:pt>
                <c:pt idx="218">
                  <c:v>1171.1180843548634</c:v>
                </c:pt>
                <c:pt idx="219">
                  <c:v>1169.032156070976</c:v>
                </c:pt>
                <c:pt idx="220">
                  <c:v>1166.8530552931154</c:v>
                </c:pt>
                <c:pt idx="221">
                  <c:v>1164.5811319728855</c:v>
                </c:pt>
                <c:pt idx="222">
                  <c:v>1162.2167484490139</c:v>
                </c:pt>
                <c:pt idx="223">
                  <c:v>1159.7602793833171</c:v>
                </c:pt>
                <c:pt idx="224">
                  <c:v>1157.2121116739461</c:v>
                </c:pt>
                <c:pt idx="225">
                  <c:v>1154.5726443482492</c:v>
                </c:pt>
                <c:pt idx="226">
                  <c:v>1151.8422884373131</c:v>
                </c:pt>
                <c:pt idx="227">
                  <c:v>1149.0214668340068</c:v>
                </c:pt>
                <c:pt idx="228">
                  <c:v>1146.1106141361497</c:v>
                </c:pt>
                <c:pt idx="229">
                  <c:v>1143.1101764762343</c:v>
                </c:pt>
                <c:pt idx="230">
                  <c:v>1140.02061133899</c:v>
                </c:pt>
                <c:pt idx="231">
                  <c:v>1136.8423873679276</c:v>
                </c:pt>
                <c:pt idx="232">
                  <c:v>1133.575984161896</c:v>
                </c:pt>
                <c:pt idx="233">
                  <c:v>1130.2218920625769</c:v>
                </c:pt>
                <c:pt idx="234">
                  <c:v>1126.780611933757</c:v>
                </c:pt>
                <c:pt idx="235">
                  <c:v>1123.2526549331451</c:v>
                </c:pt>
                <c:pt idx="236">
                  <c:v>1119.6385422774331</c:v>
                </c:pt>
                <c:pt idx="237">
                  <c:v>1115.9388050012469</c:v>
                </c:pt>
                <c:pt idx="238">
                  <c:v>1112.1539837105815</c:v>
                </c:pt>
                <c:pt idx="239">
                  <c:v>1108.2846283312751</c:v>
                </c:pt>
                <c:pt idx="240">
                  <c:v>1104.3312978530391</c:v>
                </c:pt>
                <c:pt idx="241">
                  <c:v>1100.2945600695273</c:v>
                </c:pt>
                <c:pt idx="242">
                  <c:v>1096.1749913148999</c:v>
                </c:pt>
                <c:pt idx="243">
                  <c:v>1091.9731761973151</c:v>
                </c:pt>
                <c:pt idx="244">
                  <c:v>1087.6897073297523</c:v>
                </c:pt>
                <c:pt idx="245">
                  <c:v>1083.3251850585584</c:v>
                </c:pt>
                <c:pt idx="246">
                  <c:v>1078.8802171900829</c:v>
                </c:pt>
                <c:pt idx="247">
                  <c:v>1074.3554187157586</c:v>
                </c:pt>
                <c:pt idx="248">
                  <c:v>1069.7514115359613</c:v>
                </c:pt>
                <c:pt idx="249">
                  <c:v>1065.0688241829755</c:v>
                </c:pt>
                <c:pt idx="250">
                  <c:v>1060.3082915433745</c:v>
                </c:pt>
                <c:pt idx="251">
                  <c:v>1055.4704545801139</c:v>
                </c:pt>
                <c:pt idx="252">
                  <c:v>1050.5559600546253</c:v>
                </c:pt>
                <c:pt idx="253">
                  <c:v>1045.565460249185</c:v>
                </c:pt>
                <c:pt idx="254">
                  <c:v>1040.4996126898247</c:v>
                </c:pt>
                <c:pt idx="255">
                  <c:v>1035.3590798700379</c:v>
                </c:pt>
                <c:pt idx="256">
                  <c:v>1030.1445289755272</c:v>
                </c:pt>
                <c:pt idx="257">
                  <c:v>1024.856631610231</c:v>
                </c:pt>
                <c:pt idx="258">
                  <c:v>1019.4960635238532</c:v>
                </c:pt>
                <c:pt idx="259">
                  <c:v>1014.0635043411161</c:v>
                </c:pt>
                <c:pt idx="260">
                  <c:v>1008.5596372929447</c:v>
                </c:pt>
                <c:pt idx="261">
                  <c:v>1002.9851489497829</c:v>
                </c:pt>
                <c:pt idx="262">
                  <c:v>997.34072895723364</c:v>
                </c:pt>
                <c:pt idx="263">
                  <c:v>991.62706977420589</c:v>
                </c:pt>
                <c:pt idx="264">
                  <c:v>985.84486641374497</c:v>
                </c:pt>
                <c:pt idx="265">
                  <c:v>979.99481618671211</c:v>
                </c:pt>
                <c:pt idx="266">
                  <c:v>974.07761844847232</c:v>
                </c:pt>
                <c:pt idx="267">
                  <c:v>968.09397434874245</c:v>
                </c:pt>
                <c:pt idx="268">
                  <c:v>962.04458658474141</c:v>
                </c:pt>
                <c:pt idx="269">
                  <c:v>955.93015915777846</c:v>
                </c:pt>
                <c:pt idx="270">
                  <c:v>949.75139713340729</c:v>
                </c:pt>
                <c:pt idx="271">
                  <c:v>943.50900640526504</c:v>
                </c:pt>
                <c:pt idx="272">
                  <c:v>937.20369346270957</c:v>
                </c:pt>
                <c:pt idx="273">
                  <c:v>930.83616516235986</c:v>
                </c:pt>
                <c:pt idx="274">
                  <c:v>924.40712850363661</c:v>
                </c:pt>
                <c:pt idx="275">
                  <c:v>917.91729040839471</c:v>
                </c:pt>
                <c:pt idx="276">
                  <c:v>911.36735750473008</c:v>
                </c:pt>
                <c:pt idx="277">
                  <c:v>904.75803591503779</c:v>
                </c:pt>
                <c:pt idx="278">
                  <c:v>898.09003104839167</c:v>
                </c:pt>
                <c:pt idx="279">
                  <c:v>891.36404739730756</c:v>
                </c:pt>
                <c:pt idx="280">
                  <c:v>884.5807883389474</c:v>
                </c:pt>
                <c:pt idx="281">
                  <c:v>877.74095594081382</c:v>
                </c:pt>
                <c:pt idx="282">
                  <c:v>870.84525077097942</c:v>
                </c:pt>
                <c:pt idx="283">
                  <c:v>863.89437171288807</c:v>
                </c:pt>
                <c:pt idx="284">
                  <c:v>856.8890157847602</c:v>
                </c:pt>
                <c:pt idx="285">
                  <c:v>849.82987796362818</c:v>
                </c:pt>
                <c:pt idx="286">
                  <c:v>842.71765101402116</c:v>
                </c:pt>
                <c:pt idx="287">
                  <c:v>835.55302532131589</c:v>
                </c:pt>
                <c:pt idx="288">
                  <c:v>828.33668872976136</c:v>
                </c:pt>
                <c:pt idx="289">
                  <c:v>821.06932638518219</c:v>
                </c:pt>
                <c:pt idx="290">
                  <c:v>813.75162058236083</c:v>
                </c:pt>
                <c:pt idx="291">
                  <c:v>806.38425061709177</c:v>
                </c:pt>
                <c:pt idx="292">
                  <c:v>798.96789264289896</c:v>
                </c:pt>
                <c:pt idx="293">
                  <c:v>791.50321953240143</c:v>
                </c:pt>
                <c:pt idx="294">
                  <c:v>783.99090074330763</c:v>
                </c:pt>
                <c:pt idx="295">
                  <c:v>776.43160218901698</c:v>
                </c:pt>
                <c:pt idx="296">
                  <c:v>768.82598611380047</c:v>
                </c:pt>
                <c:pt idx="297">
                  <c:v>761.17471097253008</c:v>
                </c:pt>
                <c:pt idx="298">
                  <c:v>753.47843131492334</c:v>
                </c:pt>
                <c:pt idx="299">
                  <c:v>745.73779767426458</c:v>
                </c:pt>
                <c:pt idx="300">
                  <c:v>737.95345646056228</c:v>
                </c:pt>
                <c:pt idx="301">
                  <c:v>730.12604985809855</c:v>
                </c:pt>
                <c:pt idx="302">
                  <c:v>722.25621572732439</c:v>
                </c:pt>
                <c:pt idx="303">
                  <c:v>714.34458751104967</c:v>
                </c:pt>
                <c:pt idx="304">
                  <c:v>706.39179414487705</c:v>
                </c:pt>
                <c:pt idx="305">
                  <c:v>698.39845997182454</c:v>
                </c:pt>
                <c:pt idx="306">
                  <c:v>690.36520466107982</c:v>
                </c:pt>
                <c:pt idx="307">
                  <c:v>682.29264313082706</c:v>
                </c:pt>
                <c:pt idx="308">
                  <c:v>674.18138547508579</c:v>
                </c:pt>
                <c:pt idx="309">
                  <c:v>666.03203689449856</c:v>
                </c:pt>
                <c:pt idx="310">
                  <c:v>657.84519763100297</c:v>
                </c:pt>
                <c:pt idx="311">
                  <c:v>649.62146290632199</c:v>
                </c:pt>
                <c:pt idx="312">
                  <c:v>641.36142286420568</c:v>
                </c:pt>
                <c:pt idx="313">
                  <c:v>633.06566251635491</c:v>
                </c:pt>
                <c:pt idx="314">
                  <c:v>624.7347616919576</c:v>
                </c:pt>
                <c:pt idx="315">
                  <c:v>616.36929499076689</c:v>
                </c:pt>
                <c:pt idx="316">
                  <c:v>607.96983173964952</c:v>
                </c:pt>
                <c:pt idx="317">
                  <c:v>599.53693595253185</c:v>
                </c:pt>
                <c:pt idx="318">
                  <c:v>591.07116629367033</c:v>
                </c:pt>
                <c:pt idx="319">
                  <c:v>582.5730760441736</c:v>
                </c:pt>
                <c:pt idx="320">
                  <c:v>574.04321307170119</c:v>
                </c:pt>
                <c:pt idx="321">
                  <c:v>565.48211980326528</c:v>
                </c:pt>
                <c:pt idx="322">
                  <c:v>556.89033320106091</c:v>
                </c:pt>
                <c:pt idx="323">
                  <c:v>548.26838474124929</c:v>
                </c:pt>
                <c:pt idx="324">
                  <c:v>539.616800395621</c:v>
                </c:pt>
                <c:pt idx="325">
                  <c:v>530.9361006160625</c:v>
                </c:pt>
                <c:pt idx="326">
                  <c:v>522.22680032175333</c:v>
                </c:pt>
                <c:pt idx="327">
                  <c:v>513.4894088890187</c:v>
                </c:pt>
                <c:pt idx="328">
                  <c:v>504.72443014376347</c:v>
                </c:pt>
                <c:pt idx="329">
                  <c:v>495.93236235641467</c:v>
                </c:pt>
                <c:pt idx="330">
                  <c:v>487.11369823929857</c:v>
                </c:pt>
                <c:pt idx="331">
                  <c:v>478.26892494638025</c:v>
                </c:pt>
                <c:pt idx="332">
                  <c:v>469.39852407529332</c:v>
                </c:pt>
                <c:pt idx="333">
                  <c:v>460.50297167158828</c:v>
                </c:pt>
                <c:pt idx="334">
                  <c:v>451.58273823512894</c:v>
                </c:pt>
                <c:pt idx="335">
                  <c:v>442.63828872856652</c:v>
                </c:pt>
                <c:pt idx="336">
                  <c:v>433.67008258782238</c:v>
                </c:pt>
                <c:pt idx="337">
                  <c:v>424.67857373451085</c:v>
                </c:pt>
                <c:pt idx="338">
                  <c:v>415.66421059023457</c:v>
                </c:pt>
                <c:pt idx="339">
                  <c:v>406.6274360926854</c:v>
                </c:pt>
                <c:pt idx="340">
                  <c:v>397.56868771348525</c:v>
                </c:pt>
                <c:pt idx="341">
                  <c:v>388.48839747770222</c:v>
                </c:pt>
                <c:pt idx="342">
                  <c:v>379.38699198497767</c:v>
                </c:pt>
                <c:pt idx="343">
                  <c:v>370.26489243220198</c:v>
                </c:pt>
                <c:pt idx="344">
                  <c:v>361.12251463767672</c:v>
                </c:pt>
                <c:pt idx="345">
                  <c:v>351.96026906670289</c:v>
                </c:pt>
                <c:pt idx="346">
                  <c:v>342.77856085853557</c:v>
                </c:pt>
                <c:pt idx="347">
                  <c:v>333.57778985464586</c:v>
                </c:pt>
                <c:pt idx="348">
                  <c:v>324.35835062823372</c:v>
                </c:pt>
                <c:pt idx="349">
                  <c:v>315.12063251493453</c:v>
                </c:pt>
                <c:pt idx="350">
                  <c:v>305.86501964466459</c:v>
                </c:pt>
                <c:pt idx="351">
                  <c:v>296.59189097455169</c:v>
                </c:pt>
                <c:pt idx="352">
                  <c:v>287.30162032289758</c:v>
                </c:pt>
                <c:pt idx="353">
                  <c:v>277.99457640412089</c:v>
                </c:pt>
                <c:pt idx="354">
                  <c:v>268.67112286462987</c:v>
                </c:pt>
                <c:pt idx="355">
                  <c:v>259.33161831957568</c:v>
                </c:pt>
                <c:pt idx="356">
                  <c:v>249.97641639043798</c:v>
                </c:pt>
                <c:pt idx="357">
                  <c:v>240.60586574339555</c:v>
                </c:pt>
                <c:pt idx="358">
                  <c:v>231.22031012843672</c:v>
                </c:pt>
                <c:pt idx="359">
                  <c:v>221.82008841916411</c:v>
                </c:pt>
                <c:pt idx="360">
                  <c:v>212.40553465325058</c:v>
                </c:pt>
                <c:pt idx="361">
                  <c:v>202.97697807350397</c:v>
                </c:pt>
                <c:pt idx="362">
                  <c:v>193.53474316949905</c:v>
                </c:pt>
                <c:pt idx="363">
                  <c:v>184.07914971973685</c:v>
                </c:pt>
                <c:pt idx="364">
                  <c:v>174.61051283429205</c:v>
                </c:pt>
                <c:pt idx="365">
                  <c:v>165.12914299791078</c:v>
                </c:pt>
                <c:pt idx="366">
                  <c:v>155.63534611352159</c:v>
                </c:pt>
                <c:pt idx="367">
                  <c:v>146.12942354612437</c:v>
                </c:pt>
                <c:pt idx="368">
                  <c:v>136.61167216702205</c:v>
                </c:pt>
                <c:pt idx="369">
                  <c:v>127.08238439836165</c:v>
                </c:pt>
                <c:pt idx="370">
                  <c:v>117.54184825795227</c:v>
                </c:pt>
                <c:pt idx="371">
                  <c:v>107.99034740432809</c:v>
                </c:pt>
                <c:pt idx="372">
                  <c:v>98.428161182026258</c:v>
                </c:pt>
                <c:pt idx="373">
                  <c:v>88.855564667049734</c:v>
                </c:pt>
                <c:pt idx="374">
                  <c:v>79.272828712486884</c:v>
                </c:pt>
                <c:pt idx="375">
                  <c:v>69.680219994259986</c:v>
                </c:pt>
                <c:pt idx="376">
                  <c:v>60.078001056976142</c:v>
                </c:pt>
                <c:pt idx="377">
                  <c:v>50.46643035985484</c:v>
                </c:pt>
                <c:pt idx="378">
                  <c:v>40.845762322707415</c:v>
                </c:pt>
                <c:pt idx="379">
                  <c:v>31.216247371944455</c:v>
                </c:pt>
                <c:pt idx="380">
                  <c:v>21.578131986588218</c:v>
                </c:pt>
                <c:pt idx="381">
                  <c:v>11.931658744267859</c:v>
                </c:pt>
                <c:pt idx="382">
                  <c:v>2.2770663671762055</c:v>
                </c:pt>
                <c:pt idx="383">
                  <c:v>-7.3854102320324149</c:v>
                </c:pt>
                <c:pt idx="384">
                  <c:v>-7.395076596257061</c:v>
                </c:pt>
                <c:pt idx="385">
                  <c:v>-7.4047429680200283</c:v>
                </c:pt>
                <c:pt idx="386">
                  <c:v>-7.4144093473210919</c:v>
                </c:pt>
                <c:pt idx="387">
                  <c:v>-7.4240757341600263</c:v>
                </c:pt>
                <c:pt idx="388">
                  <c:v>-7.4337421285366059</c:v>
                </c:pt>
                <c:pt idx="389">
                  <c:v>-7.4434085304506059</c:v>
                </c:pt>
                <c:pt idx="390">
                  <c:v>-7.4530749399018008</c:v>
                </c:pt>
                <c:pt idx="391">
                  <c:v>-7.462741356889965</c:v>
                </c:pt>
                <c:pt idx="392">
                  <c:v>-7.4724077814148728</c:v>
                </c:pt>
                <c:pt idx="393">
                  <c:v>-7.4820742134762996</c:v>
                </c:pt>
                <c:pt idx="394">
                  <c:v>-7.4917406530740207</c:v>
                </c:pt>
                <c:pt idx="395">
                  <c:v>-7.5014071002078104</c:v>
                </c:pt>
                <c:pt idx="396">
                  <c:v>-7.5110735548774432</c:v>
                </c:pt>
                <c:pt idx="397">
                  <c:v>-7.5207400170826935</c:v>
                </c:pt>
                <c:pt idx="398">
                  <c:v>-7.5304064868233365</c:v>
                </c:pt>
                <c:pt idx="399">
                  <c:v>-7.5400729640991466</c:v>
                </c:pt>
                <c:pt idx="400">
                  <c:v>-7.5497394489098992</c:v>
                </c:pt>
                <c:pt idx="401">
                  <c:v>-7.5594059412553687</c:v>
                </c:pt>
                <c:pt idx="402">
                  <c:v>-7.5690724411353294</c:v>
                </c:pt>
                <c:pt idx="403">
                  <c:v>-7.5787389485495567</c:v>
                </c:pt>
                <c:pt idx="404">
                  <c:v>-7.5884054634978249</c:v>
                </c:pt>
                <c:pt idx="405">
                  <c:v>-7.5980719859799093</c:v>
                </c:pt>
                <c:pt idx="406">
                  <c:v>-7.6077385159955844</c:v>
                </c:pt>
                <c:pt idx="407">
                  <c:v>-7.6174050535446254</c:v>
                </c:pt>
                <c:pt idx="408">
                  <c:v>-7.6270715986268058</c:v>
                </c:pt>
                <c:pt idx="409">
                  <c:v>-7.6367381512419019</c:v>
                </c:pt>
                <c:pt idx="410">
                  <c:v>-7.6464047113896871</c:v>
                </c:pt>
                <c:pt idx="411">
                  <c:v>-7.6560712790699377</c:v>
                </c:pt>
                <c:pt idx="412">
                  <c:v>-7.665737854282427</c:v>
                </c:pt>
                <c:pt idx="413">
                  <c:v>-7.6754044370269305</c:v>
                </c:pt>
                <c:pt idx="414">
                  <c:v>-7.6850710273032234</c:v>
                </c:pt>
                <c:pt idx="415">
                  <c:v>-7.6947376251110802</c:v>
                </c:pt>
                <c:pt idx="416">
                  <c:v>-7.7044042304502751</c:v>
                </c:pt>
                <c:pt idx="417">
                  <c:v>-7.7140708433205836</c:v>
                </c:pt>
                <c:pt idx="418">
                  <c:v>-7.7237374637217808</c:v>
                </c:pt>
                <c:pt idx="419">
                  <c:v>-7.7334040916536404</c:v>
                </c:pt>
                <c:pt idx="420">
                  <c:v>-7.7430707271159385</c:v>
                </c:pt>
                <c:pt idx="421">
                  <c:v>-7.7527373701084485</c:v>
                </c:pt>
                <c:pt idx="422">
                  <c:v>-7.7624040206309468</c:v>
                </c:pt>
                <c:pt idx="423">
                  <c:v>-7.7720706786832068</c:v>
                </c:pt>
                <c:pt idx="424">
                  <c:v>-7.7817373442650046</c:v>
                </c:pt>
                <c:pt idx="425">
                  <c:v>-7.7914040173761139</c:v>
                </c:pt>
                <c:pt idx="426">
                  <c:v>-7.8010706980163098</c:v>
                </c:pt>
                <c:pt idx="427">
                  <c:v>-7.8107373861853677</c:v>
                </c:pt>
                <c:pt idx="428">
                  <c:v>-7.820404081883062</c:v>
                </c:pt>
                <c:pt idx="429">
                  <c:v>-7.830070785109168</c:v>
                </c:pt>
                <c:pt idx="430">
                  <c:v>-7.83973749586346</c:v>
                </c:pt>
                <c:pt idx="431">
                  <c:v>-7.8494042141457134</c:v>
                </c:pt>
                <c:pt idx="432">
                  <c:v>-7.8590709399557026</c:v>
                </c:pt>
                <c:pt idx="433">
                  <c:v>-7.8687376732932028</c:v>
                </c:pt>
                <c:pt idx="434">
                  <c:v>-7.8784044141579885</c:v>
                </c:pt>
                <c:pt idx="435">
                  <c:v>-7.888071162549835</c:v>
                </c:pt>
                <c:pt idx="436">
                  <c:v>-7.8977379184685175</c:v>
                </c:pt>
                <c:pt idx="437">
                  <c:v>-7.9074046819138104</c:v>
                </c:pt>
                <c:pt idx="438">
                  <c:v>-7.9170714528854882</c:v>
                </c:pt>
                <c:pt idx="439">
                  <c:v>-7.9267382313833261</c:v>
                </c:pt>
                <c:pt idx="440">
                  <c:v>-7.9364050174070995</c:v>
                </c:pt>
                <c:pt idx="441">
                  <c:v>-7.9460718109565827</c:v>
                </c:pt>
                <c:pt idx="442">
                  <c:v>-7.9557386120315501</c:v>
                </c:pt>
                <c:pt idx="443">
                  <c:v>-7.9654054206317779</c:v>
                </c:pt>
                <c:pt idx="444">
                  <c:v>-7.9750722367570406</c:v>
                </c:pt>
                <c:pt idx="445">
                  <c:v>-7.9847390604071125</c:v>
                </c:pt>
                <c:pt idx="446">
                  <c:v>-7.9944058915817688</c:v>
                </c:pt>
                <c:pt idx="447">
                  <c:v>-8.0040727302807841</c:v>
                </c:pt>
                <c:pt idx="448">
                  <c:v>-8.0137395765039336</c:v>
                </c:pt>
                <c:pt idx="449">
                  <c:v>-8.0234064302509935</c:v>
                </c:pt>
                <c:pt idx="450">
                  <c:v>-8.0330732915217364</c:v>
                </c:pt>
                <c:pt idx="451">
                  <c:v>-8.0427401603159385</c:v>
                </c:pt>
                <c:pt idx="452">
                  <c:v>-8.052407036633376</c:v>
                </c:pt>
                <c:pt idx="453">
                  <c:v>-8.0620739204738214</c:v>
                </c:pt>
                <c:pt idx="454">
                  <c:v>-8.0717408118370511</c:v>
                </c:pt>
                <c:pt idx="455">
                  <c:v>-8.0814077107228393</c:v>
                </c:pt>
                <c:pt idx="456">
                  <c:v>-8.0910746171309622</c:v>
                </c:pt>
                <c:pt idx="457">
                  <c:v>-8.1007415310611925</c:v>
                </c:pt>
                <c:pt idx="458">
                  <c:v>-8.1104084525133082</c:v>
                </c:pt>
                <c:pt idx="459">
                  <c:v>-8.1200753814870819</c:v>
                </c:pt>
                <c:pt idx="460">
                  <c:v>-8.1297423179822896</c:v>
                </c:pt>
                <c:pt idx="461">
                  <c:v>-8.139409261998706</c:v>
                </c:pt>
                <c:pt idx="462">
                  <c:v>-8.1490762135361052</c:v>
                </c:pt>
                <c:pt idx="463">
                  <c:v>-8.1587431725942636</c:v>
                </c:pt>
                <c:pt idx="464">
                  <c:v>-8.1684101391729556</c:v>
                </c:pt>
                <c:pt idx="465">
                  <c:v>-8.1780771132719554</c:v>
                </c:pt>
                <c:pt idx="466">
                  <c:v>-8.1877440948910394</c:v>
                </c:pt>
                <c:pt idx="467">
                  <c:v>-8.1974110840299819</c:v>
                </c:pt>
                <c:pt idx="468">
                  <c:v>-8.2070780806885573</c:v>
                </c:pt>
                <c:pt idx="469">
                  <c:v>-8.2167450848665418</c:v>
                </c:pt>
                <c:pt idx="470">
                  <c:v>-8.2264120965637098</c:v>
                </c:pt>
                <c:pt idx="471">
                  <c:v>-8.2360791157798374</c:v>
                </c:pt>
                <c:pt idx="472">
                  <c:v>-8.2457461425146974</c:v>
                </c:pt>
                <c:pt idx="473">
                  <c:v>-8.2554131767680659</c:v>
                </c:pt>
                <c:pt idx="474">
                  <c:v>-8.265080218539719</c:v>
                </c:pt>
                <c:pt idx="475">
                  <c:v>-8.2747472678294294</c:v>
                </c:pt>
                <c:pt idx="476">
                  <c:v>-8.284414324636975</c:v>
                </c:pt>
                <c:pt idx="477">
                  <c:v>-8.2940813889621285</c:v>
                </c:pt>
                <c:pt idx="478">
                  <c:v>-8.3037484608046661</c:v>
                </c:pt>
                <c:pt idx="479">
                  <c:v>-8.3134155401643621</c:v>
                </c:pt>
                <c:pt idx="480">
                  <c:v>-8.3230826270409928</c:v>
                </c:pt>
                <c:pt idx="481">
                  <c:v>-8.3327497214343307</c:v>
                </c:pt>
                <c:pt idx="482">
                  <c:v>-8.3424168233441538</c:v>
                </c:pt>
                <c:pt idx="483">
                  <c:v>-8.3520839327702348</c:v>
                </c:pt>
                <c:pt idx="484">
                  <c:v>-8.3617510497123497</c:v>
                </c:pt>
                <c:pt idx="485">
                  <c:v>-8.3714181741702749</c:v>
                </c:pt>
                <c:pt idx="486">
                  <c:v>-8.3810853061437829</c:v>
                </c:pt>
                <c:pt idx="487">
                  <c:v>-8.3907524456326499</c:v>
                </c:pt>
                <c:pt idx="488">
                  <c:v>-8.4004195926366521</c:v>
                </c:pt>
                <c:pt idx="489">
                  <c:v>-8.4100867471555638</c:v>
                </c:pt>
                <c:pt idx="490">
                  <c:v>-8.4197539091891596</c:v>
                </c:pt>
                <c:pt idx="491">
                  <c:v>-8.4294210787372155</c:v>
                </c:pt>
                <c:pt idx="492">
                  <c:v>-8.4390882557995042</c:v>
                </c:pt>
                <c:pt idx="493">
                  <c:v>-8.4487554403758036</c:v>
                </c:pt>
                <c:pt idx="494">
                  <c:v>-8.4584226324658882</c:v>
                </c:pt>
                <c:pt idx="495">
                  <c:v>-8.4680898320695324</c:v>
                </c:pt>
                <c:pt idx="496">
                  <c:v>-8.4777570391865105</c:v>
                </c:pt>
                <c:pt idx="497">
                  <c:v>-8.4874242538165987</c:v>
                </c:pt>
                <c:pt idx="498">
                  <c:v>-8.4970914759595733</c:v>
                </c:pt>
                <c:pt idx="499">
                  <c:v>-8.5067587056152068</c:v>
                </c:pt>
                <c:pt idx="500">
                  <c:v>-8.5164259427832754</c:v>
                </c:pt>
                <c:pt idx="501">
                  <c:v>-8.5260931874635553</c:v>
                </c:pt>
                <c:pt idx="502">
                  <c:v>-8.5357604396558209</c:v>
                </c:pt>
                <c:pt idx="503">
                  <c:v>-8.5454276993598466</c:v>
                </c:pt>
                <c:pt idx="504">
                  <c:v>-8.5550949665754086</c:v>
                </c:pt>
                <c:pt idx="505">
                  <c:v>-8.5647622413022813</c:v>
                </c:pt>
                <c:pt idx="506">
                  <c:v>-8.5744295235402408</c:v>
                </c:pt>
                <c:pt idx="507">
                  <c:v>-8.5840968132890616</c:v>
                </c:pt>
                <c:pt idx="508">
                  <c:v>-8.5937641105485181</c:v>
                </c:pt>
                <c:pt idx="509">
                  <c:v>-8.6034314153183864</c:v>
                </c:pt>
                <c:pt idx="510">
                  <c:v>-8.613098727598441</c:v>
                </c:pt>
                <c:pt idx="511">
                  <c:v>-8.622766047388458</c:v>
                </c:pt>
                <c:pt idx="512">
                  <c:v>-8.6324333746882118</c:v>
                </c:pt>
                <c:pt idx="513">
                  <c:v>-8.6421007094974769</c:v>
                </c:pt>
                <c:pt idx="514">
                  <c:v>-8.6517680518160294</c:v>
                </c:pt>
                <c:pt idx="515">
                  <c:v>-8.6614354016436437</c:v>
                </c:pt>
                <c:pt idx="516">
                  <c:v>-8.671102758980096</c:v>
                </c:pt>
                <c:pt idx="517">
                  <c:v>-8.6807701238251607</c:v>
                </c:pt>
                <c:pt idx="518">
                  <c:v>-8.6904374961786139</c:v>
                </c:pt>
                <c:pt idx="519">
                  <c:v>-8.7001048760402302</c:v>
                </c:pt>
                <c:pt idx="520">
                  <c:v>-8.7097722634097856</c:v>
                </c:pt>
                <c:pt idx="521">
                  <c:v>-8.7194396582870546</c:v>
                </c:pt>
                <c:pt idx="522">
                  <c:v>-8.7291070606718115</c:v>
                </c:pt>
                <c:pt idx="523">
                  <c:v>-8.7387744705638326</c:v>
                </c:pt>
                <c:pt idx="524">
                  <c:v>-8.7484418879628922</c:v>
                </c:pt>
                <c:pt idx="525">
                  <c:v>-8.7581093128687666</c:v>
                </c:pt>
                <c:pt idx="526">
                  <c:v>-8.7677767452812301</c:v>
                </c:pt>
                <c:pt idx="527">
                  <c:v>-8.7774441852000589</c:v>
                </c:pt>
                <c:pt idx="528">
                  <c:v>-8.7871116326250274</c:v>
                </c:pt>
                <c:pt idx="529">
                  <c:v>-8.7967790875559118</c:v>
                </c:pt>
                <c:pt idx="530">
                  <c:v>-8.8064465499924864</c:v>
                </c:pt>
                <c:pt idx="531">
                  <c:v>-8.8161140199345258</c:v>
                </c:pt>
                <c:pt idx="532">
                  <c:v>-8.8257814973818061</c:v>
                </c:pt>
                <c:pt idx="533">
                  <c:v>-8.8354489823341016</c:v>
                </c:pt>
                <c:pt idx="534">
                  <c:v>-8.8451164747911886</c:v>
                </c:pt>
                <c:pt idx="535">
                  <c:v>-8.8547839747528432</c:v>
                </c:pt>
                <c:pt idx="536">
                  <c:v>-8.8644514822188398</c:v>
                </c:pt>
                <c:pt idx="537">
                  <c:v>-8.8741189971889529</c:v>
                </c:pt>
                <c:pt idx="538">
                  <c:v>-8.8837865196629586</c:v>
                </c:pt>
                <c:pt idx="539">
                  <c:v>-8.8934540496406314</c:v>
                </c:pt>
                <c:pt idx="540">
                  <c:v>-8.9031215871217473</c:v>
                </c:pt>
                <c:pt idx="541">
                  <c:v>-8.9127891321060808</c:v>
                </c:pt>
                <c:pt idx="542">
                  <c:v>-8.9224566845934081</c:v>
                </c:pt>
                <c:pt idx="543">
                  <c:v>-8.9321242445835036</c:v>
                </c:pt>
                <c:pt idx="544">
                  <c:v>-8.9417918120761435</c:v>
                </c:pt>
                <c:pt idx="545">
                  <c:v>-8.9514593870711021</c:v>
                </c:pt>
                <c:pt idx="546">
                  <c:v>-8.9611269695681539</c:v>
                </c:pt>
                <c:pt idx="547">
                  <c:v>-8.9707945595670768</c:v>
                </c:pt>
                <c:pt idx="548">
                  <c:v>-8.9804621570676435</c:v>
                </c:pt>
                <c:pt idx="549">
                  <c:v>-8.9901297620696301</c:v>
                </c:pt>
                <c:pt idx="550">
                  <c:v>-8.9997973745728128</c:v>
                </c:pt>
                <c:pt idx="551">
                  <c:v>-9.009464994576966</c:v>
                </c:pt>
                <c:pt idx="552">
                  <c:v>-9.0191326220818659</c:v>
                </c:pt>
                <c:pt idx="553">
                  <c:v>-9.028800257087287</c:v>
                </c:pt>
                <c:pt idx="554">
                  <c:v>-9.0384678995930052</c:v>
                </c:pt>
                <c:pt idx="555">
                  <c:v>-9.0481355495987952</c:v>
                </c:pt>
                <c:pt idx="556">
                  <c:v>-9.057803207104433</c:v>
                </c:pt>
                <c:pt idx="557">
                  <c:v>-9.067470872109693</c:v>
                </c:pt>
                <c:pt idx="558">
                  <c:v>-9.0771385446143515</c:v>
                </c:pt>
                <c:pt idx="559">
                  <c:v>-9.0868062246181829</c:v>
                </c:pt>
                <c:pt idx="560">
                  <c:v>-9.0964739121209632</c:v>
                </c:pt>
                <c:pt idx="561">
                  <c:v>-9.106141607122467</c:v>
                </c:pt>
                <c:pt idx="562">
                  <c:v>-9.1158093096224704</c:v>
                </c:pt>
                <c:pt idx="563">
                  <c:v>-9.1254770196207478</c:v>
                </c:pt>
                <c:pt idx="564">
                  <c:v>-9.1351447371170753</c:v>
                </c:pt>
                <c:pt idx="565">
                  <c:v>-9.1448124621112292</c:v>
                </c:pt>
                <c:pt idx="566">
                  <c:v>-9.1544801946029839</c:v>
                </c:pt>
                <c:pt idx="567">
                  <c:v>-9.1641479345921137</c:v>
                </c:pt>
                <c:pt idx="568">
                  <c:v>-9.1738156820783949</c:v>
                </c:pt>
                <c:pt idx="569">
                  <c:v>-9.1834834370616036</c:v>
                </c:pt>
                <c:pt idx="570">
                  <c:v>-9.1931511995415143</c:v>
                </c:pt>
                <c:pt idx="571">
                  <c:v>-9.202818969517903</c:v>
                </c:pt>
                <c:pt idx="572">
                  <c:v>-9.2124867469905443</c:v>
                </c:pt>
                <c:pt idx="573">
                  <c:v>-9.2221545319592124</c:v>
                </c:pt>
                <c:pt idx="574">
                  <c:v>-9.2318223244236854</c:v>
                </c:pt>
                <c:pt idx="575">
                  <c:v>-9.2414901243837377</c:v>
                </c:pt>
                <c:pt idx="576">
                  <c:v>-9.2511579318391437</c:v>
                </c:pt>
                <c:pt idx="577">
                  <c:v>-9.2608257467896795</c:v>
                </c:pt>
                <c:pt idx="578">
                  <c:v>-9.2704935692351214</c:v>
                </c:pt>
                <c:pt idx="579">
                  <c:v>-9.2801613991752436</c:v>
                </c:pt>
                <c:pt idx="580">
                  <c:v>-9.2898292366098207</c:v>
                </c:pt>
                <c:pt idx="581">
                  <c:v>-9.2994970815386306</c:v>
                </c:pt>
                <c:pt idx="582">
                  <c:v>-9.309164933961446</c:v>
                </c:pt>
                <c:pt idx="583">
                  <c:v>-9.3188327938780446</c:v>
                </c:pt>
                <c:pt idx="584">
                  <c:v>-9.3285006612882011</c:v>
                </c:pt>
                <c:pt idx="585">
                  <c:v>-9.3381685361916897</c:v>
                </c:pt>
                <c:pt idx="586">
                  <c:v>-9.3478364185882867</c:v>
                </c:pt>
                <c:pt idx="587">
                  <c:v>-9.3575043084777683</c:v>
                </c:pt>
                <c:pt idx="588">
                  <c:v>-9.3671722058599087</c:v>
                </c:pt>
                <c:pt idx="589">
                  <c:v>-9.3768401107344843</c:v>
                </c:pt>
                <c:pt idx="590">
                  <c:v>-9.3865080231012694</c:v>
                </c:pt>
                <c:pt idx="591">
                  <c:v>-9.3961759429600402</c:v>
                </c:pt>
                <c:pt idx="592">
                  <c:v>-9.4058438703105729</c:v>
                </c:pt>
                <c:pt idx="593">
                  <c:v>-9.4155118051526419</c:v>
                </c:pt>
                <c:pt idx="594">
                  <c:v>-9.4251797474860233</c:v>
                </c:pt>
                <c:pt idx="595">
                  <c:v>-9.4348476973104916</c:v>
                </c:pt>
                <c:pt idx="596">
                  <c:v>-9.4445156546258229</c:v>
                </c:pt>
                <c:pt idx="597">
                  <c:v>-9.4541836194317916</c:v>
                </c:pt>
                <c:pt idx="598">
                  <c:v>-9.463851591728174</c:v>
                </c:pt>
                <c:pt idx="599">
                  <c:v>-9.4735195715147462</c:v>
                </c:pt>
                <c:pt idx="600">
                  <c:v>-9.4831875587912826</c:v>
                </c:pt>
                <c:pt idx="601">
                  <c:v>-9.4928555535575594</c:v>
                </c:pt>
                <c:pt idx="602">
                  <c:v>-9.5025235558133527</c:v>
                </c:pt>
                <c:pt idx="603">
                  <c:v>-9.512191565558437</c:v>
                </c:pt>
                <c:pt idx="604">
                  <c:v>-9.5218595827925885</c:v>
                </c:pt>
                <c:pt idx="605">
                  <c:v>-9.5315276075155815</c:v>
                </c:pt>
                <c:pt idx="606">
                  <c:v>-9.5411956397271922</c:v>
                </c:pt>
                <c:pt idx="607">
                  <c:v>-9.5508636794271968</c:v>
                </c:pt>
                <c:pt idx="608">
                  <c:v>-9.5605317266153698</c:v>
                </c:pt>
                <c:pt idx="609">
                  <c:v>-9.5701997812914872</c:v>
                </c:pt>
                <c:pt idx="610">
                  <c:v>-9.5798678434553235</c:v>
                </c:pt>
                <c:pt idx="611">
                  <c:v>-9.5895359131066549</c:v>
                </c:pt>
                <c:pt idx="612">
                  <c:v>-9.5992039902452575</c:v>
                </c:pt>
                <c:pt idx="613">
                  <c:v>-9.6088720748709058</c:v>
                </c:pt>
                <c:pt idx="614">
                  <c:v>-9.6185401669833759</c:v>
                </c:pt>
                <c:pt idx="615">
                  <c:v>-9.628208266582444</c:v>
                </c:pt>
                <c:pt idx="616">
                  <c:v>-9.6378763736678845</c:v>
                </c:pt>
                <c:pt idx="617">
                  <c:v>-9.6475444882394736</c:v>
                </c:pt>
                <c:pt idx="618">
                  <c:v>-9.6572126102969875</c:v>
                </c:pt>
                <c:pt idx="619">
                  <c:v>-9.6668807398402006</c:v>
                </c:pt>
                <c:pt idx="620">
                  <c:v>-9.676548876868889</c:v>
                </c:pt>
                <c:pt idx="621">
                  <c:v>-9.6862170213828271</c:v>
                </c:pt>
                <c:pt idx="622">
                  <c:v>-9.6958851733817912</c:v>
                </c:pt>
                <c:pt idx="623">
                  <c:v>-9.7055533328655574</c:v>
                </c:pt>
                <c:pt idx="624">
                  <c:v>-9.7152214998339002</c:v>
                </c:pt>
                <c:pt idx="625">
                  <c:v>-9.7248896742865956</c:v>
                </c:pt>
                <c:pt idx="626">
                  <c:v>-9.7345578562234198</c:v>
                </c:pt>
                <c:pt idx="627">
                  <c:v>-9.7442260456441492</c:v>
                </c:pt>
                <c:pt idx="628">
                  <c:v>-9.753894242548558</c:v>
                </c:pt>
                <c:pt idx="629">
                  <c:v>-9.7635624469364206</c:v>
                </c:pt>
                <c:pt idx="630">
                  <c:v>-9.7732306588075151</c:v>
                </c:pt>
                <c:pt idx="631">
                  <c:v>-9.7828988781616157</c:v>
                </c:pt>
                <c:pt idx="632">
                  <c:v>-9.792567104998497</c:v>
                </c:pt>
                <c:pt idx="633">
                  <c:v>-9.8022353393179369</c:v>
                </c:pt>
                <c:pt idx="634">
                  <c:v>-9.8119035811197097</c:v>
                </c:pt>
                <c:pt idx="635">
                  <c:v>-9.8215718304035899</c:v>
                </c:pt>
                <c:pt idx="636">
                  <c:v>-9.8312400871693555</c:v>
                </c:pt>
                <c:pt idx="637">
                  <c:v>-9.8409083514167808</c:v>
                </c:pt>
                <c:pt idx="638">
                  <c:v>-9.850576623145642</c:v>
                </c:pt>
                <c:pt idx="639">
                  <c:v>-9.8602449023557135</c:v>
                </c:pt>
                <c:pt idx="640">
                  <c:v>-9.8699131890467715</c:v>
                </c:pt>
                <c:pt idx="641">
                  <c:v>-9.8795814832185922</c:v>
                </c:pt>
                <c:pt idx="642">
                  <c:v>-9.88924978487095</c:v>
                </c:pt>
                <c:pt idx="643">
                  <c:v>-9.8989180940036228</c:v>
                </c:pt>
                <c:pt idx="644">
                  <c:v>-9.908586410616385</c:v>
                </c:pt>
                <c:pt idx="645">
                  <c:v>-9.9182547347090111</c:v>
                </c:pt>
                <c:pt idx="646">
                  <c:v>-9.9279230662812772</c:v>
                </c:pt>
                <c:pt idx="647">
                  <c:v>-9.9375914053329595</c:v>
                </c:pt>
                <c:pt idx="648">
                  <c:v>-9.9472597518638342</c:v>
                </c:pt>
                <c:pt idx="649">
                  <c:v>-9.9569281058736756</c:v>
                </c:pt>
                <c:pt idx="650">
                  <c:v>-9.96659646736226</c:v>
                </c:pt>
                <c:pt idx="651">
                  <c:v>-9.9762648363293636</c:v>
                </c:pt>
                <c:pt idx="652">
                  <c:v>-9.9859332127747624</c:v>
                </c:pt>
                <c:pt idx="653">
                  <c:v>-9.995601596698231</c:v>
                </c:pt>
                <c:pt idx="654">
                  <c:v>-10.005269988099545</c:v>
                </c:pt>
                <c:pt idx="655">
                  <c:v>-10.01493838697848</c:v>
                </c:pt>
                <c:pt idx="656">
                  <c:v>-10.024606793334813</c:v>
                </c:pt>
                <c:pt idx="657">
                  <c:v>-10.034275207168319</c:v>
                </c:pt>
                <c:pt idx="658">
                  <c:v>-10.043943628478774</c:v>
                </c:pt>
                <c:pt idx="659">
                  <c:v>-10.053612057265951</c:v>
                </c:pt>
                <c:pt idx="660">
                  <c:v>-10.063280493529629</c:v>
                </c:pt>
                <c:pt idx="661">
                  <c:v>-10.072948937269581</c:v>
                </c:pt>
                <c:pt idx="662">
                  <c:v>-10.082617388485586</c:v>
                </c:pt>
                <c:pt idx="663">
                  <c:v>-10.092285847177417</c:v>
                </c:pt>
                <c:pt idx="664">
                  <c:v>-10.101954313344851</c:v>
                </c:pt>
                <c:pt idx="665">
                  <c:v>-10.111622786987663</c:v>
                </c:pt>
                <c:pt idx="666">
                  <c:v>-10.12129126810563</c:v>
                </c:pt>
                <c:pt idx="667">
                  <c:v>-10.130959756698525</c:v>
                </c:pt>
                <c:pt idx="668">
                  <c:v>-10.140628252766128</c:v>
                </c:pt>
                <c:pt idx="669">
                  <c:v>-10.15029675630821</c:v>
                </c:pt>
                <c:pt idx="670">
                  <c:v>-10.15996526732455</c:v>
                </c:pt>
                <c:pt idx="671">
                  <c:v>-10.169633785814922</c:v>
                </c:pt>
                <c:pt idx="672">
                  <c:v>-10.179302311779102</c:v>
                </c:pt>
                <c:pt idx="673">
                  <c:v>-10.188970845216867</c:v>
                </c:pt>
                <c:pt idx="674">
                  <c:v>-10.198639386127992</c:v>
                </c:pt>
                <c:pt idx="675">
                  <c:v>-10.208307934512252</c:v>
                </c:pt>
                <c:pt idx="676">
                  <c:v>-10.217976490369423</c:v>
                </c:pt>
                <c:pt idx="677">
                  <c:v>-10.227645053699282</c:v>
                </c:pt>
                <c:pt idx="678">
                  <c:v>-10.237313624501605</c:v>
                </c:pt>
                <c:pt idx="679">
                  <c:v>-10.246982202776165</c:v>
                </c:pt>
                <c:pt idx="680">
                  <c:v>-10.256650788522739</c:v>
                </c:pt>
                <c:pt idx="681">
                  <c:v>-10.266319381741104</c:v>
                </c:pt>
                <c:pt idx="682">
                  <c:v>-10.275987982431035</c:v>
                </c:pt>
                <c:pt idx="683">
                  <c:v>-10.285656590592307</c:v>
                </c:pt>
                <c:pt idx="684">
                  <c:v>-10.295325206224698</c:v>
                </c:pt>
                <c:pt idx="685">
                  <c:v>-10.304993829327982</c:v>
                </c:pt>
                <c:pt idx="686">
                  <c:v>-10.314662459901934</c:v>
                </c:pt>
                <c:pt idx="687">
                  <c:v>-10.324331097946331</c:v>
                </c:pt>
                <c:pt idx="688">
                  <c:v>-10.333999743460948</c:v>
                </c:pt>
                <c:pt idx="689">
                  <c:v>-10.343668396445564</c:v>
                </c:pt>
                <c:pt idx="690">
                  <c:v>-10.353337056899951</c:v>
                </c:pt>
                <c:pt idx="691">
                  <c:v>-10.363005724823886</c:v>
                </c:pt>
                <c:pt idx="692">
                  <c:v>-10.372674400217145</c:v>
                </c:pt>
                <c:pt idx="693">
                  <c:v>-10.382343083079503</c:v>
                </c:pt>
                <c:pt idx="694">
                  <c:v>-10.392011773410736</c:v>
                </c:pt>
                <c:pt idx="695">
                  <c:v>-10.401680471210621</c:v>
                </c:pt>
                <c:pt idx="696">
                  <c:v>-10.411349176478934</c:v>
                </c:pt>
                <c:pt idx="697">
                  <c:v>-10.421017889215449</c:v>
                </c:pt>
                <c:pt idx="698">
                  <c:v>-10.430686609419944</c:v>
                </c:pt>
                <c:pt idx="699">
                  <c:v>-10.440355337092193</c:v>
                </c:pt>
                <c:pt idx="700">
                  <c:v>-10.450024072231972</c:v>
                </c:pt>
                <c:pt idx="701">
                  <c:v>-10.459692814839057</c:v>
                </c:pt>
                <c:pt idx="702">
                  <c:v>-10.469361564913225</c:v>
                </c:pt>
                <c:pt idx="703">
                  <c:v>-10.47903032245425</c:v>
                </c:pt>
                <c:pt idx="704">
                  <c:v>-10.488699087461908</c:v>
                </c:pt>
                <c:pt idx="705">
                  <c:v>-10.498367859935977</c:v>
                </c:pt>
                <c:pt idx="706">
                  <c:v>-10.508036639876231</c:v>
                </c:pt>
                <c:pt idx="707">
                  <c:v>-10.517705427282447</c:v>
                </c:pt>
                <c:pt idx="708">
                  <c:v>-10.5273742221544</c:v>
                </c:pt>
                <c:pt idx="709">
                  <c:v>-10.537043024491865</c:v>
                </c:pt>
                <c:pt idx="710">
                  <c:v>-10.546711834294619</c:v>
                </c:pt>
                <c:pt idx="711">
                  <c:v>-10.556380651562439</c:v>
                </c:pt>
                <c:pt idx="712">
                  <c:v>-10.566049476295099</c:v>
                </c:pt>
                <c:pt idx="713">
                  <c:v>-10.575718308492377</c:v>
                </c:pt>
                <c:pt idx="714">
                  <c:v>-10.585387148154046</c:v>
                </c:pt>
                <c:pt idx="715">
                  <c:v>-10.595055995279884</c:v>
                </c:pt>
                <c:pt idx="716">
                  <c:v>-10.604724849869665</c:v>
                </c:pt>
                <c:pt idx="717">
                  <c:v>-10.614393711923167</c:v>
                </c:pt>
                <c:pt idx="718">
                  <c:v>-10.624062581440166</c:v>
                </c:pt>
                <c:pt idx="719">
                  <c:v>-10.633731458420437</c:v>
                </c:pt>
                <c:pt idx="720">
                  <c:v>-10.643400342863755</c:v>
                </c:pt>
                <c:pt idx="721">
                  <c:v>-10.653069234769898</c:v>
                </c:pt>
                <c:pt idx="722">
                  <c:v>-10.662738134138641</c:v>
                </c:pt>
                <c:pt idx="723">
                  <c:v>-10.672407040969759</c:v>
                </c:pt>
                <c:pt idx="724">
                  <c:v>-10.682075955263029</c:v>
                </c:pt>
                <c:pt idx="725">
                  <c:v>-10.691744877018225</c:v>
                </c:pt>
                <c:pt idx="726">
                  <c:v>-10.701413806235125</c:v>
                </c:pt>
                <c:pt idx="727">
                  <c:v>-10.711082742913504</c:v>
                </c:pt>
                <c:pt idx="728">
                  <c:v>-10.72075168705314</c:v>
                </c:pt>
                <c:pt idx="729">
                  <c:v>-10.730420638653806</c:v>
                </c:pt>
                <c:pt idx="730">
                  <c:v>-10.740089597715279</c:v>
                </c:pt>
                <c:pt idx="731">
                  <c:v>-10.749758564237336</c:v>
                </c:pt>
                <c:pt idx="732">
                  <c:v>-10.759427538219752</c:v>
                </c:pt>
                <c:pt idx="733">
                  <c:v>-10.769096519662302</c:v>
                </c:pt>
                <c:pt idx="734">
                  <c:v>-10.778765508564764</c:v>
                </c:pt>
                <c:pt idx="735">
                  <c:v>-10.788434504926911</c:v>
                </c:pt>
                <c:pt idx="736">
                  <c:v>-10.798103508748524</c:v>
                </c:pt>
                <c:pt idx="737">
                  <c:v>-10.807772520029374</c:v>
                </c:pt>
                <c:pt idx="738">
                  <c:v>-10.81744153876924</c:v>
                </c:pt>
                <c:pt idx="739">
                  <c:v>-10.827110564967896</c:v>
                </c:pt>
                <c:pt idx="740">
                  <c:v>-10.836779598625119</c:v>
                </c:pt>
                <c:pt idx="741">
                  <c:v>-10.846448639740684</c:v>
                </c:pt>
                <c:pt idx="742">
                  <c:v>-10.856117688314368</c:v>
                </c:pt>
                <c:pt idx="743">
                  <c:v>-10.865786744345947</c:v>
                </c:pt>
                <c:pt idx="744">
                  <c:v>-10.875455807835197</c:v>
                </c:pt>
                <c:pt idx="745">
                  <c:v>-10.885124878781893</c:v>
                </c:pt>
                <c:pt idx="746">
                  <c:v>-10.894793957185811</c:v>
                </c:pt>
                <c:pt idx="747">
                  <c:v>-10.90446304304673</c:v>
                </c:pt>
                <c:pt idx="748">
                  <c:v>-10.914132136364424</c:v>
                </c:pt>
                <c:pt idx="749">
                  <c:v>-10.923801237138667</c:v>
                </c:pt>
                <c:pt idx="750">
                  <c:v>-10.933470345369237</c:v>
                </c:pt>
                <c:pt idx="751">
                  <c:v>-10.94313946105591</c:v>
                </c:pt>
                <c:pt idx="752">
                  <c:v>-10.952808584198463</c:v>
                </c:pt>
                <c:pt idx="753">
                  <c:v>-10.96247771479667</c:v>
                </c:pt>
                <c:pt idx="754">
                  <c:v>-10.972146852850308</c:v>
                </c:pt>
                <c:pt idx="755">
                  <c:v>-10.981815998359153</c:v>
                </c:pt>
                <c:pt idx="756">
                  <c:v>-10.991485151322982</c:v>
                </c:pt>
                <c:pt idx="757">
                  <c:v>-11.001154311741569</c:v>
                </c:pt>
                <c:pt idx="758">
                  <c:v>-11.010823479614691</c:v>
                </c:pt>
                <c:pt idx="759">
                  <c:v>-11.020492654942124</c:v>
                </c:pt>
                <c:pt idx="760">
                  <c:v>-11.030161837723645</c:v>
                </c:pt>
                <c:pt idx="761">
                  <c:v>-11.039831027959028</c:v>
                </c:pt>
                <c:pt idx="762">
                  <c:v>-11.049500225648051</c:v>
                </c:pt>
                <c:pt idx="763">
                  <c:v>-11.05916943079049</c:v>
                </c:pt>
                <c:pt idx="764">
                  <c:v>-11.068838643386121</c:v>
                </c:pt>
                <c:pt idx="765">
                  <c:v>-11.078507863434718</c:v>
                </c:pt>
                <c:pt idx="766">
                  <c:v>-11.088177090936059</c:v>
                </c:pt>
                <c:pt idx="767">
                  <c:v>-11.097846325889918</c:v>
                </c:pt>
                <c:pt idx="768">
                  <c:v>-11.107515568296074</c:v>
                </c:pt>
                <c:pt idx="769">
                  <c:v>-11.117184818154302</c:v>
                </c:pt>
                <c:pt idx="770">
                  <c:v>-11.126854075464378</c:v>
                </c:pt>
                <c:pt idx="771">
                  <c:v>-11.136523340226077</c:v>
                </c:pt>
                <c:pt idx="772">
                  <c:v>-11.146192612439178</c:v>
                </c:pt>
                <c:pt idx="773">
                  <c:v>-11.155861892103454</c:v>
                </c:pt>
                <c:pt idx="774">
                  <c:v>-11.165531179218682</c:v>
                </c:pt>
                <c:pt idx="775">
                  <c:v>-11.175200473784638</c:v>
                </c:pt>
                <c:pt idx="776">
                  <c:v>-11.184869775801101</c:v>
                </c:pt>
                <c:pt idx="777">
                  <c:v>-11.194539085267843</c:v>
                </c:pt>
                <c:pt idx="778">
                  <c:v>-11.204208402184642</c:v>
                </c:pt>
                <c:pt idx="779">
                  <c:v>-11.213877726551274</c:v>
                </c:pt>
                <c:pt idx="780">
                  <c:v>-11.223547058367515</c:v>
                </c:pt>
                <c:pt idx="781">
                  <c:v>-11.233216397633141</c:v>
                </c:pt>
                <c:pt idx="782">
                  <c:v>-11.242885744347928</c:v>
                </c:pt>
                <c:pt idx="783">
                  <c:v>-11.252555098511653</c:v>
                </c:pt>
                <c:pt idx="784">
                  <c:v>-11.262224460124092</c:v>
                </c:pt>
                <c:pt idx="785">
                  <c:v>-11.27189382918502</c:v>
                </c:pt>
                <c:pt idx="786">
                  <c:v>-11.281563205694214</c:v>
                </c:pt>
                <c:pt idx="787">
                  <c:v>-11.291232589651448</c:v>
                </c:pt>
                <c:pt idx="788">
                  <c:v>-11.300901981056501</c:v>
                </c:pt>
                <c:pt idx="789">
                  <c:v>-11.310571379909149</c:v>
                </c:pt>
                <c:pt idx="790">
                  <c:v>-11.320240786209167</c:v>
                </c:pt>
                <c:pt idx="791">
                  <c:v>-11.329910199956332</c:v>
                </c:pt>
                <c:pt idx="792">
                  <c:v>-11.339579621150421</c:v>
                </c:pt>
                <c:pt idx="793">
                  <c:v>-11.349249049791206</c:v>
                </c:pt>
                <c:pt idx="794">
                  <c:v>-11.358918485878467</c:v>
                </c:pt>
                <c:pt idx="795">
                  <c:v>-11.36858792941198</c:v>
                </c:pt>
                <c:pt idx="796">
                  <c:v>-11.378257380391521</c:v>
                </c:pt>
                <c:pt idx="797">
                  <c:v>-11.387926838816865</c:v>
                </c:pt>
                <c:pt idx="798">
                  <c:v>-11.397596304687788</c:v>
                </c:pt>
                <c:pt idx="799">
                  <c:v>-11.407265778004067</c:v>
                </c:pt>
                <c:pt idx="800">
                  <c:v>-11.416935258765479</c:v>
                </c:pt>
                <c:pt idx="801">
                  <c:v>-11.426604746971799</c:v>
                </c:pt>
                <c:pt idx="802">
                  <c:v>-11.436274242622805</c:v>
                </c:pt>
                <c:pt idx="803">
                  <c:v>-11.445943745718271</c:v>
                </c:pt>
                <c:pt idx="804">
                  <c:v>-11.455613256257974</c:v>
                </c:pt>
                <c:pt idx="805">
                  <c:v>-11.465282774241691</c:v>
                </c:pt>
                <c:pt idx="806">
                  <c:v>-11.474952299669198</c:v>
                </c:pt>
                <c:pt idx="807">
                  <c:v>-11.48462183254027</c:v>
                </c:pt>
                <c:pt idx="808">
                  <c:v>-11.494291372854684</c:v>
                </c:pt>
                <c:pt idx="809">
                  <c:v>-11.503960920612217</c:v>
                </c:pt>
                <c:pt idx="810">
                  <c:v>-11.513630475812644</c:v>
                </c:pt>
                <c:pt idx="811">
                  <c:v>-11.523300038455741</c:v>
                </c:pt>
                <c:pt idx="812">
                  <c:v>-11.532969608541285</c:v>
                </c:pt>
                <c:pt idx="813">
                  <c:v>-11.542639186069051</c:v>
                </c:pt>
                <c:pt idx="814">
                  <c:v>-11.552308771038817</c:v>
                </c:pt>
                <c:pt idx="815">
                  <c:v>-11.561978363450358</c:v>
                </c:pt>
                <c:pt idx="816">
                  <c:v>-11.571647963303452</c:v>
                </c:pt>
                <c:pt idx="817">
                  <c:v>-11.581317570597873</c:v>
                </c:pt>
                <c:pt idx="818">
                  <c:v>-11.590987185333399</c:v>
                </c:pt>
                <c:pt idx="819">
                  <c:v>-11.600656807509806</c:v>
                </c:pt>
                <c:pt idx="820">
                  <c:v>-11.610326437126869</c:v>
                </c:pt>
                <c:pt idx="821">
                  <c:v>-11.619996074184366</c:v>
                </c:pt>
                <c:pt idx="822">
                  <c:v>-11.629665718682071</c:v>
                </c:pt>
                <c:pt idx="823">
                  <c:v>-11.639335370619763</c:v>
                </c:pt>
                <c:pt idx="824">
                  <c:v>-11.649005029997218</c:v>
                </c:pt>
                <c:pt idx="825">
                  <c:v>-11.658674696814211</c:v>
                </c:pt>
                <c:pt idx="826">
                  <c:v>-11.668344371070518</c:v>
                </c:pt>
                <c:pt idx="827">
                  <c:v>-11.678014052765915</c:v>
                </c:pt>
                <c:pt idx="828">
                  <c:v>-11.68768374190018</c:v>
                </c:pt>
                <c:pt idx="829">
                  <c:v>-11.697353438473089</c:v>
                </c:pt>
                <c:pt idx="830">
                  <c:v>-11.707023142484417</c:v>
                </c:pt>
                <c:pt idx="831">
                  <c:v>-11.716692853933942</c:v>
                </c:pt>
                <c:pt idx="832">
                  <c:v>-11.72636257282144</c:v>
                </c:pt>
                <c:pt idx="833">
                  <c:v>-11.736032299146686</c:v>
                </c:pt>
                <c:pt idx="834">
                  <c:v>-11.745702032909456</c:v>
                </c:pt>
                <c:pt idx="835">
                  <c:v>-11.755371774109529</c:v>
                </c:pt>
                <c:pt idx="836">
                  <c:v>-11.76504152274668</c:v>
                </c:pt>
                <c:pt idx="837">
                  <c:v>-11.774711278820684</c:v>
                </c:pt>
                <c:pt idx="838">
                  <c:v>-11.784381042331319</c:v>
                </c:pt>
                <c:pt idx="839">
                  <c:v>-11.794050813278361</c:v>
                </c:pt>
                <c:pt idx="840">
                  <c:v>-11.803720591661586</c:v>
                </c:pt>
                <c:pt idx="841">
                  <c:v>-11.81339037748077</c:v>
                </c:pt>
                <c:pt idx="842">
                  <c:v>-11.82306017073569</c:v>
                </c:pt>
                <c:pt idx="843">
                  <c:v>-11.832729971426122</c:v>
                </c:pt>
                <c:pt idx="844">
                  <c:v>-11.842399779551842</c:v>
                </c:pt>
                <c:pt idx="845">
                  <c:v>-11.852069595112628</c:v>
                </c:pt>
                <c:pt idx="846">
                  <c:v>-11.861739418108254</c:v>
                </c:pt>
                <c:pt idx="847">
                  <c:v>-11.871409248538498</c:v>
                </c:pt>
                <c:pt idx="848">
                  <c:v>-11.881079086403137</c:v>
                </c:pt>
                <c:pt idx="849">
                  <c:v>-11.890748931701944</c:v>
                </c:pt>
                <c:pt idx="850">
                  <c:v>-11.900418784434699</c:v>
                </c:pt>
                <c:pt idx="851">
                  <c:v>-11.910088644601176</c:v>
                </c:pt>
                <c:pt idx="852">
                  <c:v>-11.919758512201154</c:v>
                </c:pt>
                <c:pt idx="853">
                  <c:v>-11.929428387234408</c:v>
                </c:pt>
                <c:pt idx="854">
                  <c:v>-11.939098269700713</c:v>
                </c:pt>
                <c:pt idx="855">
                  <c:v>-11.948768159599847</c:v>
                </c:pt>
                <c:pt idx="856">
                  <c:v>-11.958438056931586</c:v>
                </c:pt>
                <c:pt idx="857">
                  <c:v>-11.968107961695706</c:v>
                </c:pt>
                <c:pt idx="858">
                  <c:v>-11.977777873891984</c:v>
                </c:pt>
                <c:pt idx="859">
                  <c:v>-11.987447793520197</c:v>
                </c:pt>
                <c:pt idx="860">
                  <c:v>-11.997117720580119</c:v>
                </c:pt>
                <c:pt idx="861">
                  <c:v>-12.00678765507153</c:v>
                </c:pt>
                <c:pt idx="862">
                  <c:v>-12.016457596994204</c:v>
                </c:pt>
                <c:pt idx="863">
                  <c:v>-12.026127546347919</c:v>
                </c:pt>
                <c:pt idx="864">
                  <c:v>-12.035797503132448</c:v>
                </c:pt>
                <c:pt idx="865">
                  <c:v>-12.045467467347571</c:v>
                </c:pt>
                <c:pt idx="866">
                  <c:v>-12.055137438993063</c:v>
                </c:pt>
                <c:pt idx="867">
                  <c:v>-12.0648074180687</c:v>
                </c:pt>
                <c:pt idx="868">
                  <c:v>-12.07447740457426</c:v>
                </c:pt>
                <c:pt idx="869">
                  <c:v>-12.084147398509518</c:v>
                </c:pt>
                <c:pt idx="870">
                  <c:v>-12.093817399874252</c:v>
                </c:pt>
                <c:pt idx="871">
                  <c:v>-12.103487408668236</c:v>
                </c:pt>
                <c:pt idx="872">
                  <c:v>-12.113157424891249</c:v>
                </c:pt>
                <c:pt idx="873">
                  <c:v>-12.122827448543065</c:v>
                </c:pt>
                <c:pt idx="874">
                  <c:v>-12.132497479623463</c:v>
                </c:pt>
                <c:pt idx="875">
                  <c:v>-12.142167518132219</c:v>
                </c:pt>
                <c:pt idx="876">
                  <c:v>-12.151837564069108</c:v>
                </c:pt>
                <c:pt idx="877">
                  <c:v>-12.161507617433907</c:v>
                </c:pt>
                <c:pt idx="878">
                  <c:v>-12.171177678226393</c:v>
                </c:pt>
                <c:pt idx="879">
                  <c:v>-12.180847746446341</c:v>
                </c:pt>
                <c:pt idx="880">
                  <c:v>-12.190517822093531</c:v>
                </c:pt>
                <c:pt idx="881">
                  <c:v>-12.200187905167736</c:v>
                </c:pt>
                <c:pt idx="882">
                  <c:v>-12.209857995668735</c:v>
                </c:pt>
                <c:pt idx="883">
                  <c:v>-12.219528093596301</c:v>
                </c:pt>
                <c:pt idx="884">
                  <c:v>-12.229198198950213</c:v>
                </c:pt>
                <c:pt idx="885">
                  <c:v>-12.238868311730247</c:v>
                </c:pt>
                <c:pt idx="886">
                  <c:v>-12.248538431936181</c:v>
                </c:pt>
                <c:pt idx="887">
                  <c:v>-12.258208559567789</c:v>
                </c:pt>
                <c:pt idx="888">
                  <c:v>-12.26787869462485</c:v>
                </c:pt>
                <c:pt idx="889">
                  <c:v>-12.277548837107139</c:v>
                </c:pt>
                <c:pt idx="890">
                  <c:v>-12.287218987014432</c:v>
                </c:pt>
                <c:pt idx="891">
                  <c:v>-12.296889144346506</c:v>
                </c:pt>
                <c:pt idx="892">
                  <c:v>-12.30655930910314</c:v>
                </c:pt>
                <c:pt idx="893">
                  <c:v>-12.316229481284106</c:v>
                </c:pt>
                <c:pt idx="894">
                  <c:v>-12.325899660889183</c:v>
                </c:pt>
                <c:pt idx="895">
                  <c:v>-12.335569847918148</c:v>
                </c:pt>
                <c:pt idx="896">
                  <c:v>-12.345240042370776</c:v>
                </c:pt>
                <c:pt idx="897">
                  <c:v>-12.354910244246845</c:v>
                </c:pt>
                <c:pt idx="898">
                  <c:v>-12.364580453546132</c:v>
                </c:pt>
                <c:pt idx="899">
                  <c:v>-12.374250670268413</c:v>
                </c:pt>
                <c:pt idx="900">
                  <c:v>-12.383920894413464</c:v>
                </c:pt>
                <c:pt idx="901">
                  <c:v>-12.393591125981061</c:v>
                </c:pt>
                <c:pt idx="902">
                  <c:v>-12.403261364970982</c:v>
                </c:pt>
                <c:pt idx="903">
                  <c:v>-12.412931611383001</c:v>
                </c:pt>
                <c:pt idx="904">
                  <c:v>-12.422601865216897</c:v>
                </c:pt>
                <c:pt idx="905">
                  <c:v>-12.432272126472448</c:v>
                </c:pt>
                <c:pt idx="906">
                  <c:v>-12.441942395149427</c:v>
                </c:pt>
                <c:pt idx="907">
                  <c:v>-12.451612671247613</c:v>
                </c:pt>
                <c:pt idx="908">
                  <c:v>-12.461282954766782</c:v>
                </c:pt>
                <c:pt idx="909">
                  <c:v>-12.47095324570671</c:v>
                </c:pt>
                <c:pt idx="910">
                  <c:v>-12.480623544067173</c:v>
                </c:pt>
                <c:pt idx="911">
                  <c:v>-12.49029384984795</c:v>
                </c:pt>
                <c:pt idx="912">
                  <c:v>-12.499964163048814</c:v>
                </c:pt>
                <c:pt idx="913">
                  <c:v>-12.509634483669545</c:v>
                </c:pt>
                <c:pt idx="914">
                  <c:v>-12.519304811709919</c:v>
                </c:pt>
                <c:pt idx="915">
                  <c:v>-12.52897514716971</c:v>
                </c:pt>
                <c:pt idx="916">
                  <c:v>-12.538645490048697</c:v>
                </c:pt>
                <c:pt idx="917">
                  <c:v>-12.548315840346657</c:v>
                </c:pt>
                <c:pt idx="918">
                  <c:v>-12.557986198063366</c:v>
                </c:pt>
                <c:pt idx="919">
                  <c:v>-12.5676565631986</c:v>
                </c:pt>
                <c:pt idx="920">
                  <c:v>-12.577326935752136</c:v>
                </c:pt>
                <c:pt idx="921">
                  <c:v>-12.586997315723751</c:v>
                </c:pt>
                <c:pt idx="922">
                  <c:v>-12.596667703113221</c:v>
                </c:pt>
                <c:pt idx="923">
                  <c:v>-12.606338097920323</c:v>
                </c:pt>
                <c:pt idx="924">
                  <c:v>-12.616008500144835</c:v>
                </c:pt>
                <c:pt idx="925">
                  <c:v>-12.625678909786531</c:v>
                </c:pt>
                <c:pt idx="926">
                  <c:v>-12.635349326845189</c:v>
                </c:pt>
                <c:pt idx="927">
                  <c:v>-12.645019751320586</c:v>
                </c:pt>
                <c:pt idx="928">
                  <c:v>-12.654690183212498</c:v>
                </c:pt>
                <c:pt idx="929">
                  <c:v>-12.664360622520702</c:v>
                </c:pt>
                <c:pt idx="930">
                  <c:v>-12.674031069244974</c:v>
                </c:pt>
                <c:pt idx="931">
                  <c:v>-12.683701523385091</c:v>
                </c:pt>
                <c:pt idx="932">
                  <c:v>-12.69337198494083</c:v>
                </c:pt>
                <c:pt idx="933">
                  <c:v>-12.703042453911968</c:v>
                </c:pt>
                <c:pt idx="934">
                  <c:v>-12.712712930298281</c:v>
                </c:pt>
                <c:pt idx="935">
                  <c:v>-12.722383414099546</c:v>
                </c:pt>
                <c:pt idx="936">
                  <c:v>-12.73205390531554</c:v>
                </c:pt>
                <c:pt idx="937">
                  <c:v>-12.741724403946039</c:v>
                </c:pt>
                <c:pt idx="938">
                  <c:v>-12.75139490999082</c:v>
                </c:pt>
                <c:pt idx="939">
                  <c:v>-12.76106542344966</c:v>
                </c:pt>
                <c:pt idx="940">
                  <c:v>-12.770735944322334</c:v>
                </c:pt>
                <c:pt idx="941">
                  <c:v>-12.780406472608622</c:v>
                </c:pt>
                <c:pt idx="942">
                  <c:v>-12.790077008308298</c:v>
                </c:pt>
                <c:pt idx="943">
                  <c:v>-12.79974755142114</c:v>
                </c:pt>
                <c:pt idx="944">
                  <c:v>-12.809418101946925</c:v>
                </c:pt>
                <c:pt idx="945">
                  <c:v>-12.819088659885429</c:v>
                </c:pt>
                <c:pt idx="946">
                  <c:v>-12.828759225236428</c:v>
                </c:pt>
                <c:pt idx="947">
                  <c:v>-12.8384297979997</c:v>
                </c:pt>
                <c:pt idx="948">
                  <c:v>-12.848100378175021</c:v>
                </c:pt>
                <c:pt idx="949">
                  <c:v>-12.857770965762167</c:v>
                </c:pt>
                <c:pt idx="950">
                  <c:v>-12.867441560760916</c:v>
                </c:pt>
                <c:pt idx="951">
                  <c:v>-12.877112163171045</c:v>
                </c:pt>
                <c:pt idx="952">
                  <c:v>-12.88678277299233</c:v>
                </c:pt>
                <c:pt idx="953">
                  <c:v>-12.896453390224547</c:v>
                </c:pt>
                <c:pt idx="954">
                  <c:v>-12.906124014867475</c:v>
                </c:pt>
                <c:pt idx="955">
                  <c:v>-12.915794646920888</c:v>
                </c:pt>
                <c:pt idx="956">
                  <c:v>-12.925465286384565</c:v>
                </c:pt>
                <c:pt idx="957">
                  <c:v>-12.935135933258282</c:v>
                </c:pt>
                <c:pt idx="958">
                  <c:v>-12.944806587541816</c:v>
                </c:pt>
                <c:pt idx="959">
                  <c:v>-12.954477249234943</c:v>
                </c:pt>
                <c:pt idx="960">
                  <c:v>-12.96414791833744</c:v>
                </c:pt>
                <c:pt idx="961">
                  <c:v>-12.973818594849085</c:v>
                </c:pt>
                <c:pt idx="962">
                  <c:v>-12.983489278769653</c:v>
                </c:pt>
                <c:pt idx="963">
                  <c:v>-12.993159970098922</c:v>
                </c:pt>
                <c:pt idx="964">
                  <c:v>-13.002830668836669</c:v>
                </c:pt>
                <c:pt idx="965">
                  <c:v>-13.012501374982669</c:v>
                </c:pt>
                <c:pt idx="966">
                  <c:v>-13.022172088536701</c:v>
                </c:pt>
                <c:pt idx="967">
                  <c:v>-13.03184280949854</c:v>
                </c:pt>
                <c:pt idx="968">
                  <c:v>-13.041513537867964</c:v>
                </c:pt>
                <c:pt idx="969">
                  <c:v>-13.051184273644749</c:v>
                </c:pt>
                <c:pt idx="970">
                  <c:v>-13.060855016828672</c:v>
                </c:pt>
                <c:pt idx="971">
                  <c:v>-13.070525767419509</c:v>
                </c:pt>
                <c:pt idx="972">
                  <c:v>-13.080196525417039</c:v>
                </c:pt>
                <c:pt idx="973">
                  <c:v>-13.089867290821037</c:v>
                </c:pt>
                <c:pt idx="974">
                  <c:v>-13.099538063631281</c:v>
                </c:pt>
                <c:pt idx="975">
                  <c:v>-13.109208843847547</c:v>
                </c:pt>
                <c:pt idx="976">
                  <c:v>-13.118879631469612</c:v>
                </c:pt>
                <c:pt idx="977">
                  <c:v>-13.128550426497254</c:v>
                </c:pt>
                <c:pt idx="978">
                  <c:v>-13.138221228930249</c:v>
                </c:pt>
                <c:pt idx="979">
                  <c:v>-13.147892038768372</c:v>
                </c:pt>
                <c:pt idx="980">
                  <c:v>-13.157562856011403</c:v>
                </c:pt>
                <c:pt idx="981">
                  <c:v>-13.167233680659116</c:v>
                </c:pt>
                <c:pt idx="982">
                  <c:v>-13.176904512711289</c:v>
                </c:pt>
                <c:pt idx="983">
                  <c:v>-13.186575352167699</c:v>
                </c:pt>
                <c:pt idx="984">
                  <c:v>-13.196246199028122</c:v>
                </c:pt>
                <c:pt idx="985">
                  <c:v>-13.205917053292337</c:v>
                </c:pt>
                <c:pt idx="986">
                  <c:v>-13.215587914960119</c:v>
                </c:pt>
                <c:pt idx="987">
                  <c:v>-13.225258784031247</c:v>
                </c:pt>
                <c:pt idx="988">
                  <c:v>-13.234929660505495</c:v>
                </c:pt>
                <c:pt idx="989">
                  <c:v>-13.244600544382642</c:v>
                </c:pt>
                <c:pt idx="990">
                  <c:v>-13.254271435662464</c:v>
                </c:pt>
                <c:pt idx="991">
                  <c:v>-13.263942334344737</c:v>
                </c:pt>
                <c:pt idx="992">
                  <c:v>-13.27361324042924</c:v>
                </c:pt>
                <c:pt idx="993">
                  <c:v>-13.28328415391575</c:v>
                </c:pt>
                <c:pt idx="994">
                  <c:v>-13.292955074804041</c:v>
                </c:pt>
                <c:pt idx="995">
                  <c:v>-13.302626003093891</c:v>
                </c:pt>
                <c:pt idx="996">
                  <c:v>-13.312296938785078</c:v>
                </c:pt>
                <c:pt idx="997">
                  <c:v>-13.321967881877379</c:v>
                </c:pt>
                <c:pt idx="998">
                  <c:v>-13.331638832370571</c:v>
                </c:pt>
                <c:pt idx="999">
                  <c:v>-13.341309790264429</c:v>
                </c:pt>
                <c:pt idx="1000">
                  <c:v>-13.350980755558732</c:v>
                </c:pt>
              </c:numCache>
            </c:numRef>
          </c:yVal>
          <c:smooth val="1"/>
          <c:extLst>
            <c:ext xmlns:c16="http://schemas.microsoft.com/office/drawing/2014/chart" uri="{C3380CC4-5D6E-409C-BE32-E72D297353CC}">
              <c16:uniqueId val="{00000001-4C7F-469F-ADED-1B0B28F452E1}"/>
            </c:ext>
          </c:extLst>
        </c:ser>
        <c:ser>
          <c:idx val="1"/>
          <c:order val="2"/>
          <c:tx>
            <c:strRef>
              <c:f>Trajecto!$B$108</c:f>
              <c:strCache>
                <c:ptCount val="1"/>
                <c:pt idx="0">
                  <c:v>Descente balistique</c:v>
                </c:pt>
              </c:strCache>
            </c:strRef>
          </c:tx>
          <c:spPr>
            <a:ln w="12700">
              <a:solidFill>
                <a:srgbClr val="808080"/>
              </a:solidFill>
              <a:prstDash val="sysDash"/>
            </a:ln>
          </c:spPr>
          <c:marker>
            <c:symbol val="none"/>
          </c:marker>
          <c:xVal>
            <c:numRef>
              <c:f>Calculs!$B$4:$B$1004</c:f>
              <c:numCache>
                <c:formatCode>0.00</c:formatCode>
                <c:ptCount val="1001"/>
                <c:pt idx="0">
                  <c:v>3.2</c:v>
                </c:pt>
                <c:pt idx="1">
                  <c:v>3.21</c:v>
                </c:pt>
                <c:pt idx="2">
                  <c:v>3.2199999999999998</c:v>
                </c:pt>
                <c:pt idx="3">
                  <c:v>3.2299999999999995</c:v>
                </c:pt>
                <c:pt idx="4">
                  <c:v>3.2399999999999993</c:v>
                </c:pt>
                <c:pt idx="5">
                  <c:v>3.2499999999999991</c:v>
                </c:pt>
                <c:pt idx="6">
                  <c:v>3.2599999999999989</c:v>
                </c:pt>
                <c:pt idx="7">
                  <c:v>3.2699999999999987</c:v>
                </c:pt>
                <c:pt idx="8">
                  <c:v>3.2799999999999985</c:v>
                </c:pt>
                <c:pt idx="9">
                  <c:v>3.2899999999999983</c:v>
                </c:pt>
                <c:pt idx="10">
                  <c:v>3.299999999999998</c:v>
                </c:pt>
                <c:pt idx="11">
                  <c:v>3.3099999999999978</c:v>
                </c:pt>
                <c:pt idx="12">
                  <c:v>3.3199999999999976</c:v>
                </c:pt>
                <c:pt idx="13">
                  <c:v>3.3299999999999974</c:v>
                </c:pt>
                <c:pt idx="14">
                  <c:v>3.3399999999999972</c:v>
                </c:pt>
                <c:pt idx="15">
                  <c:v>3.349999999999997</c:v>
                </c:pt>
                <c:pt idx="16">
                  <c:v>3.3599999999999968</c:v>
                </c:pt>
                <c:pt idx="17">
                  <c:v>3.3699999999999966</c:v>
                </c:pt>
                <c:pt idx="18">
                  <c:v>3.3799999999999963</c:v>
                </c:pt>
                <c:pt idx="19">
                  <c:v>3.3899999999999961</c:v>
                </c:pt>
                <c:pt idx="20">
                  <c:v>3.3999999999999959</c:v>
                </c:pt>
                <c:pt idx="21">
                  <c:v>3.4099999999999957</c:v>
                </c:pt>
                <c:pt idx="22">
                  <c:v>3.4199999999999955</c:v>
                </c:pt>
                <c:pt idx="23">
                  <c:v>3.4299999999999953</c:v>
                </c:pt>
                <c:pt idx="24">
                  <c:v>3.4399999999999951</c:v>
                </c:pt>
                <c:pt idx="25">
                  <c:v>3.4499999999999948</c:v>
                </c:pt>
                <c:pt idx="26">
                  <c:v>3.4599999999999946</c:v>
                </c:pt>
                <c:pt idx="27">
                  <c:v>3.4699999999999944</c:v>
                </c:pt>
                <c:pt idx="28">
                  <c:v>3.4799999999999942</c:v>
                </c:pt>
                <c:pt idx="29">
                  <c:v>3.489999999999994</c:v>
                </c:pt>
                <c:pt idx="30">
                  <c:v>3.4999999999999938</c:v>
                </c:pt>
                <c:pt idx="31">
                  <c:v>3.5099999999999936</c:v>
                </c:pt>
                <c:pt idx="32">
                  <c:v>3.5199999999999934</c:v>
                </c:pt>
                <c:pt idx="33">
                  <c:v>3.5299999999999931</c:v>
                </c:pt>
                <c:pt idx="34">
                  <c:v>3.5399999999999929</c:v>
                </c:pt>
                <c:pt idx="35">
                  <c:v>3.5499999999999927</c:v>
                </c:pt>
                <c:pt idx="36">
                  <c:v>3.5599999999999925</c:v>
                </c:pt>
                <c:pt idx="37">
                  <c:v>3.5699999999999923</c:v>
                </c:pt>
                <c:pt idx="38">
                  <c:v>3.5799999999999921</c:v>
                </c:pt>
                <c:pt idx="39">
                  <c:v>3.5899999999999919</c:v>
                </c:pt>
                <c:pt idx="40">
                  <c:v>3.5999999999999917</c:v>
                </c:pt>
                <c:pt idx="41">
                  <c:v>3.6099999999999914</c:v>
                </c:pt>
                <c:pt idx="42">
                  <c:v>3.6199999999999912</c:v>
                </c:pt>
                <c:pt idx="43">
                  <c:v>3.629999999999991</c:v>
                </c:pt>
                <c:pt idx="44">
                  <c:v>3.6399999999999908</c:v>
                </c:pt>
                <c:pt idx="45">
                  <c:v>3.6499999999999906</c:v>
                </c:pt>
                <c:pt idx="46">
                  <c:v>3.6599999999999904</c:v>
                </c:pt>
                <c:pt idx="47">
                  <c:v>3.6699999999999902</c:v>
                </c:pt>
                <c:pt idx="48">
                  <c:v>3.6799999999999899</c:v>
                </c:pt>
                <c:pt idx="49">
                  <c:v>3.6899999999999897</c:v>
                </c:pt>
                <c:pt idx="50">
                  <c:v>3.6999999999999895</c:v>
                </c:pt>
                <c:pt idx="51">
                  <c:v>3.7099999999999893</c:v>
                </c:pt>
                <c:pt idx="52">
                  <c:v>3.7199999999999891</c:v>
                </c:pt>
                <c:pt idx="53">
                  <c:v>3.7299999999999889</c:v>
                </c:pt>
                <c:pt idx="54">
                  <c:v>3.7399999999999887</c:v>
                </c:pt>
                <c:pt idx="55">
                  <c:v>3.7499999999999885</c:v>
                </c:pt>
                <c:pt idx="56">
                  <c:v>3.7599999999999882</c:v>
                </c:pt>
                <c:pt idx="57">
                  <c:v>3.769999999999988</c:v>
                </c:pt>
                <c:pt idx="58">
                  <c:v>3.7799999999999878</c:v>
                </c:pt>
                <c:pt idx="59">
                  <c:v>3.7899999999999876</c:v>
                </c:pt>
                <c:pt idx="60">
                  <c:v>3.7999999999999874</c:v>
                </c:pt>
                <c:pt idx="61">
                  <c:v>3.8099999999999872</c:v>
                </c:pt>
                <c:pt idx="62">
                  <c:v>3.819999999999987</c:v>
                </c:pt>
                <c:pt idx="63">
                  <c:v>3.8299999999999867</c:v>
                </c:pt>
                <c:pt idx="64">
                  <c:v>3.8399999999999865</c:v>
                </c:pt>
                <c:pt idx="65">
                  <c:v>3.8499999999999863</c:v>
                </c:pt>
                <c:pt idx="66">
                  <c:v>3.8599999999999861</c:v>
                </c:pt>
                <c:pt idx="67">
                  <c:v>3.8699999999999859</c:v>
                </c:pt>
                <c:pt idx="68">
                  <c:v>3.8799999999999857</c:v>
                </c:pt>
                <c:pt idx="69">
                  <c:v>3.8899999999999855</c:v>
                </c:pt>
                <c:pt idx="70">
                  <c:v>3.8999999999999853</c:v>
                </c:pt>
                <c:pt idx="71">
                  <c:v>3.909999999999985</c:v>
                </c:pt>
                <c:pt idx="72">
                  <c:v>3.9199999999999848</c:v>
                </c:pt>
                <c:pt idx="73">
                  <c:v>3.9299999999999846</c:v>
                </c:pt>
                <c:pt idx="74">
                  <c:v>3.9399999999999844</c:v>
                </c:pt>
                <c:pt idx="75">
                  <c:v>3.9499999999999842</c:v>
                </c:pt>
                <c:pt idx="76">
                  <c:v>3.959999999999984</c:v>
                </c:pt>
                <c:pt idx="77">
                  <c:v>3.9699999999999838</c:v>
                </c:pt>
                <c:pt idx="78">
                  <c:v>3.9799999999999836</c:v>
                </c:pt>
                <c:pt idx="79">
                  <c:v>3.9899999999999833</c:v>
                </c:pt>
                <c:pt idx="80">
                  <c:v>3.9999999999999831</c:v>
                </c:pt>
                <c:pt idx="81">
                  <c:v>4.0099999999999829</c:v>
                </c:pt>
                <c:pt idx="82">
                  <c:v>4.0199999999999827</c:v>
                </c:pt>
                <c:pt idx="83">
                  <c:v>4.0299999999999825</c:v>
                </c:pt>
                <c:pt idx="84">
                  <c:v>4.0399999999999823</c:v>
                </c:pt>
                <c:pt idx="85">
                  <c:v>4.0499999999999821</c:v>
                </c:pt>
                <c:pt idx="86">
                  <c:v>4.0599999999999818</c:v>
                </c:pt>
                <c:pt idx="87">
                  <c:v>4.0699999999999816</c:v>
                </c:pt>
                <c:pt idx="88">
                  <c:v>4.0799999999999814</c:v>
                </c:pt>
                <c:pt idx="89">
                  <c:v>4.0899999999999812</c:v>
                </c:pt>
                <c:pt idx="90">
                  <c:v>4.099999999999981</c:v>
                </c:pt>
                <c:pt idx="91">
                  <c:v>4.1099999999999808</c:v>
                </c:pt>
                <c:pt idx="92">
                  <c:v>4.1199999999999806</c:v>
                </c:pt>
                <c:pt idx="93">
                  <c:v>4.1299999999999804</c:v>
                </c:pt>
                <c:pt idx="94">
                  <c:v>4.1399999999999801</c:v>
                </c:pt>
                <c:pt idx="95">
                  <c:v>4.1499999999999799</c:v>
                </c:pt>
                <c:pt idx="96">
                  <c:v>4.1599999999999797</c:v>
                </c:pt>
                <c:pt idx="97">
                  <c:v>4.1699999999999795</c:v>
                </c:pt>
                <c:pt idx="98">
                  <c:v>4.1799999999999793</c:v>
                </c:pt>
                <c:pt idx="99">
                  <c:v>4.1899999999999791</c:v>
                </c:pt>
                <c:pt idx="100">
                  <c:v>4.1999999999999789</c:v>
                </c:pt>
                <c:pt idx="101">
                  <c:v>4.2999999999999785</c:v>
                </c:pt>
                <c:pt idx="102">
                  <c:v>4.3999999999999782</c:v>
                </c:pt>
                <c:pt idx="103">
                  <c:v>4.4999999999999778</c:v>
                </c:pt>
                <c:pt idx="104">
                  <c:v>4.5999999999999774</c:v>
                </c:pt>
                <c:pt idx="105">
                  <c:v>4.6999999999999771</c:v>
                </c:pt>
                <c:pt idx="106">
                  <c:v>4.7999999999999767</c:v>
                </c:pt>
                <c:pt idx="107">
                  <c:v>4.8999999999999764</c:v>
                </c:pt>
                <c:pt idx="108">
                  <c:v>4.999999999999976</c:v>
                </c:pt>
                <c:pt idx="109">
                  <c:v>5.0999999999999757</c:v>
                </c:pt>
                <c:pt idx="110">
                  <c:v>5.1999999999999753</c:v>
                </c:pt>
                <c:pt idx="111">
                  <c:v>5.299999999999975</c:v>
                </c:pt>
                <c:pt idx="112">
                  <c:v>5.3999999999999746</c:v>
                </c:pt>
                <c:pt idx="113">
                  <c:v>5.4999999999999742</c:v>
                </c:pt>
                <c:pt idx="114">
                  <c:v>5.5999999999999739</c:v>
                </c:pt>
                <c:pt idx="115">
                  <c:v>5.6999999999999735</c:v>
                </c:pt>
                <c:pt idx="116">
                  <c:v>5.7999999999999732</c:v>
                </c:pt>
                <c:pt idx="117">
                  <c:v>5.8999999999999728</c:v>
                </c:pt>
                <c:pt idx="118">
                  <c:v>5.9999999999999725</c:v>
                </c:pt>
                <c:pt idx="119">
                  <c:v>6.0999999999999721</c:v>
                </c:pt>
                <c:pt idx="120">
                  <c:v>6.1999999999999718</c:v>
                </c:pt>
                <c:pt idx="121">
                  <c:v>6.2999999999999714</c:v>
                </c:pt>
                <c:pt idx="122">
                  <c:v>6.399999999999971</c:v>
                </c:pt>
                <c:pt idx="123">
                  <c:v>6.4999999999999707</c:v>
                </c:pt>
                <c:pt idx="124">
                  <c:v>6.5999999999999703</c:v>
                </c:pt>
                <c:pt idx="125">
                  <c:v>6.69999999999997</c:v>
                </c:pt>
                <c:pt idx="126">
                  <c:v>6.7999999999999696</c:v>
                </c:pt>
                <c:pt idx="127">
                  <c:v>6.8999999999999693</c:v>
                </c:pt>
                <c:pt idx="128">
                  <c:v>6.9999999999999689</c:v>
                </c:pt>
                <c:pt idx="129">
                  <c:v>7.0999999999999686</c:v>
                </c:pt>
                <c:pt idx="130">
                  <c:v>7.1999999999999682</c:v>
                </c:pt>
                <c:pt idx="131">
                  <c:v>7.2999999999999678</c:v>
                </c:pt>
                <c:pt idx="132">
                  <c:v>7.3999999999999675</c:v>
                </c:pt>
                <c:pt idx="133">
                  <c:v>7.4999999999999671</c:v>
                </c:pt>
                <c:pt idx="134">
                  <c:v>7.5999999999999668</c:v>
                </c:pt>
                <c:pt idx="135">
                  <c:v>7.6999999999999664</c:v>
                </c:pt>
                <c:pt idx="136">
                  <c:v>7.7999999999999661</c:v>
                </c:pt>
                <c:pt idx="137">
                  <c:v>7.8999999999999657</c:v>
                </c:pt>
                <c:pt idx="138">
                  <c:v>7.9999999999999654</c:v>
                </c:pt>
                <c:pt idx="139">
                  <c:v>8.0999999999999659</c:v>
                </c:pt>
                <c:pt idx="140">
                  <c:v>8.1999999999999655</c:v>
                </c:pt>
                <c:pt idx="141">
                  <c:v>8.2999999999999652</c:v>
                </c:pt>
                <c:pt idx="142">
                  <c:v>8.3999999999999648</c:v>
                </c:pt>
                <c:pt idx="143">
                  <c:v>8.4999999999999645</c:v>
                </c:pt>
                <c:pt idx="144">
                  <c:v>8.5999999999999641</c:v>
                </c:pt>
                <c:pt idx="145">
                  <c:v>8.6999999999999638</c:v>
                </c:pt>
                <c:pt idx="146">
                  <c:v>8.7999999999999634</c:v>
                </c:pt>
                <c:pt idx="147">
                  <c:v>8.8999999999999631</c:v>
                </c:pt>
                <c:pt idx="148">
                  <c:v>8.9999999999999627</c:v>
                </c:pt>
                <c:pt idx="149">
                  <c:v>9.0999999999999623</c:v>
                </c:pt>
                <c:pt idx="150">
                  <c:v>9.199999999999962</c:v>
                </c:pt>
                <c:pt idx="151">
                  <c:v>9.2999999999999616</c:v>
                </c:pt>
                <c:pt idx="152">
                  <c:v>9.3999999999999613</c:v>
                </c:pt>
                <c:pt idx="153">
                  <c:v>9.4999999999999609</c:v>
                </c:pt>
                <c:pt idx="154">
                  <c:v>9.5999999999999606</c:v>
                </c:pt>
                <c:pt idx="155">
                  <c:v>9.6999999999999602</c:v>
                </c:pt>
                <c:pt idx="156">
                  <c:v>9.7999999999999599</c:v>
                </c:pt>
                <c:pt idx="157">
                  <c:v>9.8999999999999595</c:v>
                </c:pt>
                <c:pt idx="158">
                  <c:v>9.9999999999999591</c:v>
                </c:pt>
                <c:pt idx="159">
                  <c:v>10.099999999999959</c:v>
                </c:pt>
                <c:pt idx="160">
                  <c:v>10.199999999999958</c:v>
                </c:pt>
                <c:pt idx="161">
                  <c:v>10.299999999999958</c:v>
                </c:pt>
                <c:pt idx="162">
                  <c:v>10.399999999999958</c:v>
                </c:pt>
                <c:pt idx="163">
                  <c:v>10.499999999999957</c:v>
                </c:pt>
                <c:pt idx="164">
                  <c:v>10.599999999999957</c:v>
                </c:pt>
                <c:pt idx="165">
                  <c:v>10.699999999999957</c:v>
                </c:pt>
                <c:pt idx="166">
                  <c:v>10.799999999999956</c:v>
                </c:pt>
                <c:pt idx="167">
                  <c:v>10.899999999999956</c:v>
                </c:pt>
                <c:pt idx="168">
                  <c:v>10.999999999999956</c:v>
                </c:pt>
                <c:pt idx="169">
                  <c:v>11.099999999999955</c:v>
                </c:pt>
                <c:pt idx="170">
                  <c:v>11.199999999999955</c:v>
                </c:pt>
                <c:pt idx="171">
                  <c:v>11.299999999999955</c:v>
                </c:pt>
                <c:pt idx="172">
                  <c:v>11.399999999999954</c:v>
                </c:pt>
                <c:pt idx="173">
                  <c:v>11.499999999999954</c:v>
                </c:pt>
                <c:pt idx="174">
                  <c:v>11.599999999999953</c:v>
                </c:pt>
                <c:pt idx="175">
                  <c:v>11.699999999999953</c:v>
                </c:pt>
                <c:pt idx="176">
                  <c:v>11.799999999999953</c:v>
                </c:pt>
                <c:pt idx="177">
                  <c:v>11.899999999999952</c:v>
                </c:pt>
                <c:pt idx="178">
                  <c:v>11.999999999999952</c:v>
                </c:pt>
                <c:pt idx="179">
                  <c:v>12.099999999999952</c:v>
                </c:pt>
                <c:pt idx="180">
                  <c:v>12.199999999999951</c:v>
                </c:pt>
                <c:pt idx="181">
                  <c:v>12.299999999999951</c:v>
                </c:pt>
                <c:pt idx="182">
                  <c:v>12.399999999999951</c:v>
                </c:pt>
                <c:pt idx="183">
                  <c:v>12.49999999999995</c:v>
                </c:pt>
                <c:pt idx="184">
                  <c:v>12.59999999999995</c:v>
                </c:pt>
                <c:pt idx="185">
                  <c:v>12.69999999999995</c:v>
                </c:pt>
                <c:pt idx="186">
                  <c:v>12.799999999999949</c:v>
                </c:pt>
                <c:pt idx="187">
                  <c:v>12.899999999999949</c:v>
                </c:pt>
                <c:pt idx="188">
                  <c:v>12.999999999999948</c:v>
                </c:pt>
                <c:pt idx="189">
                  <c:v>13.099999999999948</c:v>
                </c:pt>
                <c:pt idx="190">
                  <c:v>13.199999999999948</c:v>
                </c:pt>
                <c:pt idx="191">
                  <c:v>13.299999999999947</c:v>
                </c:pt>
                <c:pt idx="192">
                  <c:v>13.399999999999947</c:v>
                </c:pt>
                <c:pt idx="193">
                  <c:v>13.499999999999947</c:v>
                </c:pt>
                <c:pt idx="194">
                  <c:v>13.599999999999946</c:v>
                </c:pt>
                <c:pt idx="195">
                  <c:v>13.699999999999946</c:v>
                </c:pt>
                <c:pt idx="196">
                  <c:v>13.799999999999946</c:v>
                </c:pt>
                <c:pt idx="197">
                  <c:v>13.899999999999945</c:v>
                </c:pt>
                <c:pt idx="198">
                  <c:v>13.999999999999945</c:v>
                </c:pt>
                <c:pt idx="199">
                  <c:v>14.099999999999945</c:v>
                </c:pt>
                <c:pt idx="200">
                  <c:v>14.199999999999944</c:v>
                </c:pt>
                <c:pt idx="201">
                  <c:v>14.299999999999944</c:v>
                </c:pt>
                <c:pt idx="202">
                  <c:v>14.399999999999944</c:v>
                </c:pt>
                <c:pt idx="203">
                  <c:v>14.499999999999943</c:v>
                </c:pt>
                <c:pt idx="204">
                  <c:v>14.599999999999943</c:v>
                </c:pt>
                <c:pt idx="205">
                  <c:v>14.699999999999942</c:v>
                </c:pt>
                <c:pt idx="206">
                  <c:v>14.799999999999942</c:v>
                </c:pt>
                <c:pt idx="207">
                  <c:v>14.899999999999942</c:v>
                </c:pt>
                <c:pt idx="208">
                  <c:v>14.999999999999941</c:v>
                </c:pt>
                <c:pt idx="209">
                  <c:v>15.099999999999941</c:v>
                </c:pt>
                <c:pt idx="210">
                  <c:v>15.199999999999941</c:v>
                </c:pt>
                <c:pt idx="211">
                  <c:v>15.29999999999994</c:v>
                </c:pt>
                <c:pt idx="212">
                  <c:v>15.39999999999994</c:v>
                </c:pt>
                <c:pt idx="213">
                  <c:v>15.49999999999994</c:v>
                </c:pt>
                <c:pt idx="214">
                  <c:v>15.599999999999939</c:v>
                </c:pt>
                <c:pt idx="215">
                  <c:v>15.699999999999939</c:v>
                </c:pt>
                <c:pt idx="216">
                  <c:v>15.799999999999939</c:v>
                </c:pt>
                <c:pt idx="217">
                  <c:v>15.899999999999938</c:v>
                </c:pt>
                <c:pt idx="218">
                  <c:v>15.999999999999938</c:v>
                </c:pt>
                <c:pt idx="219">
                  <c:v>16.099999999999937</c:v>
                </c:pt>
                <c:pt idx="220">
                  <c:v>16.199999999999939</c:v>
                </c:pt>
                <c:pt idx="221">
                  <c:v>16.29999999999994</c:v>
                </c:pt>
                <c:pt idx="222">
                  <c:v>16.399999999999942</c:v>
                </c:pt>
                <c:pt idx="223">
                  <c:v>16.499999999999943</c:v>
                </c:pt>
                <c:pt idx="224">
                  <c:v>16.599999999999945</c:v>
                </c:pt>
                <c:pt idx="225">
                  <c:v>16.699999999999946</c:v>
                </c:pt>
                <c:pt idx="226">
                  <c:v>16.799999999999947</c:v>
                </c:pt>
                <c:pt idx="227">
                  <c:v>16.899999999999949</c:v>
                </c:pt>
                <c:pt idx="228">
                  <c:v>16.99999999999995</c:v>
                </c:pt>
                <c:pt idx="229">
                  <c:v>17.099999999999952</c:v>
                </c:pt>
                <c:pt idx="230">
                  <c:v>17.199999999999953</c:v>
                </c:pt>
                <c:pt idx="231">
                  <c:v>17.299999999999955</c:v>
                </c:pt>
                <c:pt idx="232">
                  <c:v>17.399999999999956</c:v>
                </c:pt>
                <c:pt idx="233">
                  <c:v>17.499999999999957</c:v>
                </c:pt>
                <c:pt idx="234">
                  <c:v>17.599999999999959</c:v>
                </c:pt>
                <c:pt idx="235">
                  <c:v>17.69999999999996</c:v>
                </c:pt>
                <c:pt idx="236">
                  <c:v>17.799999999999962</c:v>
                </c:pt>
                <c:pt idx="237">
                  <c:v>17.899999999999963</c:v>
                </c:pt>
                <c:pt idx="238">
                  <c:v>17.999999999999964</c:v>
                </c:pt>
                <c:pt idx="239">
                  <c:v>18.099999999999966</c:v>
                </c:pt>
                <c:pt idx="240">
                  <c:v>18.199999999999967</c:v>
                </c:pt>
                <c:pt idx="241">
                  <c:v>18.299999999999969</c:v>
                </c:pt>
                <c:pt idx="242">
                  <c:v>18.39999999999997</c:v>
                </c:pt>
                <c:pt idx="243">
                  <c:v>18.499999999999972</c:v>
                </c:pt>
                <c:pt idx="244">
                  <c:v>18.599999999999973</c:v>
                </c:pt>
                <c:pt idx="245">
                  <c:v>18.699999999999974</c:v>
                </c:pt>
                <c:pt idx="246">
                  <c:v>18.799999999999976</c:v>
                </c:pt>
                <c:pt idx="247">
                  <c:v>18.899999999999977</c:v>
                </c:pt>
                <c:pt idx="248">
                  <c:v>18.999999999999979</c:v>
                </c:pt>
                <c:pt idx="249">
                  <c:v>19.09999999999998</c:v>
                </c:pt>
                <c:pt idx="250">
                  <c:v>19.199999999999982</c:v>
                </c:pt>
                <c:pt idx="251">
                  <c:v>19.299999999999983</c:v>
                </c:pt>
                <c:pt idx="252">
                  <c:v>19.399999999999984</c:v>
                </c:pt>
                <c:pt idx="253">
                  <c:v>19.499999999999986</c:v>
                </c:pt>
                <c:pt idx="254">
                  <c:v>19.599999999999987</c:v>
                </c:pt>
                <c:pt idx="255">
                  <c:v>19.699999999999989</c:v>
                </c:pt>
                <c:pt idx="256">
                  <c:v>19.79999999999999</c:v>
                </c:pt>
                <c:pt idx="257">
                  <c:v>19.899999999999991</c:v>
                </c:pt>
                <c:pt idx="258">
                  <c:v>19.999999999999993</c:v>
                </c:pt>
                <c:pt idx="259">
                  <c:v>20.099999999999994</c:v>
                </c:pt>
                <c:pt idx="260">
                  <c:v>20.199999999999996</c:v>
                </c:pt>
                <c:pt idx="261">
                  <c:v>20.299999999999997</c:v>
                </c:pt>
                <c:pt idx="262">
                  <c:v>20.399999999999999</c:v>
                </c:pt>
                <c:pt idx="263">
                  <c:v>20.5</c:v>
                </c:pt>
                <c:pt idx="264">
                  <c:v>20.6</c:v>
                </c:pt>
                <c:pt idx="265">
                  <c:v>20.700000000000003</c:v>
                </c:pt>
                <c:pt idx="266">
                  <c:v>20.800000000000004</c:v>
                </c:pt>
                <c:pt idx="267">
                  <c:v>20.900000000000006</c:v>
                </c:pt>
                <c:pt idx="268">
                  <c:v>21.000000000000007</c:v>
                </c:pt>
                <c:pt idx="269">
                  <c:v>21.100000000000009</c:v>
                </c:pt>
                <c:pt idx="270">
                  <c:v>21.20000000000001</c:v>
                </c:pt>
                <c:pt idx="271">
                  <c:v>21.300000000000011</c:v>
                </c:pt>
                <c:pt idx="272">
                  <c:v>21.400000000000013</c:v>
                </c:pt>
                <c:pt idx="273">
                  <c:v>21.500000000000014</c:v>
                </c:pt>
                <c:pt idx="274">
                  <c:v>21.600000000000016</c:v>
                </c:pt>
                <c:pt idx="275">
                  <c:v>21.700000000000017</c:v>
                </c:pt>
                <c:pt idx="276">
                  <c:v>21.800000000000018</c:v>
                </c:pt>
                <c:pt idx="277">
                  <c:v>21.90000000000002</c:v>
                </c:pt>
                <c:pt idx="278">
                  <c:v>22.000000000000021</c:v>
                </c:pt>
                <c:pt idx="279">
                  <c:v>22.100000000000023</c:v>
                </c:pt>
                <c:pt idx="280">
                  <c:v>22.200000000000024</c:v>
                </c:pt>
                <c:pt idx="281">
                  <c:v>22.300000000000026</c:v>
                </c:pt>
                <c:pt idx="282">
                  <c:v>22.400000000000027</c:v>
                </c:pt>
                <c:pt idx="283">
                  <c:v>22.500000000000028</c:v>
                </c:pt>
                <c:pt idx="284">
                  <c:v>22.60000000000003</c:v>
                </c:pt>
                <c:pt idx="285">
                  <c:v>22.700000000000031</c:v>
                </c:pt>
                <c:pt idx="286">
                  <c:v>22.800000000000033</c:v>
                </c:pt>
                <c:pt idx="287">
                  <c:v>22.900000000000034</c:v>
                </c:pt>
                <c:pt idx="288">
                  <c:v>23.000000000000036</c:v>
                </c:pt>
                <c:pt idx="289">
                  <c:v>23.100000000000037</c:v>
                </c:pt>
                <c:pt idx="290">
                  <c:v>23.200000000000038</c:v>
                </c:pt>
                <c:pt idx="291">
                  <c:v>23.30000000000004</c:v>
                </c:pt>
                <c:pt idx="292">
                  <c:v>23.400000000000041</c:v>
                </c:pt>
                <c:pt idx="293">
                  <c:v>23.500000000000043</c:v>
                </c:pt>
                <c:pt idx="294">
                  <c:v>23.600000000000044</c:v>
                </c:pt>
                <c:pt idx="295">
                  <c:v>23.700000000000045</c:v>
                </c:pt>
                <c:pt idx="296">
                  <c:v>23.800000000000047</c:v>
                </c:pt>
                <c:pt idx="297">
                  <c:v>23.900000000000048</c:v>
                </c:pt>
                <c:pt idx="298">
                  <c:v>24.00000000000005</c:v>
                </c:pt>
                <c:pt idx="299">
                  <c:v>24.100000000000051</c:v>
                </c:pt>
                <c:pt idx="300">
                  <c:v>24.200000000000053</c:v>
                </c:pt>
                <c:pt idx="301">
                  <c:v>24.300000000000054</c:v>
                </c:pt>
                <c:pt idx="302">
                  <c:v>24.400000000000055</c:v>
                </c:pt>
                <c:pt idx="303">
                  <c:v>24.500000000000057</c:v>
                </c:pt>
                <c:pt idx="304">
                  <c:v>24.600000000000058</c:v>
                </c:pt>
                <c:pt idx="305">
                  <c:v>24.70000000000006</c:v>
                </c:pt>
                <c:pt idx="306">
                  <c:v>24.800000000000061</c:v>
                </c:pt>
                <c:pt idx="307">
                  <c:v>24.900000000000063</c:v>
                </c:pt>
                <c:pt idx="308">
                  <c:v>25.000000000000064</c:v>
                </c:pt>
                <c:pt idx="309">
                  <c:v>25.100000000000065</c:v>
                </c:pt>
                <c:pt idx="310">
                  <c:v>25.200000000000067</c:v>
                </c:pt>
                <c:pt idx="311">
                  <c:v>25.300000000000068</c:v>
                </c:pt>
                <c:pt idx="312">
                  <c:v>25.40000000000007</c:v>
                </c:pt>
                <c:pt idx="313">
                  <c:v>25.500000000000071</c:v>
                </c:pt>
                <c:pt idx="314">
                  <c:v>25.600000000000072</c:v>
                </c:pt>
                <c:pt idx="315">
                  <c:v>25.700000000000074</c:v>
                </c:pt>
                <c:pt idx="316">
                  <c:v>25.800000000000075</c:v>
                </c:pt>
                <c:pt idx="317">
                  <c:v>25.900000000000077</c:v>
                </c:pt>
                <c:pt idx="318">
                  <c:v>26.000000000000078</c:v>
                </c:pt>
                <c:pt idx="319">
                  <c:v>26.10000000000008</c:v>
                </c:pt>
                <c:pt idx="320">
                  <c:v>26.200000000000081</c:v>
                </c:pt>
                <c:pt idx="321">
                  <c:v>26.300000000000082</c:v>
                </c:pt>
                <c:pt idx="322">
                  <c:v>26.400000000000084</c:v>
                </c:pt>
                <c:pt idx="323">
                  <c:v>26.500000000000085</c:v>
                </c:pt>
                <c:pt idx="324">
                  <c:v>26.600000000000087</c:v>
                </c:pt>
                <c:pt idx="325">
                  <c:v>26.700000000000088</c:v>
                </c:pt>
                <c:pt idx="326">
                  <c:v>26.80000000000009</c:v>
                </c:pt>
                <c:pt idx="327">
                  <c:v>26.900000000000091</c:v>
                </c:pt>
                <c:pt idx="328">
                  <c:v>27.000000000000092</c:v>
                </c:pt>
                <c:pt idx="329">
                  <c:v>27.100000000000094</c:v>
                </c:pt>
                <c:pt idx="330">
                  <c:v>27.200000000000095</c:v>
                </c:pt>
                <c:pt idx="331">
                  <c:v>27.300000000000097</c:v>
                </c:pt>
                <c:pt idx="332">
                  <c:v>27.400000000000098</c:v>
                </c:pt>
                <c:pt idx="333">
                  <c:v>27.500000000000099</c:v>
                </c:pt>
                <c:pt idx="334">
                  <c:v>27.600000000000101</c:v>
                </c:pt>
                <c:pt idx="335">
                  <c:v>27.700000000000102</c:v>
                </c:pt>
                <c:pt idx="336">
                  <c:v>27.800000000000104</c:v>
                </c:pt>
                <c:pt idx="337">
                  <c:v>27.900000000000105</c:v>
                </c:pt>
                <c:pt idx="338">
                  <c:v>28.000000000000107</c:v>
                </c:pt>
                <c:pt idx="339">
                  <c:v>28.100000000000108</c:v>
                </c:pt>
                <c:pt idx="340">
                  <c:v>28.200000000000109</c:v>
                </c:pt>
                <c:pt idx="341">
                  <c:v>28.300000000000111</c:v>
                </c:pt>
                <c:pt idx="342">
                  <c:v>28.400000000000112</c:v>
                </c:pt>
                <c:pt idx="343">
                  <c:v>28.500000000000114</c:v>
                </c:pt>
                <c:pt idx="344">
                  <c:v>28.600000000000115</c:v>
                </c:pt>
                <c:pt idx="345">
                  <c:v>28.700000000000117</c:v>
                </c:pt>
                <c:pt idx="346">
                  <c:v>28.800000000000118</c:v>
                </c:pt>
                <c:pt idx="347">
                  <c:v>28.900000000000119</c:v>
                </c:pt>
                <c:pt idx="348">
                  <c:v>29.000000000000121</c:v>
                </c:pt>
                <c:pt idx="349">
                  <c:v>29.100000000000122</c:v>
                </c:pt>
                <c:pt idx="350">
                  <c:v>29.200000000000124</c:v>
                </c:pt>
                <c:pt idx="351">
                  <c:v>29.300000000000125</c:v>
                </c:pt>
                <c:pt idx="352">
                  <c:v>29.400000000000126</c:v>
                </c:pt>
                <c:pt idx="353">
                  <c:v>29.500000000000128</c:v>
                </c:pt>
                <c:pt idx="354">
                  <c:v>29.600000000000129</c:v>
                </c:pt>
                <c:pt idx="355">
                  <c:v>29.700000000000131</c:v>
                </c:pt>
                <c:pt idx="356">
                  <c:v>29.800000000000132</c:v>
                </c:pt>
                <c:pt idx="357">
                  <c:v>29.900000000000134</c:v>
                </c:pt>
                <c:pt idx="358">
                  <c:v>30.000000000000135</c:v>
                </c:pt>
                <c:pt idx="359">
                  <c:v>30.100000000000136</c:v>
                </c:pt>
                <c:pt idx="360">
                  <c:v>30.200000000000138</c:v>
                </c:pt>
                <c:pt idx="361">
                  <c:v>30.300000000000139</c:v>
                </c:pt>
                <c:pt idx="362">
                  <c:v>30.400000000000141</c:v>
                </c:pt>
                <c:pt idx="363">
                  <c:v>30.500000000000142</c:v>
                </c:pt>
                <c:pt idx="364">
                  <c:v>30.600000000000144</c:v>
                </c:pt>
                <c:pt idx="365">
                  <c:v>30.700000000000145</c:v>
                </c:pt>
                <c:pt idx="366">
                  <c:v>30.800000000000146</c:v>
                </c:pt>
                <c:pt idx="367">
                  <c:v>30.900000000000148</c:v>
                </c:pt>
                <c:pt idx="368">
                  <c:v>31.000000000000149</c:v>
                </c:pt>
                <c:pt idx="369">
                  <c:v>31.100000000000151</c:v>
                </c:pt>
                <c:pt idx="370">
                  <c:v>31.200000000000152</c:v>
                </c:pt>
                <c:pt idx="371">
                  <c:v>31.300000000000153</c:v>
                </c:pt>
                <c:pt idx="372">
                  <c:v>31.400000000000155</c:v>
                </c:pt>
                <c:pt idx="373">
                  <c:v>31.500000000000156</c:v>
                </c:pt>
                <c:pt idx="374">
                  <c:v>31.600000000000158</c:v>
                </c:pt>
                <c:pt idx="375">
                  <c:v>31.700000000000159</c:v>
                </c:pt>
                <c:pt idx="376">
                  <c:v>31.800000000000161</c:v>
                </c:pt>
                <c:pt idx="377">
                  <c:v>31.900000000000162</c:v>
                </c:pt>
                <c:pt idx="378">
                  <c:v>32.000000000000163</c:v>
                </c:pt>
                <c:pt idx="379">
                  <c:v>32.100000000000165</c:v>
                </c:pt>
                <c:pt idx="380">
                  <c:v>32.200000000000166</c:v>
                </c:pt>
                <c:pt idx="381">
                  <c:v>32.300000000000168</c:v>
                </c:pt>
                <c:pt idx="382">
                  <c:v>32.400000000000169</c:v>
                </c:pt>
                <c:pt idx="383">
                  <c:v>32.500000000000171</c:v>
                </c:pt>
                <c:pt idx="384">
                  <c:v>32.500100000000174</c:v>
                </c:pt>
                <c:pt idx="385">
                  <c:v>32.500200000000177</c:v>
                </c:pt>
                <c:pt idx="386">
                  <c:v>32.50030000000018</c:v>
                </c:pt>
                <c:pt idx="387">
                  <c:v>32.500400000000184</c:v>
                </c:pt>
                <c:pt idx="388">
                  <c:v>32.500500000000187</c:v>
                </c:pt>
                <c:pt idx="389">
                  <c:v>32.50060000000019</c:v>
                </c:pt>
                <c:pt idx="390">
                  <c:v>32.500700000000194</c:v>
                </c:pt>
                <c:pt idx="391">
                  <c:v>32.500800000000197</c:v>
                </c:pt>
                <c:pt idx="392">
                  <c:v>32.5009000000002</c:v>
                </c:pt>
                <c:pt idx="393">
                  <c:v>32.501000000000204</c:v>
                </c:pt>
                <c:pt idx="394">
                  <c:v>32.501100000000207</c:v>
                </c:pt>
                <c:pt idx="395">
                  <c:v>32.50120000000021</c:v>
                </c:pt>
                <c:pt idx="396">
                  <c:v>32.501300000000214</c:v>
                </c:pt>
                <c:pt idx="397">
                  <c:v>32.501400000000217</c:v>
                </c:pt>
                <c:pt idx="398">
                  <c:v>32.50150000000022</c:v>
                </c:pt>
                <c:pt idx="399">
                  <c:v>32.501600000000224</c:v>
                </c:pt>
                <c:pt idx="400">
                  <c:v>32.501700000000227</c:v>
                </c:pt>
                <c:pt idx="401">
                  <c:v>32.50180000000023</c:v>
                </c:pt>
                <c:pt idx="402">
                  <c:v>32.501900000000234</c:v>
                </c:pt>
                <c:pt idx="403">
                  <c:v>32.502000000000237</c:v>
                </c:pt>
                <c:pt idx="404">
                  <c:v>32.50210000000024</c:v>
                </c:pt>
                <c:pt idx="405">
                  <c:v>32.502200000000244</c:v>
                </c:pt>
                <c:pt idx="406">
                  <c:v>32.502300000000247</c:v>
                </c:pt>
                <c:pt idx="407">
                  <c:v>32.50240000000025</c:v>
                </c:pt>
                <c:pt idx="408">
                  <c:v>32.502500000000254</c:v>
                </c:pt>
                <c:pt idx="409">
                  <c:v>32.502600000000257</c:v>
                </c:pt>
                <c:pt idx="410">
                  <c:v>32.50270000000026</c:v>
                </c:pt>
                <c:pt idx="411">
                  <c:v>32.502800000000263</c:v>
                </c:pt>
                <c:pt idx="412">
                  <c:v>32.502900000000267</c:v>
                </c:pt>
                <c:pt idx="413">
                  <c:v>32.50300000000027</c:v>
                </c:pt>
                <c:pt idx="414">
                  <c:v>32.503100000000273</c:v>
                </c:pt>
                <c:pt idx="415">
                  <c:v>32.503200000000277</c:v>
                </c:pt>
                <c:pt idx="416">
                  <c:v>32.50330000000028</c:v>
                </c:pt>
                <c:pt idx="417">
                  <c:v>32.503400000000283</c:v>
                </c:pt>
                <c:pt idx="418">
                  <c:v>32.503500000000287</c:v>
                </c:pt>
                <c:pt idx="419">
                  <c:v>32.50360000000029</c:v>
                </c:pt>
                <c:pt idx="420">
                  <c:v>32.503700000000293</c:v>
                </c:pt>
                <c:pt idx="421">
                  <c:v>32.503800000000297</c:v>
                </c:pt>
                <c:pt idx="422">
                  <c:v>32.5039000000003</c:v>
                </c:pt>
                <c:pt idx="423">
                  <c:v>32.504000000000303</c:v>
                </c:pt>
                <c:pt idx="424">
                  <c:v>32.504100000000307</c:v>
                </c:pt>
                <c:pt idx="425">
                  <c:v>32.50420000000031</c:v>
                </c:pt>
                <c:pt idx="426">
                  <c:v>32.504300000000313</c:v>
                </c:pt>
                <c:pt idx="427">
                  <c:v>32.504400000000317</c:v>
                </c:pt>
                <c:pt idx="428">
                  <c:v>32.50450000000032</c:v>
                </c:pt>
                <c:pt idx="429">
                  <c:v>32.504600000000323</c:v>
                </c:pt>
                <c:pt idx="430">
                  <c:v>32.504700000000327</c:v>
                </c:pt>
                <c:pt idx="431">
                  <c:v>32.50480000000033</c:v>
                </c:pt>
                <c:pt idx="432">
                  <c:v>32.504900000000333</c:v>
                </c:pt>
                <c:pt idx="433">
                  <c:v>32.505000000000337</c:v>
                </c:pt>
                <c:pt idx="434">
                  <c:v>32.50510000000034</c:v>
                </c:pt>
                <c:pt idx="435">
                  <c:v>32.505200000000343</c:v>
                </c:pt>
                <c:pt idx="436">
                  <c:v>32.505300000000346</c:v>
                </c:pt>
                <c:pt idx="437">
                  <c:v>32.50540000000035</c:v>
                </c:pt>
                <c:pt idx="438">
                  <c:v>32.505500000000353</c:v>
                </c:pt>
                <c:pt idx="439">
                  <c:v>32.505600000000356</c:v>
                </c:pt>
                <c:pt idx="440">
                  <c:v>32.50570000000036</c:v>
                </c:pt>
                <c:pt idx="441">
                  <c:v>32.505800000000363</c:v>
                </c:pt>
                <c:pt idx="442">
                  <c:v>32.505900000000366</c:v>
                </c:pt>
                <c:pt idx="443">
                  <c:v>32.50600000000037</c:v>
                </c:pt>
                <c:pt idx="444">
                  <c:v>32.506100000000373</c:v>
                </c:pt>
                <c:pt idx="445">
                  <c:v>32.506200000000376</c:v>
                </c:pt>
                <c:pt idx="446">
                  <c:v>32.50630000000038</c:v>
                </c:pt>
                <c:pt idx="447">
                  <c:v>32.506400000000383</c:v>
                </c:pt>
                <c:pt idx="448">
                  <c:v>32.506500000000386</c:v>
                </c:pt>
                <c:pt idx="449">
                  <c:v>32.50660000000039</c:v>
                </c:pt>
                <c:pt idx="450">
                  <c:v>32.506700000000393</c:v>
                </c:pt>
                <c:pt idx="451">
                  <c:v>32.506800000000396</c:v>
                </c:pt>
                <c:pt idx="452">
                  <c:v>32.5069000000004</c:v>
                </c:pt>
                <c:pt idx="453">
                  <c:v>32.507000000000403</c:v>
                </c:pt>
                <c:pt idx="454">
                  <c:v>32.507100000000406</c:v>
                </c:pt>
                <c:pt idx="455">
                  <c:v>32.50720000000041</c:v>
                </c:pt>
                <c:pt idx="456">
                  <c:v>32.507300000000413</c:v>
                </c:pt>
                <c:pt idx="457">
                  <c:v>32.507400000000416</c:v>
                </c:pt>
                <c:pt idx="458">
                  <c:v>32.50750000000042</c:v>
                </c:pt>
                <c:pt idx="459">
                  <c:v>32.507600000000423</c:v>
                </c:pt>
                <c:pt idx="460">
                  <c:v>32.507700000000426</c:v>
                </c:pt>
                <c:pt idx="461">
                  <c:v>32.507800000000429</c:v>
                </c:pt>
                <c:pt idx="462">
                  <c:v>32.507900000000433</c:v>
                </c:pt>
                <c:pt idx="463">
                  <c:v>32.508000000000436</c:v>
                </c:pt>
                <c:pt idx="464">
                  <c:v>32.508100000000439</c:v>
                </c:pt>
                <c:pt idx="465">
                  <c:v>32.508200000000443</c:v>
                </c:pt>
                <c:pt idx="466">
                  <c:v>32.508300000000446</c:v>
                </c:pt>
                <c:pt idx="467">
                  <c:v>32.508400000000449</c:v>
                </c:pt>
                <c:pt idx="468">
                  <c:v>32.508500000000453</c:v>
                </c:pt>
                <c:pt idx="469">
                  <c:v>32.508600000000456</c:v>
                </c:pt>
                <c:pt idx="470">
                  <c:v>32.508700000000459</c:v>
                </c:pt>
                <c:pt idx="471">
                  <c:v>32.508800000000463</c:v>
                </c:pt>
                <c:pt idx="472">
                  <c:v>32.508900000000466</c:v>
                </c:pt>
                <c:pt idx="473">
                  <c:v>32.509000000000469</c:v>
                </c:pt>
                <c:pt idx="474">
                  <c:v>32.509100000000473</c:v>
                </c:pt>
                <c:pt idx="475">
                  <c:v>32.509200000000476</c:v>
                </c:pt>
                <c:pt idx="476">
                  <c:v>32.509300000000479</c:v>
                </c:pt>
                <c:pt idx="477">
                  <c:v>32.509400000000483</c:v>
                </c:pt>
                <c:pt idx="478">
                  <c:v>32.509500000000486</c:v>
                </c:pt>
                <c:pt idx="479">
                  <c:v>32.509600000000489</c:v>
                </c:pt>
                <c:pt idx="480">
                  <c:v>32.509700000000493</c:v>
                </c:pt>
                <c:pt idx="481">
                  <c:v>32.509800000000496</c:v>
                </c:pt>
                <c:pt idx="482">
                  <c:v>32.509900000000499</c:v>
                </c:pt>
                <c:pt idx="483">
                  <c:v>32.510000000000502</c:v>
                </c:pt>
                <c:pt idx="484">
                  <c:v>32.510100000000506</c:v>
                </c:pt>
                <c:pt idx="485">
                  <c:v>32.510200000000509</c:v>
                </c:pt>
                <c:pt idx="486">
                  <c:v>32.510300000000512</c:v>
                </c:pt>
                <c:pt idx="487">
                  <c:v>32.510400000000516</c:v>
                </c:pt>
                <c:pt idx="488">
                  <c:v>32.510500000000519</c:v>
                </c:pt>
                <c:pt idx="489">
                  <c:v>32.510600000000522</c:v>
                </c:pt>
                <c:pt idx="490">
                  <c:v>32.510700000000526</c:v>
                </c:pt>
                <c:pt idx="491">
                  <c:v>32.510800000000529</c:v>
                </c:pt>
                <c:pt idx="492">
                  <c:v>32.510900000000532</c:v>
                </c:pt>
                <c:pt idx="493">
                  <c:v>32.511000000000536</c:v>
                </c:pt>
                <c:pt idx="494">
                  <c:v>32.511100000000539</c:v>
                </c:pt>
                <c:pt idx="495">
                  <c:v>32.511200000000542</c:v>
                </c:pt>
                <c:pt idx="496">
                  <c:v>32.511300000000546</c:v>
                </c:pt>
                <c:pt idx="497">
                  <c:v>32.511400000000549</c:v>
                </c:pt>
                <c:pt idx="498">
                  <c:v>32.511500000000552</c:v>
                </c:pt>
                <c:pt idx="499">
                  <c:v>32.511600000000556</c:v>
                </c:pt>
                <c:pt idx="500">
                  <c:v>32.511700000000559</c:v>
                </c:pt>
                <c:pt idx="501">
                  <c:v>32.511800000000562</c:v>
                </c:pt>
                <c:pt idx="502">
                  <c:v>32.511900000000566</c:v>
                </c:pt>
                <c:pt idx="503">
                  <c:v>32.512000000000569</c:v>
                </c:pt>
                <c:pt idx="504">
                  <c:v>32.512100000000572</c:v>
                </c:pt>
                <c:pt idx="505">
                  <c:v>32.512200000000576</c:v>
                </c:pt>
                <c:pt idx="506">
                  <c:v>32.512300000000579</c:v>
                </c:pt>
                <c:pt idx="507">
                  <c:v>32.512400000000582</c:v>
                </c:pt>
                <c:pt idx="508">
                  <c:v>32.512500000000585</c:v>
                </c:pt>
                <c:pt idx="509">
                  <c:v>32.512600000000589</c:v>
                </c:pt>
                <c:pt idx="510">
                  <c:v>32.512700000000592</c:v>
                </c:pt>
                <c:pt idx="511">
                  <c:v>32.512800000000595</c:v>
                </c:pt>
                <c:pt idx="512">
                  <c:v>32.512900000000599</c:v>
                </c:pt>
                <c:pt idx="513">
                  <c:v>32.513000000000602</c:v>
                </c:pt>
                <c:pt idx="514">
                  <c:v>32.513100000000605</c:v>
                </c:pt>
                <c:pt idx="515">
                  <c:v>32.513200000000609</c:v>
                </c:pt>
                <c:pt idx="516">
                  <c:v>32.513300000000612</c:v>
                </c:pt>
                <c:pt idx="517">
                  <c:v>32.513400000000615</c:v>
                </c:pt>
                <c:pt idx="518">
                  <c:v>32.513500000000619</c:v>
                </c:pt>
                <c:pt idx="519">
                  <c:v>32.513600000000622</c:v>
                </c:pt>
                <c:pt idx="520">
                  <c:v>32.513700000000625</c:v>
                </c:pt>
                <c:pt idx="521">
                  <c:v>32.513800000000629</c:v>
                </c:pt>
                <c:pt idx="522">
                  <c:v>32.513900000000632</c:v>
                </c:pt>
                <c:pt idx="523">
                  <c:v>32.514000000000635</c:v>
                </c:pt>
                <c:pt idx="524">
                  <c:v>32.514100000000639</c:v>
                </c:pt>
                <c:pt idx="525">
                  <c:v>32.514200000000642</c:v>
                </c:pt>
                <c:pt idx="526">
                  <c:v>32.514300000000645</c:v>
                </c:pt>
                <c:pt idx="527">
                  <c:v>32.514400000000649</c:v>
                </c:pt>
                <c:pt idx="528">
                  <c:v>32.514500000000652</c:v>
                </c:pt>
                <c:pt idx="529">
                  <c:v>32.514600000000655</c:v>
                </c:pt>
                <c:pt idx="530">
                  <c:v>32.514700000000659</c:v>
                </c:pt>
                <c:pt idx="531">
                  <c:v>32.514800000000662</c:v>
                </c:pt>
                <c:pt idx="532">
                  <c:v>32.514900000000665</c:v>
                </c:pt>
                <c:pt idx="533">
                  <c:v>32.515000000000668</c:v>
                </c:pt>
                <c:pt idx="534">
                  <c:v>32.515100000000672</c:v>
                </c:pt>
                <c:pt idx="535">
                  <c:v>32.515200000000675</c:v>
                </c:pt>
                <c:pt idx="536">
                  <c:v>32.515300000000678</c:v>
                </c:pt>
                <c:pt idx="537">
                  <c:v>32.515400000000682</c:v>
                </c:pt>
                <c:pt idx="538">
                  <c:v>32.515500000000685</c:v>
                </c:pt>
                <c:pt idx="539">
                  <c:v>32.515600000000688</c:v>
                </c:pt>
                <c:pt idx="540">
                  <c:v>32.515700000000692</c:v>
                </c:pt>
                <c:pt idx="541">
                  <c:v>32.515800000000695</c:v>
                </c:pt>
                <c:pt idx="542">
                  <c:v>32.515900000000698</c:v>
                </c:pt>
                <c:pt idx="543">
                  <c:v>32.516000000000702</c:v>
                </c:pt>
                <c:pt idx="544">
                  <c:v>32.516100000000705</c:v>
                </c:pt>
                <c:pt idx="545">
                  <c:v>32.516200000000708</c:v>
                </c:pt>
                <c:pt idx="546">
                  <c:v>32.516300000000712</c:v>
                </c:pt>
                <c:pt idx="547">
                  <c:v>32.516400000000715</c:v>
                </c:pt>
                <c:pt idx="548">
                  <c:v>32.516500000000718</c:v>
                </c:pt>
                <c:pt idx="549">
                  <c:v>32.516600000000722</c:v>
                </c:pt>
                <c:pt idx="550">
                  <c:v>32.516700000000725</c:v>
                </c:pt>
                <c:pt idx="551">
                  <c:v>32.516800000000728</c:v>
                </c:pt>
                <c:pt idx="552">
                  <c:v>32.516900000000732</c:v>
                </c:pt>
                <c:pt idx="553">
                  <c:v>32.517000000000735</c:v>
                </c:pt>
                <c:pt idx="554">
                  <c:v>32.517100000000738</c:v>
                </c:pt>
                <c:pt idx="555">
                  <c:v>32.517200000000742</c:v>
                </c:pt>
                <c:pt idx="556">
                  <c:v>32.517300000000745</c:v>
                </c:pt>
                <c:pt idx="557">
                  <c:v>32.517400000000748</c:v>
                </c:pt>
                <c:pt idx="558">
                  <c:v>32.517500000000751</c:v>
                </c:pt>
                <c:pt idx="559">
                  <c:v>32.517600000000755</c:v>
                </c:pt>
                <c:pt idx="560">
                  <c:v>32.517700000000758</c:v>
                </c:pt>
                <c:pt idx="561">
                  <c:v>32.517800000000761</c:v>
                </c:pt>
                <c:pt idx="562">
                  <c:v>32.517900000000765</c:v>
                </c:pt>
                <c:pt idx="563">
                  <c:v>32.518000000000768</c:v>
                </c:pt>
                <c:pt idx="564">
                  <c:v>32.518100000000771</c:v>
                </c:pt>
                <c:pt idx="565">
                  <c:v>32.518200000000775</c:v>
                </c:pt>
                <c:pt idx="566">
                  <c:v>32.518300000000778</c:v>
                </c:pt>
                <c:pt idx="567">
                  <c:v>32.518400000000781</c:v>
                </c:pt>
                <c:pt idx="568">
                  <c:v>32.518500000000785</c:v>
                </c:pt>
                <c:pt idx="569">
                  <c:v>32.518600000000788</c:v>
                </c:pt>
                <c:pt idx="570">
                  <c:v>32.518700000000791</c:v>
                </c:pt>
                <c:pt idx="571">
                  <c:v>32.518800000000795</c:v>
                </c:pt>
                <c:pt idx="572">
                  <c:v>32.518900000000798</c:v>
                </c:pt>
                <c:pt idx="573">
                  <c:v>32.519000000000801</c:v>
                </c:pt>
                <c:pt idx="574">
                  <c:v>32.519100000000805</c:v>
                </c:pt>
                <c:pt idx="575">
                  <c:v>32.519200000000808</c:v>
                </c:pt>
                <c:pt idx="576">
                  <c:v>32.519300000000811</c:v>
                </c:pt>
                <c:pt idx="577">
                  <c:v>32.519400000000815</c:v>
                </c:pt>
                <c:pt idx="578">
                  <c:v>32.519500000000818</c:v>
                </c:pt>
                <c:pt idx="579">
                  <c:v>32.519600000000821</c:v>
                </c:pt>
                <c:pt idx="580">
                  <c:v>32.519700000000825</c:v>
                </c:pt>
                <c:pt idx="581">
                  <c:v>32.519800000000828</c:v>
                </c:pt>
                <c:pt idx="582">
                  <c:v>32.519900000000831</c:v>
                </c:pt>
                <c:pt idx="583">
                  <c:v>32.520000000000834</c:v>
                </c:pt>
                <c:pt idx="584">
                  <c:v>32.520100000000838</c:v>
                </c:pt>
                <c:pt idx="585">
                  <c:v>32.520200000000841</c:v>
                </c:pt>
                <c:pt idx="586">
                  <c:v>32.520300000000844</c:v>
                </c:pt>
                <c:pt idx="587">
                  <c:v>32.520400000000848</c:v>
                </c:pt>
                <c:pt idx="588">
                  <c:v>32.520500000000851</c:v>
                </c:pt>
                <c:pt idx="589">
                  <c:v>32.520600000000854</c:v>
                </c:pt>
                <c:pt idx="590">
                  <c:v>32.520700000000858</c:v>
                </c:pt>
                <c:pt idx="591">
                  <c:v>32.520800000000861</c:v>
                </c:pt>
                <c:pt idx="592">
                  <c:v>32.520900000000864</c:v>
                </c:pt>
                <c:pt idx="593">
                  <c:v>32.521000000000868</c:v>
                </c:pt>
                <c:pt idx="594">
                  <c:v>32.521100000000871</c:v>
                </c:pt>
                <c:pt idx="595">
                  <c:v>32.521200000000874</c:v>
                </c:pt>
                <c:pt idx="596">
                  <c:v>32.521300000000878</c:v>
                </c:pt>
                <c:pt idx="597">
                  <c:v>32.521400000000881</c:v>
                </c:pt>
                <c:pt idx="598">
                  <c:v>32.521500000000884</c:v>
                </c:pt>
                <c:pt idx="599">
                  <c:v>32.521600000000888</c:v>
                </c:pt>
                <c:pt idx="600">
                  <c:v>32.521700000000891</c:v>
                </c:pt>
                <c:pt idx="601">
                  <c:v>32.521800000000894</c:v>
                </c:pt>
                <c:pt idx="602">
                  <c:v>32.521900000000898</c:v>
                </c:pt>
                <c:pt idx="603">
                  <c:v>32.522000000000901</c:v>
                </c:pt>
                <c:pt idx="604">
                  <c:v>32.522100000000904</c:v>
                </c:pt>
                <c:pt idx="605">
                  <c:v>32.522200000000907</c:v>
                </c:pt>
                <c:pt idx="606">
                  <c:v>32.522300000000911</c:v>
                </c:pt>
                <c:pt idx="607">
                  <c:v>32.522400000000914</c:v>
                </c:pt>
                <c:pt idx="608">
                  <c:v>32.522500000000917</c:v>
                </c:pt>
                <c:pt idx="609">
                  <c:v>32.522600000000921</c:v>
                </c:pt>
                <c:pt idx="610">
                  <c:v>32.522700000000924</c:v>
                </c:pt>
                <c:pt idx="611">
                  <c:v>32.522800000000927</c:v>
                </c:pt>
                <c:pt idx="612">
                  <c:v>32.522900000000931</c:v>
                </c:pt>
                <c:pt idx="613">
                  <c:v>32.523000000000934</c:v>
                </c:pt>
                <c:pt idx="614">
                  <c:v>32.523100000000937</c:v>
                </c:pt>
                <c:pt idx="615">
                  <c:v>32.523200000000941</c:v>
                </c:pt>
                <c:pt idx="616">
                  <c:v>32.523300000000944</c:v>
                </c:pt>
                <c:pt idx="617">
                  <c:v>32.523400000000947</c:v>
                </c:pt>
                <c:pt idx="618">
                  <c:v>32.523500000000951</c:v>
                </c:pt>
                <c:pt idx="619">
                  <c:v>32.523600000000954</c:v>
                </c:pt>
                <c:pt idx="620">
                  <c:v>32.523700000000957</c:v>
                </c:pt>
                <c:pt idx="621">
                  <c:v>32.523800000000961</c:v>
                </c:pt>
                <c:pt idx="622">
                  <c:v>32.523900000000964</c:v>
                </c:pt>
                <c:pt idx="623">
                  <c:v>32.524000000000967</c:v>
                </c:pt>
                <c:pt idx="624">
                  <c:v>32.524100000000971</c:v>
                </c:pt>
                <c:pt idx="625">
                  <c:v>32.524200000000974</c:v>
                </c:pt>
                <c:pt idx="626">
                  <c:v>32.524300000000977</c:v>
                </c:pt>
                <c:pt idx="627">
                  <c:v>32.524400000000981</c:v>
                </c:pt>
                <c:pt idx="628">
                  <c:v>32.524500000000984</c:v>
                </c:pt>
                <c:pt idx="629">
                  <c:v>32.524600000000987</c:v>
                </c:pt>
                <c:pt idx="630">
                  <c:v>32.52470000000099</c:v>
                </c:pt>
                <c:pt idx="631">
                  <c:v>32.524800000000994</c:v>
                </c:pt>
                <c:pt idx="632">
                  <c:v>32.524900000000997</c:v>
                </c:pt>
                <c:pt idx="633">
                  <c:v>32.525000000001</c:v>
                </c:pt>
                <c:pt idx="634">
                  <c:v>32.525100000001004</c:v>
                </c:pt>
                <c:pt idx="635">
                  <c:v>32.525200000001007</c:v>
                </c:pt>
                <c:pt idx="636">
                  <c:v>32.52530000000101</c:v>
                </c:pt>
                <c:pt idx="637">
                  <c:v>32.525400000001014</c:v>
                </c:pt>
                <c:pt idx="638">
                  <c:v>32.525500000001017</c:v>
                </c:pt>
                <c:pt idx="639">
                  <c:v>32.52560000000102</c:v>
                </c:pt>
                <c:pt idx="640">
                  <c:v>32.525700000001024</c:v>
                </c:pt>
                <c:pt idx="641">
                  <c:v>32.525800000001027</c:v>
                </c:pt>
                <c:pt idx="642">
                  <c:v>32.52590000000103</c:v>
                </c:pt>
                <c:pt idx="643">
                  <c:v>32.526000000001034</c:v>
                </c:pt>
                <c:pt idx="644">
                  <c:v>32.526100000001037</c:v>
                </c:pt>
                <c:pt idx="645">
                  <c:v>32.52620000000104</c:v>
                </c:pt>
                <c:pt idx="646">
                  <c:v>32.526300000001044</c:v>
                </c:pt>
                <c:pt idx="647">
                  <c:v>32.526400000001047</c:v>
                </c:pt>
                <c:pt idx="648">
                  <c:v>32.52650000000105</c:v>
                </c:pt>
                <c:pt idx="649">
                  <c:v>32.526600000001054</c:v>
                </c:pt>
                <c:pt idx="650">
                  <c:v>32.526700000001057</c:v>
                </c:pt>
                <c:pt idx="651">
                  <c:v>32.52680000000106</c:v>
                </c:pt>
                <c:pt idx="652">
                  <c:v>32.526900000001064</c:v>
                </c:pt>
                <c:pt idx="653">
                  <c:v>32.527000000001067</c:v>
                </c:pt>
                <c:pt idx="654">
                  <c:v>32.52710000000107</c:v>
                </c:pt>
                <c:pt idx="655">
                  <c:v>32.527200000001073</c:v>
                </c:pt>
                <c:pt idx="656">
                  <c:v>32.527300000001077</c:v>
                </c:pt>
                <c:pt idx="657">
                  <c:v>32.52740000000108</c:v>
                </c:pt>
                <c:pt idx="658">
                  <c:v>32.527500000001083</c:v>
                </c:pt>
                <c:pt idx="659">
                  <c:v>32.527600000001087</c:v>
                </c:pt>
                <c:pt idx="660">
                  <c:v>32.52770000000109</c:v>
                </c:pt>
                <c:pt idx="661">
                  <c:v>32.527800000001093</c:v>
                </c:pt>
                <c:pt idx="662">
                  <c:v>32.527900000001097</c:v>
                </c:pt>
                <c:pt idx="663">
                  <c:v>32.5280000000011</c:v>
                </c:pt>
                <c:pt idx="664">
                  <c:v>32.528100000001103</c:v>
                </c:pt>
                <c:pt idx="665">
                  <c:v>32.528200000001107</c:v>
                </c:pt>
                <c:pt idx="666">
                  <c:v>32.52830000000111</c:v>
                </c:pt>
                <c:pt idx="667">
                  <c:v>32.528400000001113</c:v>
                </c:pt>
                <c:pt idx="668">
                  <c:v>32.528500000001117</c:v>
                </c:pt>
                <c:pt idx="669">
                  <c:v>32.52860000000112</c:v>
                </c:pt>
                <c:pt idx="670">
                  <c:v>32.528700000001123</c:v>
                </c:pt>
                <c:pt idx="671">
                  <c:v>32.528800000001127</c:v>
                </c:pt>
                <c:pt idx="672">
                  <c:v>32.52890000000113</c:v>
                </c:pt>
                <c:pt idx="673">
                  <c:v>32.529000000001133</c:v>
                </c:pt>
                <c:pt idx="674">
                  <c:v>32.529100000001137</c:v>
                </c:pt>
                <c:pt idx="675">
                  <c:v>32.52920000000114</c:v>
                </c:pt>
                <c:pt idx="676">
                  <c:v>32.529300000001143</c:v>
                </c:pt>
                <c:pt idx="677">
                  <c:v>32.529400000001147</c:v>
                </c:pt>
                <c:pt idx="678">
                  <c:v>32.52950000000115</c:v>
                </c:pt>
                <c:pt idx="679">
                  <c:v>32.529600000001153</c:v>
                </c:pt>
                <c:pt idx="680">
                  <c:v>32.529700000001156</c:v>
                </c:pt>
                <c:pt idx="681">
                  <c:v>32.52980000000116</c:v>
                </c:pt>
                <c:pt idx="682">
                  <c:v>32.529900000001163</c:v>
                </c:pt>
                <c:pt idx="683">
                  <c:v>32.530000000001166</c:v>
                </c:pt>
                <c:pt idx="684">
                  <c:v>32.53010000000117</c:v>
                </c:pt>
                <c:pt idx="685">
                  <c:v>32.530200000001173</c:v>
                </c:pt>
                <c:pt idx="686">
                  <c:v>32.530300000001176</c:v>
                </c:pt>
                <c:pt idx="687">
                  <c:v>32.53040000000118</c:v>
                </c:pt>
                <c:pt idx="688">
                  <c:v>32.530500000001183</c:v>
                </c:pt>
                <c:pt idx="689">
                  <c:v>32.530600000001186</c:v>
                </c:pt>
                <c:pt idx="690">
                  <c:v>32.53070000000119</c:v>
                </c:pt>
                <c:pt idx="691">
                  <c:v>32.530800000001193</c:v>
                </c:pt>
                <c:pt idx="692">
                  <c:v>32.530900000001196</c:v>
                </c:pt>
                <c:pt idx="693">
                  <c:v>32.5310000000012</c:v>
                </c:pt>
                <c:pt idx="694">
                  <c:v>32.531100000001203</c:v>
                </c:pt>
                <c:pt idx="695">
                  <c:v>32.531200000001206</c:v>
                </c:pt>
                <c:pt idx="696">
                  <c:v>32.53130000000121</c:v>
                </c:pt>
                <c:pt idx="697">
                  <c:v>32.531400000001213</c:v>
                </c:pt>
                <c:pt idx="698">
                  <c:v>32.531500000001216</c:v>
                </c:pt>
                <c:pt idx="699">
                  <c:v>32.53160000000122</c:v>
                </c:pt>
                <c:pt idx="700">
                  <c:v>32.531700000001223</c:v>
                </c:pt>
                <c:pt idx="701">
                  <c:v>32.531800000001226</c:v>
                </c:pt>
                <c:pt idx="702">
                  <c:v>32.53190000000123</c:v>
                </c:pt>
                <c:pt idx="703">
                  <c:v>32.532000000001233</c:v>
                </c:pt>
                <c:pt idx="704">
                  <c:v>32.532100000001236</c:v>
                </c:pt>
                <c:pt idx="705">
                  <c:v>32.532200000001239</c:v>
                </c:pt>
                <c:pt idx="706">
                  <c:v>32.532300000001243</c:v>
                </c:pt>
                <c:pt idx="707">
                  <c:v>32.532400000001246</c:v>
                </c:pt>
                <c:pt idx="708">
                  <c:v>32.532500000001249</c:v>
                </c:pt>
                <c:pt idx="709">
                  <c:v>32.532600000001253</c:v>
                </c:pt>
                <c:pt idx="710">
                  <c:v>32.532700000001256</c:v>
                </c:pt>
                <c:pt idx="711">
                  <c:v>32.532800000001259</c:v>
                </c:pt>
                <c:pt idx="712">
                  <c:v>32.532900000001263</c:v>
                </c:pt>
                <c:pt idx="713">
                  <c:v>32.533000000001266</c:v>
                </c:pt>
                <c:pt idx="714">
                  <c:v>32.533100000001269</c:v>
                </c:pt>
                <c:pt idx="715">
                  <c:v>32.533200000001273</c:v>
                </c:pt>
                <c:pt idx="716">
                  <c:v>32.533300000001276</c:v>
                </c:pt>
                <c:pt idx="717">
                  <c:v>32.533400000001279</c:v>
                </c:pt>
                <c:pt idx="718">
                  <c:v>32.533500000001283</c:v>
                </c:pt>
                <c:pt idx="719">
                  <c:v>32.533600000001286</c:v>
                </c:pt>
                <c:pt idx="720">
                  <c:v>32.533700000001289</c:v>
                </c:pt>
                <c:pt idx="721">
                  <c:v>32.533800000001293</c:v>
                </c:pt>
                <c:pt idx="722">
                  <c:v>32.533900000001296</c:v>
                </c:pt>
                <c:pt idx="723">
                  <c:v>32.534000000001299</c:v>
                </c:pt>
                <c:pt idx="724">
                  <c:v>32.534100000001303</c:v>
                </c:pt>
                <c:pt idx="725">
                  <c:v>32.534200000001306</c:v>
                </c:pt>
                <c:pt idx="726">
                  <c:v>32.534300000001309</c:v>
                </c:pt>
                <c:pt idx="727">
                  <c:v>32.534400000001312</c:v>
                </c:pt>
                <c:pt idx="728">
                  <c:v>32.534500000001316</c:v>
                </c:pt>
                <c:pt idx="729">
                  <c:v>32.534600000001319</c:v>
                </c:pt>
                <c:pt idx="730">
                  <c:v>32.534700000001322</c:v>
                </c:pt>
                <c:pt idx="731">
                  <c:v>32.534800000001326</c:v>
                </c:pt>
                <c:pt idx="732">
                  <c:v>32.534900000001329</c:v>
                </c:pt>
                <c:pt idx="733">
                  <c:v>32.535000000001332</c:v>
                </c:pt>
                <c:pt idx="734">
                  <c:v>32.535100000001336</c:v>
                </c:pt>
                <c:pt idx="735">
                  <c:v>32.535200000001339</c:v>
                </c:pt>
                <c:pt idx="736">
                  <c:v>32.535300000001342</c:v>
                </c:pt>
                <c:pt idx="737">
                  <c:v>32.535400000001346</c:v>
                </c:pt>
                <c:pt idx="738">
                  <c:v>32.535500000001349</c:v>
                </c:pt>
                <c:pt idx="739">
                  <c:v>32.535600000001352</c:v>
                </c:pt>
                <c:pt idx="740">
                  <c:v>32.535700000001356</c:v>
                </c:pt>
                <c:pt idx="741">
                  <c:v>32.535800000001359</c:v>
                </c:pt>
                <c:pt idx="742">
                  <c:v>32.535900000001362</c:v>
                </c:pt>
                <c:pt idx="743">
                  <c:v>32.536000000001366</c:v>
                </c:pt>
                <c:pt idx="744">
                  <c:v>32.536100000001369</c:v>
                </c:pt>
                <c:pt idx="745">
                  <c:v>32.536200000001372</c:v>
                </c:pt>
                <c:pt idx="746">
                  <c:v>32.536300000001376</c:v>
                </c:pt>
                <c:pt idx="747">
                  <c:v>32.536400000001379</c:v>
                </c:pt>
                <c:pt idx="748">
                  <c:v>32.536500000001382</c:v>
                </c:pt>
                <c:pt idx="749">
                  <c:v>32.536600000001386</c:v>
                </c:pt>
                <c:pt idx="750">
                  <c:v>32.536700000001389</c:v>
                </c:pt>
                <c:pt idx="751">
                  <c:v>32.536800000001392</c:v>
                </c:pt>
                <c:pt idx="752">
                  <c:v>32.536900000001395</c:v>
                </c:pt>
                <c:pt idx="753">
                  <c:v>32.537000000001399</c:v>
                </c:pt>
                <c:pt idx="754">
                  <c:v>32.537100000001402</c:v>
                </c:pt>
                <c:pt idx="755">
                  <c:v>32.537200000001405</c:v>
                </c:pt>
                <c:pt idx="756">
                  <c:v>32.537300000001409</c:v>
                </c:pt>
                <c:pt idx="757">
                  <c:v>32.537400000001412</c:v>
                </c:pt>
                <c:pt idx="758">
                  <c:v>32.537500000001415</c:v>
                </c:pt>
                <c:pt idx="759">
                  <c:v>32.537600000001419</c:v>
                </c:pt>
                <c:pt idx="760">
                  <c:v>32.537700000001422</c:v>
                </c:pt>
                <c:pt idx="761">
                  <c:v>32.537800000001425</c:v>
                </c:pt>
                <c:pt idx="762">
                  <c:v>32.537900000001429</c:v>
                </c:pt>
                <c:pt idx="763">
                  <c:v>32.538000000001432</c:v>
                </c:pt>
                <c:pt idx="764">
                  <c:v>32.538100000001435</c:v>
                </c:pt>
                <c:pt idx="765">
                  <c:v>32.538200000001439</c:v>
                </c:pt>
                <c:pt idx="766">
                  <c:v>32.538300000001442</c:v>
                </c:pt>
                <c:pt idx="767">
                  <c:v>32.538400000001445</c:v>
                </c:pt>
                <c:pt idx="768">
                  <c:v>32.538500000001449</c:v>
                </c:pt>
                <c:pt idx="769">
                  <c:v>32.538600000001452</c:v>
                </c:pt>
                <c:pt idx="770">
                  <c:v>32.538700000001455</c:v>
                </c:pt>
                <c:pt idx="771">
                  <c:v>32.538800000001459</c:v>
                </c:pt>
                <c:pt idx="772">
                  <c:v>32.538900000001462</c:v>
                </c:pt>
                <c:pt idx="773">
                  <c:v>32.539000000001465</c:v>
                </c:pt>
                <c:pt idx="774">
                  <c:v>32.539100000001469</c:v>
                </c:pt>
                <c:pt idx="775">
                  <c:v>32.539200000001472</c:v>
                </c:pt>
                <c:pt idx="776">
                  <c:v>32.539300000001475</c:v>
                </c:pt>
                <c:pt idx="777">
                  <c:v>32.539400000001478</c:v>
                </c:pt>
                <c:pt idx="778">
                  <c:v>32.539500000001482</c:v>
                </c:pt>
                <c:pt idx="779">
                  <c:v>32.539600000001485</c:v>
                </c:pt>
                <c:pt idx="780">
                  <c:v>32.539700000001488</c:v>
                </c:pt>
                <c:pt idx="781">
                  <c:v>32.539800000001492</c:v>
                </c:pt>
                <c:pt idx="782">
                  <c:v>32.539900000001495</c:v>
                </c:pt>
                <c:pt idx="783">
                  <c:v>32.540000000001498</c:v>
                </c:pt>
                <c:pt idx="784">
                  <c:v>32.540100000001502</c:v>
                </c:pt>
                <c:pt idx="785">
                  <c:v>32.540200000001505</c:v>
                </c:pt>
                <c:pt idx="786">
                  <c:v>32.540300000001508</c:v>
                </c:pt>
                <c:pt idx="787">
                  <c:v>32.540400000001512</c:v>
                </c:pt>
                <c:pt idx="788">
                  <c:v>32.540500000001515</c:v>
                </c:pt>
                <c:pt idx="789">
                  <c:v>32.540600000001518</c:v>
                </c:pt>
                <c:pt idx="790">
                  <c:v>32.540700000001522</c:v>
                </c:pt>
                <c:pt idx="791">
                  <c:v>32.540800000001525</c:v>
                </c:pt>
                <c:pt idx="792">
                  <c:v>32.540900000001528</c:v>
                </c:pt>
                <c:pt idx="793">
                  <c:v>32.541000000001532</c:v>
                </c:pt>
                <c:pt idx="794">
                  <c:v>32.541100000001535</c:v>
                </c:pt>
                <c:pt idx="795">
                  <c:v>32.541200000001538</c:v>
                </c:pt>
                <c:pt idx="796">
                  <c:v>32.541300000001542</c:v>
                </c:pt>
                <c:pt idx="797">
                  <c:v>32.541400000001545</c:v>
                </c:pt>
                <c:pt idx="798">
                  <c:v>32.541500000001548</c:v>
                </c:pt>
                <c:pt idx="799">
                  <c:v>32.541600000001552</c:v>
                </c:pt>
                <c:pt idx="800">
                  <c:v>32.541700000001555</c:v>
                </c:pt>
                <c:pt idx="801">
                  <c:v>32.541800000001558</c:v>
                </c:pt>
                <c:pt idx="802">
                  <c:v>32.541900000001561</c:v>
                </c:pt>
                <c:pt idx="803">
                  <c:v>32.542000000001565</c:v>
                </c:pt>
                <c:pt idx="804">
                  <c:v>32.542100000001568</c:v>
                </c:pt>
                <c:pt idx="805">
                  <c:v>32.542200000001571</c:v>
                </c:pt>
                <c:pt idx="806">
                  <c:v>32.542300000001575</c:v>
                </c:pt>
                <c:pt idx="807">
                  <c:v>32.542400000001578</c:v>
                </c:pt>
                <c:pt idx="808">
                  <c:v>32.542500000001581</c:v>
                </c:pt>
                <c:pt idx="809">
                  <c:v>32.542600000001585</c:v>
                </c:pt>
                <c:pt idx="810">
                  <c:v>32.542700000001588</c:v>
                </c:pt>
                <c:pt idx="811">
                  <c:v>32.542800000001591</c:v>
                </c:pt>
                <c:pt idx="812">
                  <c:v>32.542900000001595</c:v>
                </c:pt>
                <c:pt idx="813">
                  <c:v>32.543000000001598</c:v>
                </c:pt>
                <c:pt idx="814">
                  <c:v>32.543100000001601</c:v>
                </c:pt>
                <c:pt idx="815">
                  <c:v>32.543200000001605</c:v>
                </c:pt>
                <c:pt idx="816">
                  <c:v>32.543300000001608</c:v>
                </c:pt>
                <c:pt idx="817">
                  <c:v>32.543400000001611</c:v>
                </c:pt>
                <c:pt idx="818">
                  <c:v>32.543500000001615</c:v>
                </c:pt>
                <c:pt idx="819">
                  <c:v>32.543600000001618</c:v>
                </c:pt>
                <c:pt idx="820">
                  <c:v>32.543700000001621</c:v>
                </c:pt>
                <c:pt idx="821">
                  <c:v>32.543800000001625</c:v>
                </c:pt>
                <c:pt idx="822">
                  <c:v>32.543900000001628</c:v>
                </c:pt>
                <c:pt idx="823">
                  <c:v>32.544000000001631</c:v>
                </c:pt>
                <c:pt idx="824">
                  <c:v>32.544100000001634</c:v>
                </c:pt>
                <c:pt idx="825">
                  <c:v>32.544200000001638</c:v>
                </c:pt>
                <c:pt idx="826">
                  <c:v>32.544300000001641</c:v>
                </c:pt>
                <c:pt idx="827">
                  <c:v>32.544400000001644</c:v>
                </c:pt>
                <c:pt idx="828">
                  <c:v>32.544500000001648</c:v>
                </c:pt>
                <c:pt idx="829">
                  <c:v>32.544600000001651</c:v>
                </c:pt>
                <c:pt idx="830">
                  <c:v>32.544700000001654</c:v>
                </c:pt>
                <c:pt idx="831">
                  <c:v>32.544800000001658</c:v>
                </c:pt>
                <c:pt idx="832">
                  <c:v>32.544900000001661</c:v>
                </c:pt>
                <c:pt idx="833">
                  <c:v>32.545000000001664</c:v>
                </c:pt>
                <c:pt idx="834">
                  <c:v>32.545100000001668</c:v>
                </c:pt>
                <c:pt idx="835">
                  <c:v>32.545200000001671</c:v>
                </c:pt>
                <c:pt idx="836">
                  <c:v>32.545300000001674</c:v>
                </c:pt>
                <c:pt idx="837">
                  <c:v>32.545400000001678</c:v>
                </c:pt>
                <c:pt idx="838">
                  <c:v>32.545500000001681</c:v>
                </c:pt>
                <c:pt idx="839">
                  <c:v>32.545600000001684</c:v>
                </c:pt>
                <c:pt idx="840">
                  <c:v>32.545700000001688</c:v>
                </c:pt>
                <c:pt idx="841">
                  <c:v>32.545800000001691</c:v>
                </c:pt>
                <c:pt idx="842">
                  <c:v>32.545900000001694</c:v>
                </c:pt>
                <c:pt idx="843">
                  <c:v>32.546000000001698</c:v>
                </c:pt>
                <c:pt idx="844">
                  <c:v>32.546100000001701</c:v>
                </c:pt>
                <c:pt idx="845">
                  <c:v>32.546200000001704</c:v>
                </c:pt>
                <c:pt idx="846">
                  <c:v>32.546300000001708</c:v>
                </c:pt>
                <c:pt idx="847">
                  <c:v>32.546400000001711</c:v>
                </c:pt>
                <c:pt idx="848">
                  <c:v>32.546500000001714</c:v>
                </c:pt>
                <c:pt idx="849">
                  <c:v>32.546600000001717</c:v>
                </c:pt>
                <c:pt idx="850">
                  <c:v>32.546700000001721</c:v>
                </c:pt>
                <c:pt idx="851">
                  <c:v>32.546800000001724</c:v>
                </c:pt>
                <c:pt idx="852">
                  <c:v>32.546900000001727</c:v>
                </c:pt>
                <c:pt idx="853">
                  <c:v>32.547000000001731</c:v>
                </c:pt>
                <c:pt idx="854">
                  <c:v>32.547100000001734</c:v>
                </c:pt>
                <c:pt idx="855">
                  <c:v>32.547200000001737</c:v>
                </c:pt>
                <c:pt idx="856">
                  <c:v>32.547300000001741</c:v>
                </c:pt>
                <c:pt idx="857">
                  <c:v>32.547400000001744</c:v>
                </c:pt>
                <c:pt idx="858">
                  <c:v>32.547500000001747</c:v>
                </c:pt>
                <c:pt idx="859">
                  <c:v>32.547600000001751</c:v>
                </c:pt>
                <c:pt idx="860">
                  <c:v>32.547700000001754</c:v>
                </c:pt>
                <c:pt idx="861">
                  <c:v>32.547800000001757</c:v>
                </c:pt>
                <c:pt idx="862">
                  <c:v>32.547900000001761</c:v>
                </c:pt>
                <c:pt idx="863">
                  <c:v>32.548000000001764</c:v>
                </c:pt>
                <c:pt idx="864">
                  <c:v>32.548100000001767</c:v>
                </c:pt>
                <c:pt idx="865">
                  <c:v>32.548200000001771</c:v>
                </c:pt>
                <c:pt idx="866">
                  <c:v>32.548300000001774</c:v>
                </c:pt>
                <c:pt idx="867">
                  <c:v>32.548400000001777</c:v>
                </c:pt>
                <c:pt idx="868">
                  <c:v>32.548500000001781</c:v>
                </c:pt>
                <c:pt idx="869">
                  <c:v>32.548600000001784</c:v>
                </c:pt>
                <c:pt idx="870">
                  <c:v>32.548700000001787</c:v>
                </c:pt>
                <c:pt idx="871">
                  <c:v>32.548800000001791</c:v>
                </c:pt>
                <c:pt idx="872">
                  <c:v>32.548900000001794</c:v>
                </c:pt>
                <c:pt idx="873">
                  <c:v>32.549000000001797</c:v>
                </c:pt>
                <c:pt idx="874">
                  <c:v>32.5491000000018</c:v>
                </c:pt>
                <c:pt idx="875">
                  <c:v>32.549200000001804</c:v>
                </c:pt>
                <c:pt idx="876">
                  <c:v>32.549300000001807</c:v>
                </c:pt>
                <c:pt idx="877">
                  <c:v>32.54940000000181</c:v>
                </c:pt>
                <c:pt idx="878">
                  <c:v>32.549500000001814</c:v>
                </c:pt>
                <c:pt idx="879">
                  <c:v>32.549600000001817</c:v>
                </c:pt>
                <c:pt idx="880">
                  <c:v>32.54970000000182</c:v>
                </c:pt>
                <c:pt idx="881">
                  <c:v>32.549800000001824</c:v>
                </c:pt>
                <c:pt idx="882">
                  <c:v>32.549900000001827</c:v>
                </c:pt>
                <c:pt idx="883">
                  <c:v>32.55000000000183</c:v>
                </c:pt>
                <c:pt idx="884">
                  <c:v>32.550100000001834</c:v>
                </c:pt>
                <c:pt idx="885">
                  <c:v>32.550200000001837</c:v>
                </c:pt>
                <c:pt idx="886">
                  <c:v>32.55030000000184</c:v>
                </c:pt>
                <c:pt idx="887">
                  <c:v>32.550400000001844</c:v>
                </c:pt>
                <c:pt idx="888">
                  <c:v>32.550500000001847</c:v>
                </c:pt>
                <c:pt idx="889">
                  <c:v>32.55060000000185</c:v>
                </c:pt>
                <c:pt idx="890">
                  <c:v>32.550700000001854</c:v>
                </c:pt>
                <c:pt idx="891">
                  <c:v>32.550800000001857</c:v>
                </c:pt>
                <c:pt idx="892">
                  <c:v>32.55090000000186</c:v>
                </c:pt>
                <c:pt idx="893">
                  <c:v>32.551000000001864</c:v>
                </c:pt>
                <c:pt idx="894">
                  <c:v>32.551100000001867</c:v>
                </c:pt>
                <c:pt idx="895">
                  <c:v>32.55120000000187</c:v>
                </c:pt>
                <c:pt idx="896">
                  <c:v>32.551300000001874</c:v>
                </c:pt>
                <c:pt idx="897">
                  <c:v>32.551400000001877</c:v>
                </c:pt>
                <c:pt idx="898">
                  <c:v>32.55150000000188</c:v>
                </c:pt>
                <c:pt idx="899">
                  <c:v>32.551600000001883</c:v>
                </c:pt>
                <c:pt idx="900">
                  <c:v>32.551700000001887</c:v>
                </c:pt>
                <c:pt idx="901">
                  <c:v>32.55180000000189</c:v>
                </c:pt>
                <c:pt idx="902">
                  <c:v>32.551900000001893</c:v>
                </c:pt>
                <c:pt idx="903">
                  <c:v>32.552000000001897</c:v>
                </c:pt>
                <c:pt idx="904">
                  <c:v>32.5521000000019</c:v>
                </c:pt>
                <c:pt idx="905">
                  <c:v>32.552200000001903</c:v>
                </c:pt>
                <c:pt idx="906">
                  <c:v>32.552300000001907</c:v>
                </c:pt>
                <c:pt idx="907">
                  <c:v>32.55240000000191</c:v>
                </c:pt>
                <c:pt idx="908">
                  <c:v>32.552500000001913</c:v>
                </c:pt>
                <c:pt idx="909">
                  <c:v>32.552600000001917</c:v>
                </c:pt>
                <c:pt idx="910">
                  <c:v>32.55270000000192</c:v>
                </c:pt>
                <c:pt idx="911">
                  <c:v>32.552800000001923</c:v>
                </c:pt>
                <c:pt idx="912">
                  <c:v>32.552900000001927</c:v>
                </c:pt>
                <c:pt idx="913">
                  <c:v>32.55300000000193</c:v>
                </c:pt>
                <c:pt idx="914">
                  <c:v>32.553100000001933</c:v>
                </c:pt>
                <c:pt idx="915">
                  <c:v>32.553200000001937</c:v>
                </c:pt>
                <c:pt idx="916">
                  <c:v>32.55330000000194</c:v>
                </c:pt>
                <c:pt idx="917">
                  <c:v>32.553400000001943</c:v>
                </c:pt>
                <c:pt idx="918">
                  <c:v>32.553500000001947</c:v>
                </c:pt>
                <c:pt idx="919">
                  <c:v>32.55360000000195</c:v>
                </c:pt>
                <c:pt idx="920">
                  <c:v>32.553700000001953</c:v>
                </c:pt>
                <c:pt idx="921">
                  <c:v>32.553800000001957</c:v>
                </c:pt>
                <c:pt idx="922">
                  <c:v>32.55390000000196</c:v>
                </c:pt>
                <c:pt idx="923">
                  <c:v>32.554000000001963</c:v>
                </c:pt>
                <c:pt idx="924">
                  <c:v>32.554100000001966</c:v>
                </c:pt>
                <c:pt idx="925">
                  <c:v>32.55420000000197</c:v>
                </c:pt>
                <c:pt idx="926">
                  <c:v>32.554300000001973</c:v>
                </c:pt>
                <c:pt idx="927">
                  <c:v>32.554400000001976</c:v>
                </c:pt>
                <c:pt idx="928">
                  <c:v>32.55450000000198</c:v>
                </c:pt>
                <c:pt idx="929">
                  <c:v>32.554600000001983</c:v>
                </c:pt>
                <c:pt idx="930">
                  <c:v>32.554700000001986</c:v>
                </c:pt>
                <c:pt idx="931">
                  <c:v>32.55480000000199</c:v>
                </c:pt>
                <c:pt idx="932">
                  <c:v>32.554900000001993</c:v>
                </c:pt>
                <c:pt idx="933">
                  <c:v>32.555000000001996</c:v>
                </c:pt>
                <c:pt idx="934">
                  <c:v>32.555100000002</c:v>
                </c:pt>
                <c:pt idx="935">
                  <c:v>32.555200000002003</c:v>
                </c:pt>
                <c:pt idx="936">
                  <c:v>32.555300000002006</c:v>
                </c:pt>
                <c:pt idx="937">
                  <c:v>32.55540000000201</c:v>
                </c:pt>
                <c:pt idx="938">
                  <c:v>32.555500000002013</c:v>
                </c:pt>
                <c:pt idx="939">
                  <c:v>32.555600000002016</c:v>
                </c:pt>
                <c:pt idx="940">
                  <c:v>32.55570000000202</c:v>
                </c:pt>
                <c:pt idx="941">
                  <c:v>32.555800000002023</c:v>
                </c:pt>
                <c:pt idx="942">
                  <c:v>32.555900000002026</c:v>
                </c:pt>
                <c:pt idx="943">
                  <c:v>32.55600000000203</c:v>
                </c:pt>
                <c:pt idx="944">
                  <c:v>32.556100000002033</c:v>
                </c:pt>
                <c:pt idx="945">
                  <c:v>32.556200000002036</c:v>
                </c:pt>
                <c:pt idx="946">
                  <c:v>32.556300000002039</c:v>
                </c:pt>
                <c:pt idx="947">
                  <c:v>32.556400000002043</c:v>
                </c:pt>
                <c:pt idx="948">
                  <c:v>32.556500000002046</c:v>
                </c:pt>
                <c:pt idx="949">
                  <c:v>32.556600000002049</c:v>
                </c:pt>
                <c:pt idx="950">
                  <c:v>32.556700000002053</c:v>
                </c:pt>
                <c:pt idx="951">
                  <c:v>32.556800000002056</c:v>
                </c:pt>
                <c:pt idx="952">
                  <c:v>32.556900000002059</c:v>
                </c:pt>
                <c:pt idx="953">
                  <c:v>32.557000000002063</c:v>
                </c:pt>
                <c:pt idx="954">
                  <c:v>32.557100000002066</c:v>
                </c:pt>
                <c:pt idx="955">
                  <c:v>32.557200000002069</c:v>
                </c:pt>
                <c:pt idx="956">
                  <c:v>32.557300000002073</c:v>
                </c:pt>
                <c:pt idx="957">
                  <c:v>32.557400000002076</c:v>
                </c:pt>
                <c:pt idx="958">
                  <c:v>32.557500000002079</c:v>
                </c:pt>
                <c:pt idx="959">
                  <c:v>32.557600000002083</c:v>
                </c:pt>
                <c:pt idx="960">
                  <c:v>32.557700000002086</c:v>
                </c:pt>
                <c:pt idx="961">
                  <c:v>32.557800000002089</c:v>
                </c:pt>
                <c:pt idx="962">
                  <c:v>32.557900000002093</c:v>
                </c:pt>
                <c:pt idx="963">
                  <c:v>32.558000000002096</c:v>
                </c:pt>
                <c:pt idx="964">
                  <c:v>32.558100000002099</c:v>
                </c:pt>
                <c:pt idx="965">
                  <c:v>32.558200000002103</c:v>
                </c:pt>
                <c:pt idx="966">
                  <c:v>32.558300000002106</c:v>
                </c:pt>
                <c:pt idx="967">
                  <c:v>32.558400000002109</c:v>
                </c:pt>
                <c:pt idx="968">
                  <c:v>32.558500000002113</c:v>
                </c:pt>
                <c:pt idx="969">
                  <c:v>32.558600000002116</c:v>
                </c:pt>
                <c:pt idx="970">
                  <c:v>32.558700000002119</c:v>
                </c:pt>
                <c:pt idx="971">
                  <c:v>32.558800000002122</c:v>
                </c:pt>
                <c:pt idx="972">
                  <c:v>32.558900000002126</c:v>
                </c:pt>
                <c:pt idx="973">
                  <c:v>32.559000000002129</c:v>
                </c:pt>
                <c:pt idx="974">
                  <c:v>32.559100000002132</c:v>
                </c:pt>
                <c:pt idx="975">
                  <c:v>32.559200000002136</c:v>
                </c:pt>
                <c:pt idx="976">
                  <c:v>32.559300000002139</c:v>
                </c:pt>
                <c:pt idx="977">
                  <c:v>32.559400000002142</c:v>
                </c:pt>
                <c:pt idx="978">
                  <c:v>32.559500000002146</c:v>
                </c:pt>
                <c:pt idx="979">
                  <c:v>32.559600000002149</c:v>
                </c:pt>
                <c:pt idx="980">
                  <c:v>32.559700000002152</c:v>
                </c:pt>
                <c:pt idx="981">
                  <c:v>32.559800000002156</c:v>
                </c:pt>
                <c:pt idx="982">
                  <c:v>32.559900000002159</c:v>
                </c:pt>
                <c:pt idx="983">
                  <c:v>32.560000000002162</c:v>
                </c:pt>
                <c:pt idx="984">
                  <c:v>32.560100000002166</c:v>
                </c:pt>
                <c:pt idx="985">
                  <c:v>32.560200000002169</c:v>
                </c:pt>
                <c:pt idx="986">
                  <c:v>32.560300000002172</c:v>
                </c:pt>
                <c:pt idx="987">
                  <c:v>32.560400000002176</c:v>
                </c:pt>
                <c:pt idx="988">
                  <c:v>32.560500000002179</c:v>
                </c:pt>
                <c:pt idx="989">
                  <c:v>32.560600000002182</c:v>
                </c:pt>
                <c:pt idx="990">
                  <c:v>32.560700000002186</c:v>
                </c:pt>
                <c:pt idx="991">
                  <c:v>32.560800000002189</c:v>
                </c:pt>
                <c:pt idx="992">
                  <c:v>32.560900000002192</c:v>
                </c:pt>
                <c:pt idx="993">
                  <c:v>32.561000000002196</c:v>
                </c:pt>
                <c:pt idx="994">
                  <c:v>32.561100000002199</c:v>
                </c:pt>
                <c:pt idx="995">
                  <c:v>32.561200000002202</c:v>
                </c:pt>
                <c:pt idx="996">
                  <c:v>32.561300000002205</c:v>
                </c:pt>
                <c:pt idx="997">
                  <c:v>32.561400000002209</c:v>
                </c:pt>
                <c:pt idx="998">
                  <c:v>32.561500000002212</c:v>
                </c:pt>
                <c:pt idx="999">
                  <c:v>32.561600000002215</c:v>
                </c:pt>
                <c:pt idx="1000">
                  <c:v>32.561700000002219</c:v>
                </c:pt>
              </c:numCache>
            </c:numRef>
          </c:xVal>
          <c:yVal>
            <c:numRef>
              <c:f>Calculs!$K$4:$K$1004</c:f>
              <c:numCache>
                <c:formatCode>0.00</c:formatCode>
                <c:ptCount val="1001"/>
                <c:pt idx="0">
                  <c:v>487.84771914632313</c:v>
                </c:pt>
                <c:pt idx="1">
                  <c:v>489.54718062018776</c:v>
                </c:pt>
                <c:pt idx="2">
                  <c:v>491.24294032459193</c:v>
                </c:pt>
                <c:pt idx="3">
                  <c:v>492.93501052437801</c:v>
                </c:pt>
                <c:pt idx="4">
                  <c:v>494.62340341378064</c:v>
                </c:pt>
                <c:pt idx="5">
                  <c:v>496.30813111696835</c:v>
                </c:pt>
                <c:pt idx="6">
                  <c:v>497.98920568858028</c:v>
                </c:pt>
                <c:pt idx="7">
                  <c:v>499.66663911425746</c:v>
                </c:pt>
                <c:pt idx="8">
                  <c:v>501.34044331116917</c:v>
                </c:pt>
                <c:pt idx="9">
                  <c:v>503.01063012853422</c:v>
                </c:pt>
                <c:pt idx="10">
                  <c:v>504.67721134813729</c:v>
                </c:pt>
                <c:pt idx="11">
                  <c:v>506.34019866652045</c:v>
                </c:pt>
                <c:pt idx="12">
                  <c:v>507.99960367772184</c:v>
                </c:pt>
                <c:pt idx="13">
                  <c:v>509.65543789319361</c:v>
                </c:pt>
                <c:pt idx="14">
                  <c:v>511.30771276114598</c:v>
                </c:pt>
                <c:pt idx="15">
                  <c:v>512.95643966700504</c:v>
                </c:pt>
                <c:pt idx="16">
                  <c:v>514.60162993386643</c:v>
                </c:pt>
                <c:pt idx="17">
                  <c:v>516.24329482294513</c:v>
                </c:pt>
                <c:pt idx="18">
                  <c:v>517.88144553402083</c:v>
                </c:pt>
                <c:pt idx="19">
                  <c:v>519.51609320587932</c:v>
                </c:pt>
                <c:pt idx="20">
                  <c:v>521.14724891675007</c:v>
                </c:pt>
                <c:pt idx="21">
                  <c:v>522.77492369390814</c:v>
                </c:pt>
                <c:pt idx="22">
                  <c:v>524.39912852300677</c:v>
                </c:pt>
                <c:pt idx="23">
                  <c:v>526.01987433880925</c:v>
                </c:pt>
                <c:pt idx="24">
                  <c:v>527.63717201618897</c:v>
                </c:pt>
                <c:pt idx="25">
                  <c:v>529.25103237056396</c:v>
                </c:pt>
                <c:pt idx="26">
                  <c:v>530.86146615832718</c:v>
                </c:pt>
                <c:pt idx="27">
                  <c:v>532.46848407727305</c:v>
                </c:pt>
                <c:pt idx="28">
                  <c:v>534.07209676702007</c:v>
                </c:pt>
                <c:pt idx="29">
                  <c:v>535.67231480942951</c:v>
                </c:pt>
                <c:pt idx="30">
                  <c:v>537.26914872902034</c:v>
                </c:pt>
                <c:pt idx="31">
                  <c:v>538.8626089933806</c:v>
                </c:pt>
                <c:pt idx="32">
                  <c:v>540.45270601357493</c:v>
                </c:pt>
                <c:pt idx="33">
                  <c:v>542.03945014454814</c:v>
                </c:pt>
                <c:pt idx="34">
                  <c:v>543.6228516855258</c:v>
                </c:pt>
                <c:pt idx="35">
                  <c:v>545.2029208804106</c:v>
                </c:pt>
                <c:pt idx="36">
                  <c:v>546.77966791817539</c:v>
                </c:pt>
                <c:pt idx="37">
                  <c:v>548.35310293325301</c:v>
                </c:pt>
                <c:pt idx="38">
                  <c:v>549.92323600592215</c:v>
                </c:pt>
                <c:pt idx="39">
                  <c:v>551.49007716269</c:v>
                </c:pt>
                <c:pt idx="40">
                  <c:v>553.05363637667176</c:v>
                </c:pt>
                <c:pt idx="41">
                  <c:v>554.61392356796614</c:v>
                </c:pt>
                <c:pt idx="42">
                  <c:v>556.17094860402813</c:v>
                </c:pt>
                <c:pt idx="43">
                  <c:v>557.72472130003825</c:v>
                </c:pt>
                <c:pt idx="44">
                  <c:v>559.27525141926856</c:v>
                </c:pt>
                <c:pt idx="45">
                  <c:v>560.82254867344523</c:v>
                </c:pt>
                <c:pt idx="46">
                  <c:v>562.36662272310855</c:v>
                </c:pt>
                <c:pt idx="47">
                  <c:v>563.90748317796897</c:v>
                </c:pt>
                <c:pt idx="48">
                  <c:v>565.44513959726044</c:v>
                </c:pt>
                <c:pt idx="49">
                  <c:v>566.97960149009089</c:v>
                </c:pt>
                <c:pt idx="50">
                  <c:v>568.51087831578911</c:v>
                </c:pt>
                <c:pt idx="51">
                  <c:v>570.03897948424901</c:v>
                </c:pt>
                <c:pt idx="52">
                  <c:v>571.56391435627074</c:v>
                </c:pt>
                <c:pt idx="53">
                  <c:v>573.08569224389885</c:v>
                </c:pt>
                <c:pt idx="54">
                  <c:v>574.6043224107575</c:v>
                </c:pt>
                <c:pt idx="55">
                  <c:v>576.11981407238295</c:v>
                </c:pt>
                <c:pt idx="56">
                  <c:v>577.63217639655272</c:v>
                </c:pt>
                <c:pt idx="57">
                  <c:v>579.14141850361273</c:v>
                </c:pt>
                <c:pt idx="58">
                  <c:v>580.64754946680046</c:v>
                </c:pt>
                <c:pt idx="59">
                  <c:v>582.15057831256649</c:v>
                </c:pt>
                <c:pt idx="60">
                  <c:v>583.6505140208925</c:v>
                </c:pt>
                <c:pt idx="61">
                  <c:v>585.14736552560703</c:v>
                </c:pt>
                <c:pt idx="62">
                  <c:v>586.64114171469828</c:v>
                </c:pt>
                <c:pt idx="63">
                  <c:v>588.13185143062412</c:v>
                </c:pt>
                <c:pt idx="64">
                  <c:v>589.61950347061975</c:v>
                </c:pt>
                <c:pt idx="65">
                  <c:v>591.10410658700266</c:v>
                </c:pt>
                <c:pt idx="66">
                  <c:v>592.585669487475</c:v>
                </c:pt>
                <c:pt idx="67">
                  <c:v>594.06420083542309</c:v>
                </c:pt>
                <c:pt idx="68">
                  <c:v>595.53970925021508</c:v>
                </c:pt>
                <c:pt idx="69">
                  <c:v>597.01220330749527</c:v>
                </c:pt>
                <c:pt idx="70">
                  <c:v>598.48169153947663</c:v>
                </c:pt>
                <c:pt idx="71">
                  <c:v>599.94818243523036</c:v>
                </c:pt>
                <c:pt idx="72">
                  <c:v>601.41168444097343</c:v>
                </c:pt>
                <c:pt idx="73">
                  <c:v>602.87220596035343</c:v>
                </c:pt>
                <c:pt idx="74">
                  <c:v>604.32975535473099</c:v>
                </c:pt>
                <c:pt idx="75">
                  <c:v>605.78434094346017</c:v>
                </c:pt>
                <c:pt idx="76">
                  <c:v>607.23597100416623</c:v>
                </c:pt>
                <c:pt idx="77">
                  <c:v>608.68465377302118</c:v>
                </c:pt>
                <c:pt idx="78">
                  <c:v>610.1303974450168</c:v>
                </c:pt>
                <c:pt idx="79">
                  <c:v>611.57321017423601</c:v>
                </c:pt>
                <c:pt idx="80">
                  <c:v>613.01310007412121</c:v>
                </c:pt>
                <c:pt idx="81">
                  <c:v>614.45007521774107</c:v>
                </c:pt>
                <c:pt idx="82">
                  <c:v>615.88414363805452</c:v>
                </c:pt>
                <c:pt idx="83">
                  <c:v>617.31531332817315</c:v>
                </c:pt>
                <c:pt idx="84">
                  <c:v>618.74359224162106</c:v>
                </c:pt>
                <c:pt idx="85">
                  <c:v>620.16898829259253</c:v>
                </c:pt>
                <c:pt idx="86">
                  <c:v>621.59150935620801</c:v>
                </c:pt>
                <c:pt idx="87">
                  <c:v>623.0111632687674</c:v>
                </c:pt>
                <c:pt idx="88">
                  <c:v>624.42795782800181</c:v>
                </c:pt>
                <c:pt idx="89">
                  <c:v>625.84190079332302</c:v>
                </c:pt>
                <c:pt idx="90">
                  <c:v>627.25299988607094</c:v>
                </c:pt>
                <c:pt idx="91">
                  <c:v>628.66126278975878</c:v>
                </c:pt>
                <c:pt idx="92">
                  <c:v>630.06669715031683</c:v>
                </c:pt>
                <c:pt idx="93">
                  <c:v>631.46931057633356</c:v>
                </c:pt>
                <c:pt idx="94">
                  <c:v>632.86911063929551</c:v>
                </c:pt>
                <c:pt idx="95">
                  <c:v>634.26610487382459</c:v>
                </c:pt>
                <c:pt idx="96">
                  <c:v>635.66030077791379</c:v>
                </c:pt>
                <c:pt idx="97">
                  <c:v>637.05170581316088</c:v>
                </c:pt>
                <c:pt idx="98">
                  <c:v>638.4403274050004</c:v>
                </c:pt>
                <c:pt idx="99">
                  <c:v>639.82617294293357</c:v>
                </c:pt>
                <c:pt idx="100">
                  <c:v>641.20924978075629</c:v>
                </c:pt>
                <c:pt idx="101">
                  <c:v>654.8883064246296</c:v>
                </c:pt>
                <c:pt idx="102">
                  <c:v>668.29518584562084</c:v>
                </c:pt>
                <c:pt idx="103">
                  <c:v>681.4369102654988</c:v>
                </c:pt>
                <c:pt idx="104">
                  <c:v>694.32017301844894</c:v>
                </c:pt>
                <c:pt idx="105">
                  <c:v>706.95135849586541</c:v>
                </c:pt>
                <c:pt idx="106">
                  <c:v>719.33656058114059</c:v>
                </c:pt>
                <c:pt idx="107">
                  <c:v>731.48159971003008</c:v>
                </c:pt>
                <c:pt idx="108">
                  <c:v>743.39203867812012</c:v>
                </c:pt>
                <c:pt idx="109">
                  <c:v>755.07319730452218</c:v>
                </c:pt>
                <c:pt idx="110">
                  <c:v>766.53016604994252</c:v>
                </c:pt>
                <c:pt idx="111">
                  <c:v>777.76781867754846</c:v>
                </c:pt>
                <c:pt idx="112">
                  <c:v>788.79082403641416</c:v>
                </c:pt>
                <c:pt idx="113">
                  <c:v>799.60365703964408</c:v>
                </c:pt>
                <c:pt idx="114">
                  <c:v>810.21060890242518</c:v>
                </c:pt>
                <c:pt idx="115">
                  <c:v>820.61579669914533</c:v>
                </c:pt>
                <c:pt idx="116">
                  <c:v>830.82317229325099</c:v>
                </c:pt>
                <c:pt idx="117">
                  <c:v>840.83653068862282</c:v>
                </c:pt>
                <c:pt idx="118">
                  <c:v>850.65951784685899</c:v>
                </c:pt>
                <c:pt idx="119">
                  <c:v>860.29563801091285</c:v>
                </c:pt>
                <c:pt idx="120">
                  <c:v>869.74826057198595</c:v>
                </c:pt>
                <c:pt idx="121">
                  <c:v>879.02062651338156</c:v>
                </c:pt>
                <c:pt idx="122">
                  <c:v>888.11585446214428</c:v>
                </c:pt>
                <c:pt idx="123">
                  <c:v>897.03694637670628</c:v>
                </c:pt>
                <c:pt idx="124">
                  <c:v>905.7867928964082</c:v>
                </c:pt>
                <c:pt idx="125">
                  <c:v>914.36817837663011</c:v>
                </c:pt>
                <c:pt idx="126">
                  <c:v>922.78378563133606</c:v>
                </c:pt>
                <c:pt idx="127">
                  <c:v>931.03620040307953</c:v>
                </c:pt>
                <c:pt idx="128">
                  <c:v>939.12791557892479</c:v>
                </c:pt>
                <c:pt idx="129">
                  <c:v>947.0613351692848</c:v>
                </c:pt>
                <c:pt idx="130">
                  <c:v>954.83877806535861</c:v>
                </c:pt>
                <c:pt idx="131">
                  <c:v>962.46248158964181</c:v>
                </c:pt>
                <c:pt idx="132">
                  <c:v>969.93460485288688</c:v>
                </c:pt>
                <c:pt idx="133">
                  <c:v>977.25723192988255</c:v>
                </c:pt>
                <c:pt idx="134">
                  <c:v>984.43237486550208</c:v>
                </c:pt>
                <c:pt idx="135">
                  <c:v>991.46197652162948</c:v>
                </c:pt>
                <c:pt idx="136">
                  <c:v>998.34791327479911</c:v>
                </c:pt>
                <c:pt idx="137">
                  <c:v>1005.0919975736781</c:v>
                </c:pt>
                <c:pt idx="138">
                  <c:v>1011.6959803648698</c:v>
                </c:pt>
                <c:pt idx="139">
                  <c:v>1018.1615533949202</c:v>
                </c:pt>
                <c:pt idx="140">
                  <c:v>1024.4903513958591</c:v>
                </c:pt>
                <c:pt idx="141">
                  <c:v>1030.6839541611039</c:v>
                </c:pt>
                <c:pt idx="142">
                  <c:v>1036.7438885180875</c:v>
                </c:pt>
                <c:pt idx="143">
                  <c:v>1042.6716302035431</c:v>
                </c:pt>
                <c:pt idx="144">
                  <c:v>1048.4686056469832</c:v>
                </c:pt>
                <c:pt idx="145">
                  <c:v>1054.1361936675453</c:v>
                </c:pt>
                <c:pt idx="146">
                  <c:v>1059.6757270890419</c:v>
                </c:pt>
                <c:pt idx="147">
                  <c:v>1065.0884942777361</c:v>
                </c:pt>
                <c:pt idx="148">
                  <c:v>1070.3757406070858</c:v>
                </c:pt>
                <c:pt idx="149">
                  <c:v>1075.5386698534239</c:v>
                </c:pt>
                <c:pt idx="150">
                  <c:v>1080.5784455263081</c:v>
                </c:pt>
                <c:pt idx="151">
                  <c:v>1085.496192137038</c:v>
                </c:pt>
                <c:pt idx="152">
                  <c:v>1090.2929964086363</c:v>
                </c:pt>
                <c:pt idx="153">
                  <c:v>1094.9699084303936</c:v>
                </c:pt>
                <c:pt idx="154">
                  <c:v>1099.5279427599037</c:v>
                </c:pt>
                <c:pt idx="155">
                  <c:v>1103.968079475351</c:v>
                </c:pt>
                <c:pt idx="156">
                  <c:v>1108.2912651806644</c:v>
                </c:pt>
                <c:pt idx="157">
                  <c:v>1112.4984139660166</c:v>
                </c:pt>
                <c:pt idx="158">
                  <c:v>1116.5904083260243</c:v>
                </c:pt>
                <c:pt idx="159">
                  <c:v>1120.5681000378938</c:v>
                </c:pt>
                <c:pt idx="160">
                  <c:v>1124.432311001658</c:v>
                </c:pt>
                <c:pt idx="161">
                  <c:v>1128.1838340445643</c:v>
                </c:pt>
                <c:pt idx="162">
                  <c:v>1131.8234336915939</c:v>
                </c:pt>
                <c:pt idx="163">
                  <c:v>1135.3518469040362</c:v>
                </c:pt>
                <c:pt idx="164">
                  <c:v>1138.7697837879821</c:v>
                </c:pt>
                <c:pt idx="165">
                  <c:v>1142.0779282745702</c:v>
                </c:pt>
                <c:pt idx="166">
                  <c:v>1145.2769387737878</c:v>
                </c:pt>
                <c:pt idx="167">
                  <c:v>1148.3674488036224</c:v>
                </c:pt>
                <c:pt idx="168">
                  <c:v>1151.3500675963605</c:v>
                </c:pt>
                <c:pt idx="169">
                  <c:v>1154.2253806838569</c:v>
                </c:pt>
                <c:pt idx="170">
                  <c:v>1156.9939504636304</c:v>
                </c:pt>
                <c:pt idx="171">
                  <c:v>1159.6563167477091</c:v>
                </c:pt>
                <c:pt idx="172">
                  <c:v>1162.2129972962246</c:v>
                </c:pt>
                <c:pt idx="173">
                  <c:v>1164.6644883378669</c:v>
                </c:pt>
                <c:pt idx="174">
                  <c:v>1167.0112650794408</c:v>
                </c:pt>
                <c:pt idx="175">
                  <c:v>1169.2537822069319</c:v>
                </c:pt>
                <c:pt idx="176">
                  <c:v>1171.3924743806851</c:v>
                </c:pt>
                <c:pt idx="177">
                  <c:v>1173.427756727531</c:v>
                </c:pt>
                <c:pt idx="178">
                  <c:v>1175.3600253329564</c:v>
                </c:pt>
                <c:pt idx="179">
                  <c:v>1177.1896577367297</c:v>
                </c:pt>
                <c:pt idx="180">
                  <c:v>1178.9170134357166</c:v>
                </c:pt>
                <c:pt idx="181">
                  <c:v>1180.542434398003</c:v>
                </c:pt>
                <c:pt idx="182">
                  <c:v>1182.0662455928264</c:v>
                </c:pt>
                <c:pt idx="183">
                  <c:v>1183.4887555412233</c:v>
                </c:pt>
                <c:pt idx="184">
                  <c:v>1184.8102568926899</c:v>
                </c:pt>
                <c:pt idx="185">
                  <c:v>1186.0310270335058</c:v>
                </c:pt>
                <c:pt idx="186">
                  <c:v>1187.1513287326436</c:v>
                </c:pt>
                <c:pt idx="187">
                  <c:v>1188.1714108313329</c:v>
                </c:pt>
                <c:pt idx="188">
                  <c:v>1189.0915089823011</c:v>
                </c:pt>
                <c:pt idx="189">
                  <c:v>1189.9118464444084</c:v>
                </c:pt>
                <c:pt idx="190">
                  <c:v>1190.6326349377516</c:v>
                </c:pt>
                <c:pt idx="191">
                  <c:v>1191.2540755632692</c:v>
                </c:pt>
                <c:pt idx="192">
                  <c:v>1191.7763597893713</c:v>
                </c:pt>
                <c:pt idx="193">
                  <c:v>1192.1996705061306</c:v>
                </c:pt>
                <c:pt idx="194">
                  <c:v>1192.5241831451251</c:v>
                </c:pt>
                <c:pt idx="195">
                  <c:v>1192.7500668602081</c:v>
                </c:pt>
                <c:pt idx="196">
                  <c:v>1192.8774857614485</c:v>
                </c:pt>
                <c:pt idx="197">
                  <c:v>1192.9066001914607</c:v>
                </c:pt>
                <c:pt idx="198">
                  <c:v>1192.8375680305887</c:v>
                </c:pt>
                <c:pt idx="199">
                  <c:v>1192.6705460152034</c:v>
                </c:pt>
                <c:pt idx="200">
                  <c:v>1192.4056910519494</c:v>
                </c:pt>
                <c:pt idx="201">
                  <c:v>1192.0431615103162</c:v>
                </c:pt>
                <c:pt idx="202">
                  <c:v>1191.5831184764559</c:v>
                </c:pt>
                <c:pt idx="203">
                  <c:v>1191.0257269526617</c:v>
                </c:pt>
                <c:pt idx="204">
                  <c:v>1190.3711569891998</c:v>
                </c:pt>
                <c:pt idx="205">
                  <c:v>1189.6195847379886</c:v>
                </c:pt>
                <c:pt idx="206">
                  <c:v>1188.7711934206761</c:v>
                </c:pt>
                <c:pt idx="207">
                  <c:v>1187.826174206712</c:v>
                </c:pt>
                <c:pt idx="208">
                  <c:v>1186.7847269998153</c:v>
                </c:pt>
                <c:pt idx="209">
                  <c:v>1185.6470611336642</c:v>
                </c:pt>
                <c:pt idx="210">
                  <c:v>1184.4133959795777</c:v>
                </c:pt>
                <c:pt idx="211">
                  <c:v>1183.0839614704189</c:v>
                </c:pt>
                <c:pt idx="212">
                  <c:v>1181.6589985459332</c:v>
                </c:pt>
                <c:pt idx="213">
                  <c:v>1180.1387595253143</c:v>
                </c:pt>
                <c:pt idx="214">
                  <c:v>1178.5235084130379</c:v>
                </c:pt>
                <c:pt idx="215">
                  <c:v>1176.8135211439803</c:v>
                </c:pt>
                <c:pt idx="216">
                  <c:v>1175.0090857736438</c:v>
                </c:pt>
                <c:pt idx="217">
                  <c:v>1173.1105026189746</c:v>
                </c:pt>
                <c:pt idx="218">
                  <c:v>1171.1180843548634</c:v>
                </c:pt>
                <c:pt idx="219">
                  <c:v>1169.032156070976</c:v>
                </c:pt>
                <c:pt idx="220">
                  <c:v>1166.8530552931154</c:v>
                </c:pt>
                <c:pt idx="221">
                  <c:v>1164.5811319728855</c:v>
                </c:pt>
                <c:pt idx="222">
                  <c:v>1162.2167484490139</c:v>
                </c:pt>
                <c:pt idx="223">
                  <c:v>1159.7602793833171</c:v>
                </c:pt>
                <c:pt idx="224">
                  <c:v>1157.2121116739461</c:v>
                </c:pt>
                <c:pt idx="225">
                  <c:v>1154.5726443482492</c:v>
                </c:pt>
                <c:pt idx="226">
                  <c:v>1151.8422884373131</c:v>
                </c:pt>
                <c:pt idx="227">
                  <c:v>1149.0214668340068</c:v>
                </c:pt>
                <c:pt idx="228">
                  <c:v>1146.1106141361497</c:v>
                </c:pt>
                <c:pt idx="229">
                  <c:v>1143.1101764762343</c:v>
                </c:pt>
                <c:pt idx="230">
                  <c:v>1140.02061133899</c:v>
                </c:pt>
                <c:pt idx="231">
                  <c:v>1136.8423873679276</c:v>
                </c:pt>
                <c:pt idx="232">
                  <c:v>1133.575984161896</c:v>
                </c:pt>
                <c:pt idx="233">
                  <c:v>1130.2218920625769</c:v>
                </c:pt>
                <c:pt idx="234">
                  <c:v>1126.780611933757</c:v>
                </c:pt>
                <c:pt idx="235">
                  <c:v>1123.2526549331451</c:v>
                </c:pt>
                <c:pt idx="236">
                  <c:v>1119.6385422774331</c:v>
                </c:pt>
                <c:pt idx="237">
                  <c:v>1115.9388050012469</c:v>
                </c:pt>
                <c:pt idx="238">
                  <c:v>1112.1539837105815</c:v>
                </c:pt>
                <c:pt idx="239">
                  <c:v>1108.2846283312751</c:v>
                </c:pt>
                <c:pt idx="240">
                  <c:v>1104.3312978530391</c:v>
                </c:pt>
                <c:pt idx="241">
                  <c:v>1100.2945600695273</c:v>
                </c:pt>
                <c:pt idx="242">
                  <c:v>1096.1749913148999</c:v>
                </c:pt>
                <c:pt idx="243">
                  <c:v>1091.9731761973151</c:v>
                </c:pt>
                <c:pt idx="244">
                  <c:v>1087.6897073297523</c:v>
                </c:pt>
                <c:pt idx="245">
                  <c:v>1083.3251850585584</c:v>
                </c:pt>
                <c:pt idx="246">
                  <c:v>1078.8802171900829</c:v>
                </c:pt>
                <c:pt idx="247">
                  <c:v>1074.3554187157586</c:v>
                </c:pt>
                <c:pt idx="248">
                  <c:v>1069.7514115359613</c:v>
                </c:pt>
                <c:pt idx="249">
                  <c:v>1065.0688241829755</c:v>
                </c:pt>
                <c:pt idx="250">
                  <c:v>1060.3082915433745</c:v>
                </c:pt>
                <c:pt idx="251">
                  <c:v>1055.4704545801139</c:v>
                </c:pt>
                <c:pt idx="252">
                  <c:v>1050.5559600546253</c:v>
                </c:pt>
                <c:pt idx="253">
                  <c:v>1045.565460249185</c:v>
                </c:pt>
                <c:pt idx="254">
                  <c:v>1040.4996126898247</c:v>
                </c:pt>
                <c:pt idx="255">
                  <c:v>1035.3590798700379</c:v>
                </c:pt>
                <c:pt idx="256">
                  <c:v>1030.1445289755272</c:v>
                </c:pt>
                <c:pt idx="257">
                  <c:v>1024.856631610231</c:v>
                </c:pt>
                <c:pt idx="258">
                  <c:v>1019.4960635238532</c:v>
                </c:pt>
                <c:pt idx="259">
                  <c:v>1014.0635043411161</c:v>
                </c:pt>
                <c:pt idx="260">
                  <c:v>1008.5596372929447</c:v>
                </c:pt>
                <c:pt idx="261">
                  <c:v>1002.9851489497829</c:v>
                </c:pt>
                <c:pt idx="262">
                  <c:v>997.34072895723364</c:v>
                </c:pt>
                <c:pt idx="263">
                  <c:v>991.62706977420589</c:v>
                </c:pt>
                <c:pt idx="264">
                  <c:v>985.84486641374497</c:v>
                </c:pt>
                <c:pt idx="265">
                  <c:v>979.99481618671211</c:v>
                </c:pt>
                <c:pt idx="266">
                  <c:v>974.07761844847232</c:v>
                </c:pt>
                <c:pt idx="267">
                  <c:v>968.09397434874245</c:v>
                </c:pt>
                <c:pt idx="268">
                  <c:v>962.04458658474141</c:v>
                </c:pt>
                <c:pt idx="269">
                  <c:v>955.93015915777846</c:v>
                </c:pt>
                <c:pt idx="270">
                  <c:v>949.75139713340729</c:v>
                </c:pt>
                <c:pt idx="271">
                  <c:v>943.50900640526504</c:v>
                </c:pt>
                <c:pt idx="272">
                  <c:v>937.20369346270957</c:v>
                </c:pt>
                <c:pt idx="273">
                  <c:v>930.83616516235986</c:v>
                </c:pt>
                <c:pt idx="274">
                  <c:v>924.40712850363661</c:v>
                </c:pt>
                <c:pt idx="275">
                  <c:v>917.91729040839471</c:v>
                </c:pt>
                <c:pt idx="276">
                  <c:v>911.36735750473008</c:v>
                </c:pt>
                <c:pt idx="277">
                  <c:v>904.75803591503779</c:v>
                </c:pt>
                <c:pt idx="278">
                  <c:v>898.09003104839167</c:v>
                </c:pt>
                <c:pt idx="279">
                  <c:v>891.36404739730756</c:v>
                </c:pt>
                <c:pt idx="280">
                  <c:v>884.5807883389474</c:v>
                </c:pt>
                <c:pt idx="281">
                  <c:v>877.74095594081382</c:v>
                </c:pt>
                <c:pt idx="282">
                  <c:v>870.84525077097942</c:v>
                </c:pt>
                <c:pt idx="283">
                  <c:v>863.89437171288807</c:v>
                </c:pt>
                <c:pt idx="284">
                  <c:v>856.8890157847602</c:v>
                </c:pt>
                <c:pt idx="285">
                  <c:v>849.82987796362818</c:v>
                </c:pt>
                <c:pt idx="286">
                  <c:v>842.71765101402116</c:v>
                </c:pt>
                <c:pt idx="287">
                  <c:v>835.55302532131589</c:v>
                </c:pt>
                <c:pt idx="288">
                  <c:v>828.33668872976136</c:v>
                </c:pt>
                <c:pt idx="289">
                  <c:v>821.06932638518219</c:v>
                </c:pt>
                <c:pt idx="290">
                  <c:v>813.75162058236083</c:v>
                </c:pt>
                <c:pt idx="291">
                  <c:v>806.38425061709177</c:v>
                </c:pt>
                <c:pt idx="292">
                  <c:v>798.96789264289896</c:v>
                </c:pt>
                <c:pt idx="293">
                  <c:v>791.50321953240143</c:v>
                </c:pt>
                <c:pt idx="294">
                  <c:v>783.99090074330763</c:v>
                </c:pt>
                <c:pt idx="295">
                  <c:v>776.43160218901698</c:v>
                </c:pt>
                <c:pt idx="296">
                  <c:v>768.82598611380047</c:v>
                </c:pt>
                <c:pt idx="297">
                  <c:v>761.17471097253008</c:v>
                </c:pt>
                <c:pt idx="298">
                  <c:v>753.47843131492334</c:v>
                </c:pt>
                <c:pt idx="299">
                  <c:v>745.73779767426458</c:v>
                </c:pt>
                <c:pt idx="300">
                  <c:v>737.95345646056228</c:v>
                </c:pt>
                <c:pt idx="301">
                  <c:v>730.12604985809855</c:v>
                </c:pt>
                <c:pt idx="302">
                  <c:v>722.25621572732439</c:v>
                </c:pt>
                <c:pt idx="303">
                  <c:v>714.34458751104967</c:v>
                </c:pt>
                <c:pt idx="304">
                  <c:v>706.39179414487705</c:v>
                </c:pt>
                <c:pt idx="305">
                  <c:v>698.39845997182454</c:v>
                </c:pt>
                <c:pt idx="306">
                  <c:v>690.36520466107982</c:v>
                </c:pt>
                <c:pt idx="307">
                  <c:v>682.29264313082706</c:v>
                </c:pt>
                <c:pt idx="308">
                  <c:v>674.18138547508579</c:v>
                </c:pt>
                <c:pt idx="309">
                  <c:v>666.03203689449856</c:v>
                </c:pt>
                <c:pt idx="310">
                  <c:v>657.84519763100297</c:v>
                </c:pt>
                <c:pt idx="311">
                  <c:v>649.62146290632199</c:v>
                </c:pt>
                <c:pt idx="312">
                  <c:v>641.36142286420568</c:v>
                </c:pt>
                <c:pt idx="313">
                  <c:v>633.06566251635491</c:v>
                </c:pt>
                <c:pt idx="314">
                  <c:v>624.7347616919576</c:v>
                </c:pt>
                <c:pt idx="315">
                  <c:v>616.36929499076689</c:v>
                </c:pt>
                <c:pt idx="316">
                  <c:v>607.96983173964952</c:v>
                </c:pt>
                <c:pt idx="317">
                  <c:v>599.53693595253185</c:v>
                </c:pt>
                <c:pt idx="318">
                  <c:v>591.07116629367033</c:v>
                </c:pt>
                <c:pt idx="319">
                  <c:v>582.5730760441736</c:v>
                </c:pt>
                <c:pt idx="320">
                  <c:v>574.04321307170119</c:v>
                </c:pt>
                <c:pt idx="321">
                  <c:v>565.48211980326528</c:v>
                </c:pt>
                <c:pt idx="322">
                  <c:v>556.89033320106091</c:v>
                </c:pt>
                <c:pt idx="323">
                  <c:v>548.26838474124929</c:v>
                </c:pt>
                <c:pt idx="324">
                  <c:v>539.616800395621</c:v>
                </c:pt>
                <c:pt idx="325">
                  <c:v>530.9361006160625</c:v>
                </c:pt>
                <c:pt idx="326">
                  <c:v>522.22680032175333</c:v>
                </c:pt>
                <c:pt idx="327">
                  <c:v>513.4894088890187</c:v>
                </c:pt>
                <c:pt idx="328">
                  <c:v>504.72443014376347</c:v>
                </c:pt>
                <c:pt idx="329">
                  <c:v>495.93236235641467</c:v>
                </c:pt>
                <c:pt idx="330">
                  <c:v>487.11369823929857</c:v>
                </c:pt>
                <c:pt idx="331">
                  <c:v>478.26892494638025</c:v>
                </c:pt>
                <c:pt idx="332">
                  <c:v>469.39852407529332</c:v>
                </c:pt>
                <c:pt idx="333">
                  <c:v>460.50297167158828</c:v>
                </c:pt>
                <c:pt idx="334">
                  <c:v>451.58273823512894</c:v>
                </c:pt>
                <c:pt idx="335">
                  <c:v>442.63828872856652</c:v>
                </c:pt>
                <c:pt idx="336">
                  <c:v>433.67008258782238</c:v>
                </c:pt>
                <c:pt idx="337">
                  <c:v>424.67857373451085</c:v>
                </c:pt>
                <c:pt idx="338">
                  <c:v>415.66421059023457</c:v>
                </c:pt>
                <c:pt idx="339">
                  <c:v>406.6274360926854</c:v>
                </c:pt>
                <c:pt idx="340">
                  <c:v>397.56868771348525</c:v>
                </c:pt>
                <c:pt idx="341">
                  <c:v>388.48839747770222</c:v>
                </c:pt>
                <c:pt idx="342">
                  <c:v>379.38699198497767</c:v>
                </c:pt>
                <c:pt idx="343">
                  <c:v>370.26489243220198</c:v>
                </c:pt>
                <c:pt idx="344">
                  <c:v>361.12251463767672</c:v>
                </c:pt>
                <c:pt idx="345">
                  <c:v>351.96026906670289</c:v>
                </c:pt>
                <c:pt idx="346">
                  <c:v>342.77856085853557</c:v>
                </c:pt>
                <c:pt idx="347">
                  <c:v>333.57778985464586</c:v>
                </c:pt>
                <c:pt idx="348">
                  <c:v>324.35835062823372</c:v>
                </c:pt>
                <c:pt idx="349">
                  <c:v>315.12063251493453</c:v>
                </c:pt>
                <c:pt idx="350">
                  <c:v>305.86501964466459</c:v>
                </c:pt>
                <c:pt idx="351">
                  <c:v>296.59189097455169</c:v>
                </c:pt>
                <c:pt idx="352">
                  <c:v>287.30162032289758</c:v>
                </c:pt>
                <c:pt idx="353">
                  <c:v>277.99457640412089</c:v>
                </c:pt>
                <c:pt idx="354">
                  <c:v>268.67112286462987</c:v>
                </c:pt>
                <c:pt idx="355">
                  <c:v>259.33161831957568</c:v>
                </c:pt>
                <c:pt idx="356">
                  <c:v>249.97641639043798</c:v>
                </c:pt>
                <c:pt idx="357">
                  <c:v>240.60586574339555</c:v>
                </c:pt>
                <c:pt idx="358">
                  <c:v>231.22031012843672</c:v>
                </c:pt>
                <c:pt idx="359">
                  <c:v>221.82008841916411</c:v>
                </c:pt>
                <c:pt idx="360">
                  <c:v>212.40553465325058</c:v>
                </c:pt>
                <c:pt idx="361">
                  <c:v>202.97697807350397</c:v>
                </c:pt>
                <c:pt idx="362">
                  <c:v>193.53474316949905</c:v>
                </c:pt>
                <c:pt idx="363">
                  <c:v>184.07914971973685</c:v>
                </c:pt>
                <c:pt idx="364">
                  <c:v>174.61051283429205</c:v>
                </c:pt>
                <c:pt idx="365">
                  <c:v>165.12914299791078</c:v>
                </c:pt>
                <c:pt idx="366">
                  <c:v>155.63534611352159</c:v>
                </c:pt>
                <c:pt idx="367">
                  <c:v>146.12942354612437</c:v>
                </c:pt>
                <c:pt idx="368">
                  <c:v>136.61167216702205</c:v>
                </c:pt>
                <c:pt idx="369">
                  <c:v>127.08238439836165</c:v>
                </c:pt>
                <c:pt idx="370">
                  <c:v>117.54184825795227</c:v>
                </c:pt>
                <c:pt idx="371">
                  <c:v>107.99034740432809</c:v>
                </c:pt>
                <c:pt idx="372">
                  <c:v>98.428161182026258</c:v>
                </c:pt>
                <c:pt idx="373">
                  <c:v>88.855564667049734</c:v>
                </c:pt>
                <c:pt idx="374">
                  <c:v>79.272828712486884</c:v>
                </c:pt>
                <c:pt idx="375">
                  <c:v>69.680219994259986</c:v>
                </c:pt>
                <c:pt idx="376">
                  <c:v>60.078001056976142</c:v>
                </c:pt>
                <c:pt idx="377">
                  <c:v>50.46643035985484</c:v>
                </c:pt>
                <c:pt idx="378">
                  <c:v>40.845762322707415</c:v>
                </c:pt>
                <c:pt idx="379">
                  <c:v>31.216247371944455</c:v>
                </c:pt>
                <c:pt idx="380">
                  <c:v>21.578131986588218</c:v>
                </c:pt>
                <c:pt idx="381">
                  <c:v>11.931658744267859</c:v>
                </c:pt>
                <c:pt idx="382">
                  <c:v>2.2770663671762055</c:v>
                </c:pt>
                <c:pt idx="383">
                  <c:v>-7.3854102320324149</c:v>
                </c:pt>
                <c:pt idx="384">
                  <c:v>-7.395076596257061</c:v>
                </c:pt>
                <c:pt idx="385">
                  <c:v>-7.4047429680200283</c:v>
                </c:pt>
                <c:pt idx="386">
                  <c:v>-7.4144093473210919</c:v>
                </c:pt>
                <c:pt idx="387">
                  <c:v>-7.4240757341600263</c:v>
                </c:pt>
                <c:pt idx="388">
                  <c:v>-7.4337421285366059</c:v>
                </c:pt>
                <c:pt idx="389">
                  <c:v>-7.4434085304506059</c:v>
                </c:pt>
                <c:pt idx="390">
                  <c:v>-7.4530749399018008</c:v>
                </c:pt>
                <c:pt idx="391">
                  <c:v>-7.462741356889965</c:v>
                </c:pt>
                <c:pt idx="392">
                  <c:v>-7.4724077814148728</c:v>
                </c:pt>
                <c:pt idx="393">
                  <c:v>-7.4820742134762996</c:v>
                </c:pt>
                <c:pt idx="394">
                  <c:v>-7.4917406530740207</c:v>
                </c:pt>
                <c:pt idx="395">
                  <c:v>-7.5014071002078104</c:v>
                </c:pt>
                <c:pt idx="396">
                  <c:v>-7.5110735548774432</c:v>
                </c:pt>
                <c:pt idx="397">
                  <c:v>-7.5207400170826935</c:v>
                </c:pt>
                <c:pt idx="398">
                  <c:v>-7.5304064868233365</c:v>
                </c:pt>
                <c:pt idx="399">
                  <c:v>-7.5400729640991466</c:v>
                </c:pt>
                <c:pt idx="400">
                  <c:v>-7.5497394489098992</c:v>
                </c:pt>
                <c:pt idx="401">
                  <c:v>-7.5594059412553687</c:v>
                </c:pt>
                <c:pt idx="402">
                  <c:v>-7.5690724411353294</c:v>
                </c:pt>
                <c:pt idx="403">
                  <c:v>-7.5787389485495567</c:v>
                </c:pt>
                <c:pt idx="404">
                  <c:v>-7.5884054634978249</c:v>
                </c:pt>
                <c:pt idx="405">
                  <c:v>-7.5980719859799093</c:v>
                </c:pt>
                <c:pt idx="406">
                  <c:v>-7.6077385159955844</c:v>
                </c:pt>
                <c:pt idx="407">
                  <c:v>-7.6174050535446254</c:v>
                </c:pt>
                <c:pt idx="408">
                  <c:v>-7.6270715986268058</c:v>
                </c:pt>
                <c:pt idx="409">
                  <c:v>-7.6367381512419019</c:v>
                </c:pt>
                <c:pt idx="410">
                  <c:v>-7.6464047113896871</c:v>
                </c:pt>
                <c:pt idx="411">
                  <c:v>-7.6560712790699377</c:v>
                </c:pt>
                <c:pt idx="412">
                  <c:v>-7.665737854282427</c:v>
                </c:pt>
                <c:pt idx="413">
                  <c:v>-7.6754044370269305</c:v>
                </c:pt>
                <c:pt idx="414">
                  <c:v>-7.6850710273032234</c:v>
                </c:pt>
                <c:pt idx="415">
                  <c:v>-7.6947376251110802</c:v>
                </c:pt>
                <c:pt idx="416">
                  <c:v>-7.7044042304502751</c:v>
                </c:pt>
                <c:pt idx="417">
                  <c:v>-7.7140708433205836</c:v>
                </c:pt>
                <c:pt idx="418">
                  <c:v>-7.7237374637217808</c:v>
                </c:pt>
                <c:pt idx="419">
                  <c:v>-7.7334040916536404</c:v>
                </c:pt>
                <c:pt idx="420">
                  <c:v>-7.7430707271159385</c:v>
                </c:pt>
                <c:pt idx="421">
                  <c:v>-7.7527373701084485</c:v>
                </c:pt>
                <c:pt idx="422">
                  <c:v>-7.7624040206309468</c:v>
                </c:pt>
                <c:pt idx="423">
                  <c:v>-7.7720706786832068</c:v>
                </c:pt>
                <c:pt idx="424">
                  <c:v>-7.7817373442650046</c:v>
                </c:pt>
                <c:pt idx="425">
                  <c:v>-7.7914040173761139</c:v>
                </c:pt>
                <c:pt idx="426">
                  <c:v>-7.8010706980163098</c:v>
                </c:pt>
                <c:pt idx="427">
                  <c:v>-7.8107373861853677</c:v>
                </c:pt>
                <c:pt idx="428">
                  <c:v>-7.820404081883062</c:v>
                </c:pt>
                <c:pt idx="429">
                  <c:v>-7.830070785109168</c:v>
                </c:pt>
                <c:pt idx="430">
                  <c:v>-7.83973749586346</c:v>
                </c:pt>
                <c:pt idx="431">
                  <c:v>-7.8494042141457134</c:v>
                </c:pt>
                <c:pt idx="432">
                  <c:v>-7.8590709399557026</c:v>
                </c:pt>
                <c:pt idx="433">
                  <c:v>-7.8687376732932028</c:v>
                </c:pt>
                <c:pt idx="434">
                  <c:v>-7.8784044141579885</c:v>
                </c:pt>
                <c:pt idx="435">
                  <c:v>-7.888071162549835</c:v>
                </c:pt>
                <c:pt idx="436">
                  <c:v>-7.8977379184685175</c:v>
                </c:pt>
                <c:pt idx="437">
                  <c:v>-7.9074046819138104</c:v>
                </c:pt>
                <c:pt idx="438">
                  <c:v>-7.9170714528854882</c:v>
                </c:pt>
                <c:pt idx="439">
                  <c:v>-7.9267382313833261</c:v>
                </c:pt>
                <c:pt idx="440">
                  <c:v>-7.9364050174070995</c:v>
                </c:pt>
                <c:pt idx="441">
                  <c:v>-7.9460718109565827</c:v>
                </c:pt>
                <c:pt idx="442">
                  <c:v>-7.9557386120315501</c:v>
                </c:pt>
                <c:pt idx="443">
                  <c:v>-7.9654054206317779</c:v>
                </c:pt>
                <c:pt idx="444">
                  <c:v>-7.9750722367570406</c:v>
                </c:pt>
                <c:pt idx="445">
                  <c:v>-7.9847390604071125</c:v>
                </c:pt>
                <c:pt idx="446">
                  <c:v>-7.9944058915817688</c:v>
                </c:pt>
                <c:pt idx="447">
                  <c:v>-8.0040727302807841</c:v>
                </c:pt>
                <c:pt idx="448">
                  <c:v>-8.0137395765039336</c:v>
                </c:pt>
                <c:pt idx="449">
                  <c:v>-8.0234064302509935</c:v>
                </c:pt>
                <c:pt idx="450">
                  <c:v>-8.0330732915217364</c:v>
                </c:pt>
                <c:pt idx="451">
                  <c:v>-8.0427401603159385</c:v>
                </c:pt>
                <c:pt idx="452">
                  <c:v>-8.052407036633376</c:v>
                </c:pt>
                <c:pt idx="453">
                  <c:v>-8.0620739204738214</c:v>
                </c:pt>
                <c:pt idx="454">
                  <c:v>-8.0717408118370511</c:v>
                </c:pt>
                <c:pt idx="455">
                  <c:v>-8.0814077107228393</c:v>
                </c:pt>
                <c:pt idx="456">
                  <c:v>-8.0910746171309622</c:v>
                </c:pt>
                <c:pt idx="457">
                  <c:v>-8.1007415310611925</c:v>
                </c:pt>
                <c:pt idx="458">
                  <c:v>-8.1104084525133082</c:v>
                </c:pt>
                <c:pt idx="459">
                  <c:v>-8.1200753814870819</c:v>
                </c:pt>
                <c:pt idx="460">
                  <c:v>-8.1297423179822896</c:v>
                </c:pt>
                <c:pt idx="461">
                  <c:v>-8.139409261998706</c:v>
                </c:pt>
                <c:pt idx="462">
                  <c:v>-8.1490762135361052</c:v>
                </c:pt>
                <c:pt idx="463">
                  <c:v>-8.1587431725942636</c:v>
                </c:pt>
                <c:pt idx="464">
                  <c:v>-8.1684101391729556</c:v>
                </c:pt>
                <c:pt idx="465">
                  <c:v>-8.1780771132719554</c:v>
                </c:pt>
                <c:pt idx="466">
                  <c:v>-8.1877440948910394</c:v>
                </c:pt>
                <c:pt idx="467">
                  <c:v>-8.1974110840299819</c:v>
                </c:pt>
                <c:pt idx="468">
                  <c:v>-8.2070780806885573</c:v>
                </c:pt>
                <c:pt idx="469">
                  <c:v>-8.2167450848665418</c:v>
                </c:pt>
                <c:pt idx="470">
                  <c:v>-8.2264120965637098</c:v>
                </c:pt>
                <c:pt idx="471">
                  <c:v>-8.2360791157798374</c:v>
                </c:pt>
                <c:pt idx="472">
                  <c:v>-8.2457461425146974</c:v>
                </c:pt>
                <c:pt idx="473">
                  <c:v>-8.2554131767680659</c:v>
                </c:pt>
                <c:pt idx="474">
                  <c:v>-8.265080218539719</c:v>
                </c:pt>
                <c:pt idx="475">
                  <c:v>-8.2747472678294294</c:v>
                </c:pt>
                <c:pt idx="476">
                  <c:v>-8.284414324636975</c:v>
                </c:pt>
                <c:pt idx="477">
                  <c:v>-8.2940813889621285</c:v>
                </c:pt>
                <c:pt idx="478">
                  <c:v>-8.3037484608046661</c:v>
                </c:pt>
                <c:pt idx="479">
                  <c:v>-8.3134155401643621</c:v>
                </c:pt>
                <c:pt idx="480">
                  <c:v>-8.3230826270409928</c:v>
                </c:pt>
                <c:pt idx="481">
                  <c:v>-8.3327497214343307</c:v>
                </c:pt>
                <c:pt idx="482">
                  <c:v>-8.3424168233441538</c:v>
                </c:pt>
                <c:pt idx="483">
                  <c:v>-8.3520839327702348</c:v>
                </c:pt>
                <c:pt idx="484">
                  <c:v>-8.3617510497123497</c:v>
                </c:pt>
                <c:pt idx="485">
                  <c:v>-8.3714181741702749</c:v>
                </c:pt>
                <c:pt idx="486">
                  <c:v>-8.3810853061437829</c:v>
                </c:pt>
                <c:pt idx="487">
                  <c:v>-8.3907524456326499</c:v>
                </c:pt>
                <c:pt idx="488">
                  <c:v>-8.4004195926366521</c:v>
                </c:pt>
                <c:pt idx="489">
                  <c:v>-8.4100867471555638</c:v>
                </c:pt>
                <c:pt idx="490">
                  <c:v>-8.4197539091891596</c:v>
                </c:pt>
                <c:pt idx="491">
                  <c:v>-8.4294210787372155</c:v>
                </c:pt>
                <c:pt idx="492">
                  <c:v>-8.4390882557995042</c:v>
                </c:pt>
                <c:pt idx="493">
                  <c:v>-8.4487554403758036</c:v>
                </c:pt>
                <c:pt idx="494">
                  <c:v>-8.4584226324658882</c:v>
                </c:pt>
                <c:pt idx="495">
                  <c:v>-8.4680898320695324</c:v>
                </c:pt>
                <c:pt idx="496">
                  <c:v>-8.4777570391865105</c:v>
                </c:pt>
                <c:pt idx="497">
                  <c:v>-8.4874242538165987</c:v>
                </c:pt>
                <c:pt idx="498">
                  <c:v>-8.4970914759595733</c:v>
                </c:pt>
                <c:pt idx="499">
                  <c:v>-8.5067587056152068</c:v>
                </c:pt>
                <c:pt idx="500">
                  <c:v>-8.5164259427832754</c:v>
                </c:pt>
                <c:pt idx="501">
                  <c:v>-8.5260931874635553</c:v>
                </c:pt>
                <c:pt idx="502">
                  <c:v>-8.5357604396558209</c:v>
                </c:pt>
                <c:pt idx="503">
                  <c:v>-8.5454276993598466</c:v>
                </c:pt>
                <c:pt idx="504">
                  <c:v>-8.5550949665754086</c:v>
                </c:pt>
                <c:pt idx="505">
                  <c:v>-8.5647622413022813</c:v>
                </c:pt>
                <c:pt idx="506">
                  <c:v>-8.5744295235402408</c:v>
                </c:pt>
                <c:pt idx="507">
                  <c:v>-8.5840968132890616</c:v>
                </c:pt>
                <c:pt idx="508">
                  <c:v>-8.5937641105485181</c:v>
                </c:pt>
                <c:pt idx="509">
                  <c:v>-8.6034314153183864</c:v>
                </c:pt>
                <c:pt idx="510">
                  <c:v>-8.613098727598441</c:v>
                </c:pt>
                <c:pt idx="511">
                  <c:v>-8.622766047388458</c:v>
                </c:pt>
                <c:pt idx="512">
                  <c:v>-8.6324333746882118</c:v>
                </c:pt>
                <c:pt idx="513">
                  <c:v>-8.6421007094974769</c:v>
                </c:pt>
                <c:pt idx="514">
                  <c:v>-8.6517680518160294</c:v>
                </c:pt>
                <c:pt idx="515">
                  <c:v>-8.6614354016436437</c:v>
                </c:pt>
                <c:pt idx="516">
                  <c:v>-8.671102758980096</c:v>
                </c:pt>
                <c:pt idx="517">
                  <c:v>-8.6807701238251607</c:v>
                </c:pt>
                <c:pt idx="518">
                  <c:v>-8.6904374961786139</c:v>
                </c:pt>
                <c:pt idx="519">
                  <c:v>-8.7001048760402302</c:v>
                </c:pt>
                <c:pt idx="520">
                  <c:v>-8.7097722634097856</c:v>
                </c:pt>
                <c:pt idx="521">
                  <c:v>-8.7194396582870546</c:v>
                </c:pt>
                <c:pt idx="522">
                  <c:v>-8.7291070606718115</c:v>
                </c:pt>
                <c:pt idx="523">
                  <c:v>-8.7387744705638326</c:v>
                </c:pt>
                <c:pt idx="524">
                  <c:v>-8.7484418879628922</c:v>
                </c:pt>
                <c:pt idx="525">
                  <c:v>-8.7581093128687666</c:v>
                </c:pt>
                <c:pt idx="526">
                  <c:v>-8.7677767452812301</c:v>
                </c:pt>
                <c:pt idx="527">
                  <c:v>-8.7774441852000589</c:v>
                </c:pt>
                <c:pt idx="528">
                  <c:v>-8.7871116326250274</c:v>
                </c:pt>
                <c:pt idx="529">
                  <c:v>-8.7967790875559118</c:v>
                </c:pt>
                <c:pt idx="530">
                  <c:v>-8.8064465499924864</c:v>
                </c:pt>
                <c:pt idx="531">
                  <c:v>-8.8161140199345258</c:v>
                </c:pt>
                <c:pt idx="532">
                  <c:v>-8.8257814973818061</c:v>
                </c:pt>
                <c:pt idx="533">
                  <c:v>-8.8354489823341016</c:v>
                </c:pt>
                <c:pt idx="534">
                  <c:v>-8.8451164747911886</c:v>
                </c:pt>
                <c:pt idx="535">
                  <c:v>-8.8547839747528432</c:v>
                </c:pt>
                <c:pt idx="536">
                  <c:v>-8.8644514822188398</c:v>
                </c:pt>
                <c:pt idx="537">
                  <c:v>-8.8741189971889529</c:v>
                </c:pt>
                <c:pt idx="538">
                  <c:v>-8.8837865196629586</c:v>
                </c:pt>
                <c:pt idx="539">
                  <c:v>-8.8934540496406314</c:v>
                </c:pt>
                <c:pt idx="540">
                  <c:v>-8.9031215871217473</c:v>
                </c:pt>
                <c:pt idx="541">
                  <c:v>-8.9127891321060808</c:v>
                </c:pt>
                <c:pt idx="542">
                  <c:v>-8.9224566845934081</c:v>
                </c:pt>
                <c:pt idx="543">
                  <c:v>-8.9321242445835036</c:v>
                </c:pt>
                <c:pt idx="544">
                  <c:v>-8.9417918120761435</c:v>
                </c:pt>
                <c:pt idx="545">
                  <c:v>-8.9514593870711021</c:v>
                </c:pt>
                <c:pt idx="546">
                  <c:v>-8.9611269695681539</c:v>
                </c:pt>
                <c:pt idx="547">
                  <c:v>-8.9707945595670768</c:v>
                </c:pt>
                <c:pt idx="548">
                  <c:v>-8.9804621570676435</c:v>
                </c:pt>
                <c:pt idx="549">
                  <c:v>-8.9901297620696301</c:v>
                </c:pt>
                <c:pt idx="550">
                  <c:v>-8.9997973745728128</c:v>
                </c:pt>
                <c:pt idx="551">
                  <c:v>-9.009464994576966</c:v>
                </c:pt>
                <c:pt idx="552">
                  <c:v>-9.0191326220818659</c:v>
                </c:pt>
                <c:pt idx="553">
                  <c:v>-9.028800257087287</c:v>
                </c:pt>
                <c:pt idx="554">
                  <c:v>-9.0384678995930052</c:v>
                </c:pt>
                <c:pt idx="555">
                  <c:v>-9.0481355495987952</c:v>
                </c:pt>
                <c:pt idx="556">
                  <c:v>-9.057803207104433</c:v>
                </c:pt>
                <c:pt idx="557">
                  <c:v>-9.067470872109693</c:v>
                </c:pt>
                <c:pt idx="558">
                  <c:v>-9.0771385446143515</c:v>
                </c:pt>
                <c:pt idx="559">
                  <c:v>-9.0868062246181829</c:v>
                </c:pt>
                <c:pt idx="560">
                  <c:v>-9.0964739121209632</c:v>
                </c:pt>
                <c:pt idx="561">
                  <c:v>-9.106141607122467</c:v>
                </c:pt>
                <c:pt idx="562">
                  <c:v>-9.1158093096224704</c:v>
                </c:pt>
                <c:pt idx="563">
                  <c:v>-9.1254770196207478</c:v>
                </c:pt>
                <c:pt idx="564">
                  <c:v>-9.1351447371170753</c:v>
                </c:pt>
                <c:pt idx="565">
                  <c:v>-9.1448124621112292</c:v>
                </c:pt>
                <c:pt idx="566">
                  <c:v>-9.1544801946029839</c:v>
                </c:pt>
                <c:pt idx="567">
                  <c:v>-9.1641479345921137</c:v>
                </c:pt>
                <c:pt idx="568">
                  <c:v>-9.1738156820783949</c:v>
                </c:pt>
                <c:pt idx="569">
                  <c:v>-9.1834834370616036</c:v>
                </c:pt>
                <c:pt idx="570">
                  <c:v>-9.1931511995415143</c:v>
                </c:pt>
                <c:pt idx="571">
                  <c:v>-9.202818969517903</c:v>
                </c:pt>
                <c:pt idx="572">
                  <c:v>-9.2124867469905443</c:v>
                </c:pt>
                <c:pt idx="573">
                  <c:v>-9.2221545319592124</c:v>
                </c:pt>
                <c:pt idx="574">
                  <c:v>-9.2318223244236854</c:v>
                </c:pt>
                <c:pt idx="575">
                  <c:v>-9.2414901243837377</c:v>
                </c:pt>
                <c:pt idx="576">
                  <c:v>-9.2511579318391437</c:v>
                </c:pt>
                <c:pt idx="577">
                  <c:v>-9.2608257467896795</c:v>
                </c:pt>
                <c:pt idx="578">
                  <c:v>-9.2704935692351214</c:v>
                </c:pt>
                <c:pt idx="579">
                  <c:v>-9.2801613991752436</c:v>
                </c:pt>
                <c:pt idx="580">
                  <c:v>-9.2898292366098207</c:v>
                </c:pt>
                <c:pt idx="581">
                  <c:v>-9.2994970815386306</c:v>
                </c:pt>
                <c:pt idx="582">
                  <c:v>-9.309164933961446</c:v>
                </c:pt>
                <c:pt idx="583">
                  <c:v>-9.3188327938780446</c:v>
                </c:pt>
                <c:pt idx="584">
                  <c:v>-9.3285006612882011</c:v>
                </c:pt>
                <c:pt idx="585">
                  <c:v>-9.3381685361916897</c:v>
                </c:pt>
                <c:pt idx="586">
                  <c:v>-9.3478364185882867</c:v>
                </c:pt>
                <c:pt idx="587">
                  <c:v>-9.3575043084777683</c:v>
                </c:pt>
                <c:pt idx="588">
                  <c:v>-9.3671722058599087</c:v>
                </c:pt>
                <c:pt idx="589">
                  <c:v>-9.3768401107344843</c:v>
                </c:pt>
                <c:pt idx="590">
                  <c:v>-9.3865080231012694</c:v>
                </c:pt>
                <c:pt idx="591">
                  <c:v>-9.3961759429600402</c:v>
                </c:pt>
                <c:pt idx="592">
                  <c:v>-9.4058438703105729</c:v>
                </c:pt>
                <c:pt idx="593">
                  <c:v>-9.4155118051526419</c:v>
                </c:pt>
                <c:pt idx="594">
                  <c:v>-9.4251797474860233</c:v>
                </c:pt>
                <c:pt idx="595">
                  <c:v>-9.4348476973104916</c:v>
                </c:pt>
                <c:pt idx="596">
                  <c:v>-9.4445156546258229</c:v>
                </c:pt>
                <c:pt idx="597">
                  <c:v>-9.4541836194317916</c:v>
                </c:pt>
                <c:pt idx="598">
                  <c:v>-9.463851591728174</c:v>
                </c:pt>
                <c:pt idx="599">
                  <c:v>-9.4735195715147462</c:v>
                </c:pt>
                <c:pt idx="600">
                  <c:v>-9.4831875587912826</c:v>
                </c:pt>
                <c:pt idx="601">
                  <c:v>-9.4928555535575594</c:v>
                </c:pt>
                <c:pt idx="602">
                  <c:v>-9.5025235558133527</c:v>
                </c:pt>
                <c:pt idx="603">
                  <c:v>-9.512191565558437</c:v>
                </c:pt>
                <c:pt idx="604">
                  <c:v>-9.5218595827925885</c:v>
                </c:pt>
                <c:pt idx="605">
                  <c:v>-9.5315276075155815</c:v>
                </c:pt>
                <c:pt idx="606">
                  <c:v>-9.5411956397271922</c:v>
                </c:pt>
                <c:pt idx="607">
                  <c:v>-9.5508636794271968</c:v>
                </c:pt>
                <c:pt idx="608">
                  <c:v>-9.5605317266153698</c:v>
                </c:pt>
                <c:pt idx="609">
                  <c:v>-9.5701997812914872</c:v>
                </c:pt>
                <c:pt idx="610">
                  <c:v>-9.5798678434553235</c:v>
                </c:pt>
                <c:pt idx="611">
                  <c:v>-9.5895359131066549</c:v>
                </c:pt>
                <c:pt idx="612">
                  <c:v>-9.5992039902452575</c:v>
                </c:pt>
                <c:pt idx="613">
                  <c:v>-9.6088720748709058</c:v>
                </c:pt>
                <c:pt idx="614">
                  <c:v>-9.6185401669833759</c:v>
                </c:pt>
                <c:pt idx="615">
                  <c:v>-9.628208266582444</c:v>
                </c:pt>
                <c:pt idx="616">
                  <c:v>-9.6378763736678845</c:v>
                </c:pt>
                <c:pt idx="617">
                  <c:v>-9.6475444882394736</c:v>
                </c:pt>
                <c:pt idx="618">
                  <c:v>-9.6572126102969875</c:v>
                </c:pt>
                <c:pt idx="619">
                  <c:v>-9.6668807398402006</c:v>
                </c:pt>
                <c:pt idx="620">
                  <c:v>-9.676548876868889</c:v>
                </c:pt>
                <c:pt idx="621">
                  <c:v>-9.6862170213828271</c:v>
                </c:pt>
                <c:pt idx="622">
                  <c:v>-9.6958851733817912</c:v>
                </c:pt>
                <c:pt idx="623">
                  <c:v>-9.7055533328655574</c:v>
                </c:pt>
                <c:pt idx="624">
                  <c:v>-9.7152214998339002</c:v>
                </c:pt>
                <c:pt idx="625">
                  <c:v>-9.7248896742865956</c:v>
                </c:pt>
                <c:pt idx="626">
                  <c:v>-9.7345578562234198</c:v>
                </c:pt>
                <c:pt idx="627">
                  <c:v>-9.7442260456441492</c:v>
                </c:pt>
                <c:pt idx="628">
                  <c:v>-9.753894242548558</c:v>
                </c:pt>
                <c:pt idx="629">
                  <c:v>-9.7635624469364206</c:v>
                </c:pt>
                <c:pt idx="630">
                  <c:v>-9.7732306588075151</c:v>
                </c:pt>
                <c:pt idx="631">
                  <c:v>-9.7828988781616157</c:v>
                </c:pt>
                <c:pt idx="632">
                  <c:v>-9.792567104998497</c:v>
                </c:pt>
                <c:pt idx="633">
                  <c:v>-9.8022353393179369</c:v>
                </c:pt>
                <c:pt idx="634">
                  <c:v>-9.8119035811197097</c:v>
                </c:pt>
                <c:pt idx="635">
                  <c:v>-9.8215718304035899</c:v>
                </c:pt>
                <c:pt idx="636">
                  <c:v>-9.8312400871693555</c:v>
                </c:pt>
                <c:pt idx="637">
                  <c:v>-9.8409083514167808</c:v>
                </c:pt>
                <c:pt idx="638">
                  <c:v>-9.850576623145642</c:v>
                </c:pt>
                <c:pt idx="639">
                  <c:v>-9.8602449023557135</c:v>
                </c:pt>
                <c:pt idx="640">
                  <c:v>-9.8699131890467715</c:v>
                </c:pt>
                <c:pt idx="641">
                  <c:v>-9.8795814832185922</c:v>
                </c:pt>
                <c:pt idx="642">
                  <c:v>-9.88924978487095</c:v>
                </c:pt>
                <c:pt idx="643">
                  <c:v>-9.8989180940036228</c:v>
                </c:pt>
                <c:pt idx="644">
                  <c:v>-9.908586410616385</c:v>
                </c:pt>
                <c:pt idx="645">
                  <c:v>-9.9182547347090111</c:v>
                </c:pt>
                <c:pt idx="646">
                  <c:v>-9.9279230662812772</c:v>
                </c:pt>
                <c:pt idx="647">
                  <c:v>-9.9375914053329595</c:v>
                </c:pt>
                <c:pt idx="648">
                  <c:v>-9.9472597518638342</c:v>
                </c:pt>
                <c:pt idx="649">
                  <c:v>-9.9569281058736756</c:v>
                </c:pt>
                <c:pt idx="650">
                  <c:v>-9.96659646736226</c:v>
                </c:pt>
                <c:pt idx="651">
                  <c:v>-9.9762648363293636</c:v>
                </c:pt>
                <c:pt idx="652">
                  <c:v>-9.9859332127747624</c:v>
                </c:pt>
                <c:pt idx="653">
                  <c:v>-9.995601596698231</c:v>
                </c:pt>
                <c:pt idx="654">
                  <c:v>-10.005269988099545</c:v>
                </c:pt>
                <c:pt idx="655">
                  <c:v>-10.01493838697848</c:v>
                </c:pt>
                <c:pt idx="656">
                  <c:v>-10.024606793334813</c:v>
                </c:pt>
                <c:pt idx="657">
                  <c:v>-10.034275207168319</c:v>
                </c:pt>
                <c:pt idx="658">
                  <c:v>-10.043943628478774</c:v>
                </c:pt>
                <c:pt idx="659">
                  <c:v>-10.053612057265951</c:v>
                </c:pt>
                <c:pt idx="660">
                  <c:v>-10.063280493529629</c:v>
                </c:pt>
                <c:pt idx="661">
                  <c:v>-10.072948937269581</c:v>
                </c:pt>
                <c:pt idx="662">
                  <c:v>-10.082617388485586</c:v>
                </c:pt>
                <c:pt idx="663">
                  <c:v>-10.092285847177417</c:v>
                </c:pt>
                <c:pt idx="664">
                  <c:v>-10.101954313344851</c:v>
                </c:pt>
                <c:pt idx="665">
                  <c:v>-10.111622786987663</c:v>
                </c:pt>
                <c:pt idx="666">
                  <c:v>-10.12129126810563</c:v>
                </c:pt>
                <c:pt idx="667">
                  <c:v>-10.130959756698525</c:v>
                </c:pt>
                <c:pt idx="668">
                  <c:v>-10.140628252766128</c:v>
                </c:pt>
                <c:pt idx="669">
                  <c:v>-10.15029675630821</c:v>
                </c:pt>
                <c:pt idx="670">
                  <c:v>-10.15996526732455</c:v>
                </c:pt>
                <c:pt idx="671">
                  <c:v>-10.169633785814922</c:v>
                </c:pt>
                <c:pt idx="672">
                  <c:v>-10.179302311779102</c:v>
                </c:pt>
                <c:pt idx="673">
                  <c:v>-10.188970845216867</c:v>
                </c:pt>
                <c:pt idx="674">
                  <c:v>-10.198639386127992</c:v>
                </c:pt>
                <c:pt idx="675">
                  <c:v>-10.208307934512252</c:v>
                </c:pt>
                <c:pt idx="676">
                  <c:v>-10.217976490369423</c:v>
                </c:pt>
                <c:pt idx="677">
                  <c:v>-10.227645053699282</c:v>
                </c:pt>
                <c:pt idx="678">
                  <c:v>-10.237313624501605</c:v>
                </c:pt>
                <c:pt idx="679">
                  <c:v>-10.246982202776165</c:v>
                </c:pt>
                <c:pt idx="680">
                  <c:v>-10.256650788522739</c:v>
                </c:pt>
                <c:pt idx="681">
                  <c:v>-10.266319381741104</c:v>
                </c:pt>
                <c:pt idx="682">
                  <c:v>-10.275987982431035</c:v>
                </c:pt>
                <c:pt idx="683">
                  <c:v>-10.285656590592307</c:v>
                </c:pt>
                <c:pt idx="684">
                  <c:v>-10.295325206224698</c:v>
                </c:pt>
                <c:pt idx="685">
                  <c:v>-10.304993829327982</c:v>
                </c:pt>
                <c:pt idx="686">
                  <c:v>-10.314662459901934</c:v>
                </c:pt>
                <c:pt idx="687">
                  <c:v>-10.324331097946331</c:v>
                </c:pt>
                <c:pt idx="688">
                  <c:v>-10.333999743460948</c:v>
                </c:pt>
                <c:pt idx="689">
                  <c:v>-10.343668396445564</c:v>
                </c:pt>
                <c:pt idx="690">
                  <c:v>-10.353337056899951</c:v>
                </c:pt>
                <c:pt idx="691">
                  <c:v>-10.363005724823886</c:v>
                </c:pt>
                <c:pt idx="692">
                  <c:v>-10.372674400217145</c:v>
                </c:pt>
                <c:pt idx="693">
                  <c:v>-10.382343083079503</c:v>
                </c:pt>
                <c:pt idx="694">
                  <c:v>-10.392011773410736</c:v>
                </c:pt>
                <c:pt idx="695">
                  <c:v>-10.401680471210621</c:v>
                </c:pt>
                <c:pt idx="696">
                  <c:v>-10.411349176478934</c:v>
                </c:pt>
                <c:pt idx="697">
                  <c:v>-10.421017889215449</c:v>
                </c:pt>
                <c:pt idx="698">
                  <c:v>-10.430686609419944</c:v>
                </c:pt>
                <c:pt idx="699">
                  <c:v>-10.440355337092193</c:v>
                </c:pt>
                <c:pt idx="700">
                  <c:v>-10.450024072231972</c:v>
                </c:pt>
                <c:pt idx="701">
                  <c:v>-10.459692814839057</c:v>
                </c:pt>
                <c:pt idx="702">
                  <c:v>-10.469361564913225</c:v>
                </c:pt>
                <c:pt idx="703">
                  <c:v>-10.47903032245425</c:v>
                </c:pt>
                <c:pt idx="704">
                  <c:v>-10.488699087461908</c:v>
                </c:pt>
                <c:pt idx="705">
                  <c:v>-10.498367859935977</c:v>
                </c:pt>
                <c:pt idx="706">
                  <c:v>-10.508036639876231</c:v>
                </c:pt>
                <c:pt idx="707">
                  <c:v>-10.517705427282447</c:v>
                </c:pt>
                <c:pt idx="708">
                  <c:v>-10.5273742221544</c:v>
                </c:pt>
                <c:pt idx="709">
                  <c:v>-10.537043024491865</c:v>
                </c:pt>
                <c:pt idx="710">
                  <c:v>-10.546711834294619</c:v>
                </c:pt>
                <c:pt idx="711">
                  <c:v>-10.556380651562439</c:v>
                </c:pt>
                <c:pt idx="712">
                  <c:v>-10.566049476295099</c:v>
                </c:pt>
                <c:pt idx="713">
                  <c:v>-10.575718308492377</c:v>
                </c:pt>
                <c:pt idx="714">
                  <c:v>-10.585387148154046</c:v>
                </c:pt>
                <c:pt idx="715">
                  <c:v>-10.595055995279884</c:v>
                </c:pt>
                <c:pt idx="716">
                  <c:v>-10.604724849869665</c:v>
                </c:pt>
                <c:pt idx="717">
                  <c:v>-10.614393711923167</c:v>
                </c:pt>
                <c:pt idx="718">
                  <c:v>-10.624062581440166</c:v>
                </c:pt>
                <c:pt idx="719">
                  <c:v>-10.633731458420437</c:v>
                </c:pt>
                <c:pt idx="720">
                  <c:v>-10.643400342863755</c:v>
                </c:pt>
                <c:pt idx="721">
                  <c:v>-10.653069234769898</c:v>
                </c:pt>
                <c:pt idx="722">
                  <c:v>-10.662738134138641</c:v>
                </c:pt>
                <c:pt idx="723">
                  <c:v>-10.672407040969759</c:v>
                </c:pt>
                <c:pt idx="724">
                  <c:v>-10.682075955263029</c:v>
                </c:pt>
                <c:pt idx="725">
                  <c:v>-10.691744877018225</c:v>
                </c:pt>
                <c:pt idx="726">
                  <c:v>-10.701413806235125</c:v>
                </c:pt>
                <c:pt idx="727">
                  <c:v>-10.711082742913504</c:v>
                </c:pt>
                <c:pt idx="728">
                  <c:v>-10.72075168705314</c:v>
                </c:pt>
                <c:pt idx="729">
                  <c:v>-10.730420638653806</c:v>
                </c:pt>
                <c:pt idx="730">
                  <c:v>-10.740089597715279</c:v>
                </c:pt>
                <c:pt idx="731">
                  <c:v>-10.749758564237336</c:v>
                </c:pt>
                <c:pt idx="732">
                  <c:v>-10.759427538219752</c:v>
                </c:pt>
                <c:pt idx="733">
                  <c:v>-10.769096519662302</c:v>
                </c:pt>
                <c:pt idx="734">
                  <c:v>-10.778765508564764</c:v>
                </c:pt>
                <c:pt idx="735">
                  <c:v>-10.788434504926911</c:v>
                </c:pt>
                <c:pt idx="736">
                  <c:v>-10.798103508748524</c:v>
                </c:pt>
                <c:pt idx="737">
                  <c:v>-10.807772520029374</c:v>
                </c:pt>
                <c:pt idx="738">
                  <c:v>-10.81744153876924</c:v>
                </c:pt>
                <c:pt idx="739">
                  <c:v>-10.827110564967896</c:v>
                </c:pt>
                <c:pt idx="740">
                  <c:v>-10.836779598625119</c:v>
                </c:pt>
                <c:pt idx="741">
                  <c:v>-10.846448639740684</c:v>
                </c:pt>
                <c:pt idx="742">
                  <c:v>-10.856117688314368</c:v>
                </c:pt>
                <c:pt idx="743">
                  <c:v>-10.865786744345947</c:v>
                </c:pt>
                <c:pt idx="744">
                  <c:v>-10.875455807835197</c:v>
                </c:pt>
                <c:pt idx="745">
                  <c:v>-10.885124878781893</c:v>
                </c:pt>
                <c:pt idx="746">
                  <c:v>-10.894793957185811</c:v>
                </c:pt>
                <c:pt idx="747">
                  <c:v>-10.90446304304673</c:v>
                </c:pt>
                <c:pt idx="748">
                  <c:v>-10.914132136364424</c:v>
                </c:pt>
                <c:pt idx="749">
                  <c:v>-10.923801237138667</c:v>
                </c:pt>
                <c:pt idx="750">
                  <c:v>-10.933470345369237</c:v>
                </c:pt>
                <c:pt idx="751">
                  <c:v>-10.94313946105591</c:v>
                </c:pt>
                <c:pt idx="752">
                  <c:v>-10.952808584198463</c:v>
                </c:pt>
                <c:pt idx="753">
                  <c:v>-10.96247771479667</c:v>
                </c:pt>
                <c:pt idx="754">
                  <c:v>-10.972146852850308</c:v>
                </c:pt>
                <c:pt idx="755">
                  <c:v>-10.981815998359153</c:v>
                </c:pt>
                <c:pt idx="756">
                  <c:v>-10.991485151322982</c:v>
                </c:pt>
                <c:pt idx="757">
                  <c:v>-11.001154311741569</c:v>
                </c:pt>
                <c:pt idx="758">
                  <c:v>-11.010823479614691</c:v>
                </c:pt>
                <c:pt idx="759">
                  <c:v>-11.020492654942124</c:v>
                </c:pt>
                <c:pt idx="760">
                  <c:v>-11.030161837723645</c:v>
                </c:pt>
                <c:pt idx="761">
                  <c:v>-11.039831027959028</c:v>
                </c:pt>
                <c:pt idx="762">
                  <c:v>-11.049500225648051</c:v>
                </c:pt>
                <c:pt idx="763">
                  <c:v>-11.05916943079049</c:v>
                </c:pt>
                <c:pt idx="764">
                  <c:v>-11.068838643386121</c:v>
                </c:pt>
                <c:pt idx="765">
                  <c:v>-11.078507863434718</c:v>
                </c:pt>
                <c:pt idx="766">
                  <c:v>-11.088177090936059</c:v>
                </c:pt>
                <c:pt idx="767">
                  <c:v>-11.097846325889918</c:v>
                </c:pt>
                <c:pt idx="768">
                  <c:v>-11.107515568296074</c:v>
                </c:pt>
                <c:pt idx="769">
                  <c:v>-11.117184818154302</c:v>
                </c:pt>
                <c:pt idx="770">
                  <c:v>-11.126854075464378</c:v>
                </c:pt>
                <c:pt idx="771">
                  <c:v>-11.136523340226077</c:v>
                </c:pt>
                <c:pt idx="772">
                  <c:v>-11.146192612439178</c:v>
                </c:pt>
                <c:pt idx="773">
                  <c:v>-11.155861892103454</c:v>
                </c:pt>
                <c:pt idx="774">
                  <c:v>-11.165531179218682</c:v>
                </c:pt>
                <c:pt idx="775">
                  <c:v>-11.175200473784638</c:v>
                </c:pt>
                <c:pt idx="776">
                  <c:v>-11.184869775801101</c:v>
                </c:pt>
                <c:pt idx="777">
                  <c:v>-11.194539085267843</c:v>
                </c:pt>
                <c:pt idx="778">
                  <c:v>-11.204208402184642</c:v>
                </c:pt>
                <c:pt idx="779">
                  <c:v>-11.213877726551274</c:v>
                </c:pt>
                <c:pt idx="780">
                  <c:v>-11.223547058367515</c:v>
                </c:pt>
                <c:pt idx="781">
                  <c:v>-11.233216397633141</c:v>
                </c:pt>
                <c:pt idx="782">
                  <c:v>-11.242885744347928</c:v>
                </c:pt>
                <c:pt idx="783">
                  <c:v>-11.252555098511653</c:v>
                </c:pt>
                <c:pt idx="784">
                  <c:v>-11.262224460124092</c:v>
                </c:pt>
                <c:pt idx="785">
                  <c:v>-11.27189382918502</c:v>
                </c:pt>
                <c:pt idx="786">
                  <c:v>-11.281563205694214</c:v>
                </c:pt>
                <c:pt idx="787">
                  <c:v>-11.291232589651448</c:v>
                </c:pt>
                <c:pt idx="788">
                  <c:v>-11.300901981056501</c:v>
                </c:pt>
                <c:pt idx="789">
                  <c:v>-11.310571379909149</c:v>
                </c:pt>
                <c:pt idx="790">
                  <c:v>-11.320240786209167</c:v>
                </c:pt>
                <c:pt idx="791">
                  <c:v>-11.329910199956332</c:v>
                </c:pt>
                <c:pt idx="792">
                  <c:v>-11.339579621150421</c:v>
                </c:pt>
                <c:pt idx="793">
                  <c:v>-11.349249049791206</c:v>
                </c:pt>
                <c:pt idx="794">
                  <c:v>-11.358918485878467</c:v>
                </c:pt>
                <c:pt idx="795">
                  <c:v>-11.36858792941198</c:v>
                </c:pt>
                <c:pt idx="796">
                  <c:v>-11.378257380391521</c:v>
                </c:pt>
                <c:pt idx="797">
                  <c:v>-11.387926838816865</c:v>
                </c:pt>
                <c:pt idx="798">
                  <c:v>-11.397596304687788</c:v>
                </c:pt>
                <c:pt idx="799">
                  <c:v>-11.407265778004067</c:v>
                </c:pt>
                <c:pt idx="800">
                  <c:v>-11.416935258765479</c:v>
                </c:pt>
                <c:pt idx="801">
                  <c:v>-11.426604746971799</c:v>
                </c:pt>
                <c:pt idx="802">
                  <c:v>-11.436274242622805</c:v>
                </c:pt>
                <c:pt idx="803">
                  <c:v>-11.445943745718271</c:v>
                </c:pt>
                <c:pt idx="804">
                  <c:v>-11.455613256257974</c:v>
                </c:pt>
                <c:pt idx="805">
                  <c:v>-11.465282774241691</c:v>
                </c:pt>
                <c:pt idx="806">
                  <c:v>-11.474952299669198</c:v>
                </c:pt>
                <c:pt idx="807">
                  <c:v>-11.48462183254027</c:v>
                </c:pt>
                <c:pt idx="808">
                  <c:v>-11.494291372854684</c:v>
                </c:pt>
                <c:pt idx="809">
                  <c:v>-11.503960920612217</c:v>
                </c:pt>
                <c:pt idx="810">
                  <c:v>-11.513630475812644</c:v>
                </c:pt>
                <c:pt idx="811">
                  <c:v>-11.523300038455741</c:v>
                </c:pt>
                <c:pt idx="812">
                  <c:v>-11.532969608541285</c:v>
                </c:pt>
                <c:pt idx="813">
                  <c:v>-11.542639186069051</c:v>
                </c:pt>
                <c:pt idx="814">
                  <c:v>-11.552308771038817</c:v>
                </c:pt>
                <c:pt idx="815">
                  <c:v>-11.561978363450358</c:v>
                </c:pt>
                <c:pt idx="816">
                  <c:v>-11.571647963303452</c:v>
                </c:pt>
                <c:pt idx="817">
                  <c:v>-11.581317570597873</c:v>
                </c:pt>
                <c:pt idx="818">
                  <c:v>-11.590987185333399</c:v>
                </c:pt>
                <c:pt idx="819">
                  <c:v>-11.600656807509806</c:v>
                </c:pt>
                <c:pt idx="820">
                  <c:v>-11.610326437126869</c:v>
                </c:pt>
                <c:pt idx="821">
                  <c:v>-11.619996074184366</c:v>
                </c:pt>
                <c:pt idx="822">
                  <c:v>-11.629665718682071</c:v>
                </c:pt>
                <c:pt idx="823">
                  <c:v>-11.639335370619763</c:v>
                </c:pt>
                <c:pt idx="824">
                  <c:v>-11.649005029997218</c:v>
                </c:pt>
                <c:pt idx="825">
                  <c:v>-11.658674696814211</c:v>
                </c:pt>
                <c:pt idx="826">
                  <c:v>-11.668344371070518</c:v>
                </c:pt>
                <c:pt idx="827">
                  <c:v>-11.678014052765915</c:v>
                </c:pt>
                <c:pt idx="828">
                  <c:v>-11.68768374190018</c:v>
                </c:pt>
                <c:pt idx="829">
                  <c:v>-11.697353438473089</c:v>
                </c:pt>
                <c:pt idx="830">
                  <c:v>-11.707023142484417</c:v>
                </c:pt>
                <c:pt idx="831">
                  <c:v>-11.716692853933942</c:v>
                </c:pt>
                <c:pt idx="832">
                  <c:v>-11.72636257282144</c:v>
                </c:pt>
                <c:pt idx="833">
                  <c:v>-11.736032299146686</c:v>
                </c:pt>
                <c:pt idx="834">
                  <c:v>-11.745702032909456</c:v>
                </c:pt>
                <c:pt idx="835">
                  <c:v>-11.755371774109529</c:v>
                </c:pt>
                <c:pt idx="836">
                  <c:v>-11.76504152274668</c:v>
                </c:pt>
                <c:pt idx="837">
                  <c:v>-11.774711278820684</c:v>
                </c:pt>
                <c:pt idx="838">
                  <c:v>-11.784381042331319</c:v>
                </c:pt>
                <c:pt idx="839">
                  <c:v>-11.794050813278361</c:v>
                </c:pt>
                <c:pt idx="840">
                  <c:v>-11.803720591661586</c:v>
                </c:pt>
                <c:pt idx="841">
                  <c:v>-11.81339037748077</c:v>
                </c:pt>
                <c:pt idx="842">
                  <c:v>-11.82306017073569</c:v>
                </c:pt>
                <c:pt idx="843">
                  <c:v>-11.832729971426122</c:v>
                </c:pt>
                <c:pt idx="844">
                  <c:v>-11.842399779551842</c:v>
                </c:pt>
                <c:pt idx="845">
                  <c:v>-11.852069595112628</c:v>
                </c:pt>
                <c:pt idx="846">
                  <c:v>-11.861739418108254</c:v>
                </c:pt>
                <c:pt idx="847">
                  <c:v>-11.871409248538498</c:v>
                </c:pt>
                <c:pt idx="848">
                  <c:v>-11.881079086403137</c:v>
                </c:pt>
                <c:pt idx="849">
                  <c:v>-11.890748931701944</c:v>
                </c:pt>
                <c:pt idx="850">
                  <c:v>-11.900418784434699</c:v>
                </c:pt>
                <c:pt idx="851">
                  <c:v>-11.910088644601176</c:v>
                </c:pt>
                <c:pt idx="852">
                  <c:v>-11.919758512201154</c:v>
                </c:pt>
                <c:pt idx="853">
                  <c:v>-11.929428387234408</c:v>
                </c:pt>
                <c:pt idx="854">
                  <c:v>-11.939098269700713</c:v>
                </c:pt>
                <c:pt idx="855">
                  <c:v>-11.948768159599847</c:v>
                </c:pt>
                <c:pt idx="856">
                  <c:v>-11.958438056931586</c:v>
                </c:pt>
                <c:pt idx="857">
                  <c:v>-11.968107961695706</c:v>
                </c:pt>
                <c:pt idx="858">
                  <c:v>-11.977777873891984</c:v>
                </c:pt>
                <c:pt idx="859">
                  <c:v>-11.987447793520197</c:v>
                </c:pt>
                <c:pt idx="860">
                  <c:v>-11.997117720580119</c:v>
                </c:pt>
                <c:pt idx="861">
                  <c:v>-12.00678765507153</c:v>
                </c:pt>
                <c:pt idx="862">
                  <c:v>-12.016457596994204</c:v>
                </c:pt>
                <c:pt idx="863">
                  <c:v>-12.026127546347919</c:v>
                </c:pt>
                <c:pt idx="864">
                  <c:v>-12.035797503132448</c:v>
                </c:pt>
                <c:pt idx="865">
                  <c:v>-12.045467467347571</c:v>
                </c:pt>
                <c:pt idx="866">
                  <c:v>-12.055137438993063</c:v>
                </c:pt>
                <c:pt idx="867">
                  <c:v>-12.0648074180687</c:v>
                </c:pt>
                <c:pt idx="868">
                  <c:v>-12.07447740457426</c:v>
                </c:pt>
                <c:pt idx="869">
                  <c:v>-12.084147398509518</c:v>
                </c:pt>
                <c:pt idx="870">
                  <c:v>-12.093817399874252</c:v>
                </c:pt>
                <c:pt idx="871">
                  <c:v>-12.103487408668236</c:v>
                </c:pt>
                <c:pt idx="872">
                  <c:v>-12.113157424891249</c:v>
                </c:pt>
                <c:pt idx="873">
                  <c:v>-12.122827448543065</c:v>
                </c:pt>
                <c:pt idx="874">
                  <c:v>-12.132497479623463</c:v>
                </c:pt>
                <c:pt idx="875">
                  <c:v>-12.142167518132219</c:v>
                </c:pt>
                <c:pt idx="876">
                  <c:v>-12.151837564069108</c:v>
                </c:pt>
                <c:pt idx="877">
                  <c:v>-12.161507617433907</c:v>
                </c:pt>
                <c:pt idx="878">
                  <c:v>-12.171177678226393</c:v>
                </c:pt>
                <c:pt idx="879">
                  <c:v>-12.180847746446341</c:v>
                </c:pt>
                <c:pt idx="880">
                  <c:v>-12.190517822093531</c:v>
                </c:pt>
                <c:pt idx="881">
                  <c:v>-12.200187905167736</c:v>
                </c:pt>
                <c:pt idx="882">
                  <c:v>-12.209857995668735</c:v>
                </c:pt>
                <c:pt idx="883">
                  <c:v>-12.219528093596301</c:v>
                </c:pt>
                <c:pt idx="884">
                  <c:v>-12.229198198950213</c:v>
                </c:pt>
                <c:pt idx="885">
                  <c:v>-12.238868311730247</c:v>
                </c:pt>
                <c:pt idx="886">
                  <c:v>-12.248538431936181</c:v>
                </c:pt>
                <c:pt idx="887">
                  <c:v>-12.258208559567789</c:v>
                </c:pt>
                <c:pt idx="888">
                  <c:v>-12.26787869462485</c:v>
                </c:pt>
                <c:pt idx="889">
                  <c:v>-12.277548837107139</c:v>
                </c:pt>
                <c:pt idx="890">
                  <c:v>-12.287218987014432</c:v>
                </c:pt>
                <c:pt idx="891">
                  <c:v>-12.296889144346506</c:v>
                </c:pt>
                <c:pt idx="892">
                  <c:v>-12.30655930910314</c:v>
                </c:pt>
                <c:pt idx="893">
                  <c:v>-12.316229481284106</c:v>
                </c:pt>
                <c:pt idx="894">
                  <c:v>-12.325899660889183</c:v>
                </c:pt>
                <c:pt idx="895">
                  <c:v>-12.335569847918148</c:v>
                </c:pt>
                <c:pt idx="896">
                  <c:v>-12.345240042370776</c:v>
                </c:pt>
                <c:pt idx="897">
                  <c:v>-12.354910244246845</c:v>
                </c:pt>
                <c:pt idx="898">
                  <c:v>-12.364580453546132</c:v>
                </c:pt>
                <c:pt idx="899">
                  <c:v>-12.374250670268413</c:v>
                </c:pt>
                <c:pt idx="900">
                  <c:v>-12.383920894413464</c:v>
                </c:pt>
                <c:pt idx="901">
                  <c:v>-12.393591125981061</c:v>
                </c:pt>
                <c:pt idx="902">
                  <c:v>-12.403261364970982</c:v>
                </c:pt>
                <c:pt idx="903">
                  <c:v>-12.412931611383001</c:v>
                </c:pt>
                <c:pt idx="904">
                  <c:v>-12.422601865216897</c:v>
                </c:pt>
                <c:pt idx="905">
                  <c:v>-12.432272126472448</c:v>
                </c:pt>
                <c:pt idx="906">
                  <c:v>-12.441942395149427</c:v>
                </c:pt>
                <c:pt idx="907">
                  <c:v>-12.451612671247613</c:v>
                </c:pt>
                <c:pt idx="908">
                  <c:v>-12.461282954766782</c:v>
                </c:pt>
                <c:pt idx="909">
                  <c:v>-12.47095324570671</c:v>
                </c:pt>
                <c:pt idx="910">
                  <c:v>-12.480623544067173</c:v>
                </c:pt>
                <c:pt idx="911">
                  <c:v>-12.49029384984795</c:v>
                </c:pt>
                <c:pt idx="912">
                  <c:v>-12.499964163048814</c:v>
                </c:pt>
                <c:pt idx="913">
                  <c:v>-12.509634483669545</c:v>
                </c:pt>
                <c:pt idx="914">
                  <c:v>-12.519304811709919</c:v>
                </c:pt>
                <c:pt idx="915">
                  <c:v>-12.52897514716971</c:v>
                </c:pt>
                <c:pt idx="916">
                  <c:v>-12.538645490048697</c:v>
                </c:pt>
                <c:pt idx="917">
                  <c:v>-12.548315840346657</c:v>
                </c:pt>
                <c:pt idx="918">
                  <c:v>-12.557986198063366</c:v>
                </c:pt>
                <c:pt idx="919">
                  <c:v>-12.5676565631986</c:v>
                </c:pt>
                <c:pt idx="920">
                  <c:v>-12.577326935752136</c:v>
                </c:pt>
                <c:pt idx="921">
                  <c:v>-12.586997315723751</c:v>
                </c:pt>
                <c:pt idx="922">
                  <c:v>-12.596667703113221</c:v>
                </c:pt>
                <c:pt idx="923">
                  <c:v>-12.606338097920323</c:v>
                </c:pt>
                <c:pt idx="924">
                  <c:v>-12.616008500144835</c:v>
                </c:pt>
                <c:pt idx="925">
                  <c:v>-12.625678909786531</c:v>
                </c:pt>
                <c:pt idx="926">
                  <c:v>-12.635349326845189</c:v>
                </c:pt>
                <c:pt idx="927">
                  <c:v>-12.645019751320586</c:v>
                </c:pt>
                <c:pt idx="928">
                  <c:v>-12.654690183212498</c:v>
                </c:pt>
                <c:pt idx="929">
                  <c:v>-12.664360622520702</c:v>
                </c:pt>
                <c:pt idx="930">
                  <c:v>-12.674031069244974</c:v>
                </c:pt>
                <c:pt idx="931">
                  <c:v>-12.683701523385091</c:v>
                </c:pt>
                <c:pt idx="932">
                  <c:v>-12.69337198494083</c:v>
                </c:pt>
                <c:pt idx="933">
                  <c:v>-12.703042453911968</c:v>
                </c:pt>
                <c:pt idx="934">
                  <c:v>-12.712712930298281</c:v>
                </c:pt>
                <c:pt idx="935">
                  <c:v>-12.722383414099546</c:v>
                </c:pt>
                <c:pt idx="936">
                  <c:v>-12.73205390531554</c:v>
                </c:pt>
                <c:pt idx="937">
                  <c:v>-12.741724403946039</c:v>
                </c:pt>
                <c:pt idx="938">
                  <c:v>-12.75139490999082</c:v>
                </c:pt>
                <c:pt idx="939">
                  <c:v>-12.76106542344966</c:v>
                </c:pt>
                <c:pt idx="940">
                  <c:v>-12.770735944322334</c:v>
                </c:pt>
                <c:pt idx="941">
                  <c:v>-12.780406472608622</c:v>
                </c:pt>
                <c:pt idx="942">
                  <c:v>-12.790077008308298</c:v>
                </c:pt>
                <c:pt idx="943">
                  <c:v>-12.79974755142114</c:v>
                </c:pt>
                <c:pt idx="944">
                  <c:v>-12.809418101946925</c:v>
                </c:pt>
                <c:pt idx="945">
                  <c:v>-12.819088659885429</c:v>
                </c:pt>
                <c:pt idx="946">
                  <c:v>-12.828759225236428</c:v>
                </c:pt>
                <c:pt idx="947">
                  <c:v>-12.8384297979997</c:v>
                </c:pt>
                <c:pt idx="948">
                  <c:v>-12.848100378175021</c:v>
                </c:pt>
                <c:pt idx="949">
                  <c:v>-12.857770965762167</c:v>
                </c:pt>
                <c:pt idx="950">
                  <c:v>-12.867441560760916</c:v>
                </c:pt>
                <c:pt idx="951">
                  <c:v>-12.877112163171045</c:v>
                </c:pt>
                <c:pt idx="952">
                  <c:v>-12.88678277299233</c:v>
                </c:pt>
                <c:pt idx="953">
                  <c:v>-12.896453390224547</c:v>
                </c:pt>
                <c:pt idx="954">
                  <c:v>-12.906124014867475</c:v>
                </c:pt>
                <c:pt idx="955">
                  <c:v>-12.915794646920888</c:v>
                </c:pt>
                <c:pt idx="956">
                  <c:v>-12.925465286384565</c:v>
                </c:pt>
                <c:pt idx="957">
                  <c:v>-12.935135933258282</c:v>
                </c:pt>
                <c:pt idx="958">
                  <c:v>-12.944806587541816</c:v>
                </c:pt>
                <c:pt idx="959">
                  <c:v>-12.954477249234943</c:v>
                </c:pt>
                <c:pt idx="960">
                  <c:v>-12.96414791833744</c:v>
                </c:pt>
                <c:pt idx="961">
                  <c:v>-12.973818594849085</c:v>
                </c:pt>
                <c:pt idx="962">
                  <c:v>-12.983489278769653</c:v>
                </c:pt>
                <c:pt idx="963">
                  <c:v>-12.993159970098922</c:v>
                </c:pt>
                <c:pt idx="964">
                  <c:v>-13.002830668836669</c:v>
                </c:pt>
                <c:pt idx="965">
                  <c:v>-13.012501374982669</c:v>
                </c:pt>
                <c:pt idx="966">
                  <c:v>-13.022172088536701</c:v>
                </c:pt>
                <c:pt idx="967">
                  <c:v>-13.03184280949854</c:v>
                </c:pt>
                <c:pt idx="968">
                  <c:v>-13.041513537867964</c:v>
                </c:pt>
                <c:pt idx="969">
                  <c:v>-13.051184273644749</c:v>
                </c:pt>
                <c:pt idx="970">
                  <c:v>-13.060855016828672</c:v>
                </c:pt>
                <c:pt idx="971">
                  <c:v>-13.070525767419509</c:v>
                </c:pt>
                <c:pt idx="972">
                  <c:v>-13.080196525417039</c:v>
                </c:pt>
                <c:pt idx="973">
                  <c:v>-13.089867290821037</c:v>
                </c:pt>
                <c:pt idx="974">
                  <c:v>-13.099538063631281</c:v>
                </c:pt>
                <c:pt idx="975">
                  <c:v>-13.109208843847547</c:v>
                </c:pt>
                <c:pt idx="976">
                  <c:v>-13.118879631469612</c:v>
                </c:pt>
                <c:pt idx="977">
                  <c:v>-13.128550426497254</c:v>
                </c:pt>
                <c:pt idx="978">
                  <c:v>-13.138221228930249</c:v>
                </c:pt>
                <c:pt idx="979">
                  <c:v>-13.147892038768372</c:v>
                </c:pt>
                <c:pt idx="980">
                  <c:v>-13.157562856011403</c:v>
                </c:pt>
                <c:pt idx="981">
                  <c:v>-13.167233680659116</c:v>
                </c:pt>
                <c:pt idx="982">
                  <c:v>-13.176904512711289</c:v>
                </c:pt>
                <c:pt idx="983">
                  <c:v>-13.186575352167699</c:v>
                </c:pt>
                <c:pt idx="984">
                  <c:v>-13.196246199028122</c:v>
                </c:pt>
                <c:pt idx="985">
                  <c:v>-13.205917053292337</c:v>
                </c:pt>
                <c:pt idx="986">
                  <c:v>-13.215587914960119</c:v>
                </c:pt>
                <c:pt idx="987">
                  <c:v>-13.225258784031247</c:v>
                </c:pt>
                <c:pt idx="988">
                  <c:v>-13.234929660505495</c:v>
                </c:pt>
                <c:pt idx="989">
                  <c:v>-13.244600544382642</c:v>
                </c:pt>
                <c:pt idx="990">
                  <c:v>-13.254271435662464</c:v>
                </c:pt>
                <c:pt idx="991">
                  <c:v>-13.263942334344737</c:v>
                </c:pt>
                <c:pt idx="992">
                  <c:v>-13.27361324042924</c:v>
                </c:pt>
                <c:pt idx="993">
                  <c:v>-13.28328415391575</c:v>
                </c:pt>
                <c:pt idx="994">
                  <c:v>-13.292955074804041</c:v>
                </c:pt>
                <c:pt idx="995">
                  <c:v>-13.302626003093891</c:v>
                </c:pt>
                <c:pt idx="996">
                  <c:v>-13.312296938785078</c:v>
                </c:pt>
                <c:pt idx="997">
                  <c:v>-13.321967881877379</c:v>
                </c:pt>
                <c:pt idx="998">
                  <c:v>-13.331638832370571</c:v>
                </c:pt>
                <c:pt idx="999">
                  <c:v>-13.341309790264429</c:v>
                </c:pt>
                <c:pt idx="1000">
                  <c:v>-13.350980755558732</c:v>
                </c:pt>
              </c:numCache>
            </c:numRef>
          </c:yVal>
          <c:smooth val="1"/>
          <c:extLst>
            <c:ext xmlns:c16="http://schemas.microsoft.com/office/drawing/2014/chart" uri="{C3380CC4-5D6E-409C-BE32-E72D297353CC}">
              <c16:uniqueId val="{00000002-4C7F-469F-ADED-1B0B28F452E1}"/>
            </c:ext>
          </c:extLst>
        </c:ser>
        <c:ser>
          <c:idx val="2"/>
          <c:order val="3"/>
          <c:tx>
            <c:strRef>
              <c:f>Trajecto!$B$109</c:f>
              <c:strCache>
                <c:ptCount val="1"/>
                <c:pt idx="0">
                  <c:v>Fusée sous parachute</c:v>
                </c:pt>
              </c:strCache>
            </c:strRef>
          </c:tx>
          <c:spPr>
            <a:ln w="25400">
              <a:solidFill>
                <a:srgbClr val="008000"/>
              </a:solidFill>
              <a:prstDash val="solid"/>
            </a:ln>
          </c:spPr>
          <c:marker>
            <c:symbol val="none"/>
          </c:marker>
          <c:dLbls>
            <c:dLbl>
              <c:idx val="1"/>
              <c:spPr>
                <a:noFill/>
                <a:ln w="25400">
                  <a:noFill/>
                </a:ln>
              </c:spPr>
              <c:txPr>
                <a:bodyPr/>
                <a:lstStyle/>
                <a:p>
                  <a:pPr>
                    <a:defRPr sz="700" b="1" i="0" u="none" strike="noStrike" baseline="0">
                      <a:solidFill>
                        <a:srgbClr val="008000"/>
                      </a:solidFill>
                      <a:latin typeface="Arial"/>
                      <a:ea typeface="Arial"/>
                      <a:cs typeface="Arial"/>
                    </a:defRPr>
                  </a:pPr>
                  <a:endParaRPr lang="fr-FR"/>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4C7F-469F-ADED-1B0B28F452E1}"/>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Trajecto!$B$132:$B$138</c:f>
              <c:numCache>
                <c:formatCode>0.0</c:formatCode>
                <c:ptCount val="7"/>
                <c:pt idx="0">
                  <c:v>14</c:v>
                </c:pt>
                <c:pt idx="1">
                  <c:v>78.128025867530141</c:v>
                </c:pt>
                <c:pt idx="2">
                  <c:v>142.25605173506028</c:v>
                </c:pt>
                <c:pt idx="3">
                  <c:v>140.95089753033611</c:v>
                </c:pt>
                <c:pt idx="4">
                  <c:v>142.25605173506028</c:v>
                </c:pt>
                <c:pt idx="5">
                  <c:v>137.70089753033611</c:v>
                </c:pt>
                <c:pt idx="6">
                  <c:v>142.25605173506028</c:v>
                </c:pt>
              </c:numCache>
            </c:numRef>
          </c:xVal>
          <c:yVal>
            <c:numRef>
              <c:f>Trajecto!$C$132:$C$138</c:f>
              <c:numCache>
                <c:formatCode>0</c:formatCode>
                <c:ptCount val="7"/>
                <c:pt idx="0">
                  <c:v>1192.8375680305887</c:v>
                </c:pt>
                <c:pt idx="1">
                  <c:v>596.41878401529436</c:v>
                </c:pt>
                <c:pt idx="2">
                  <c:v>0</c:v>
                </c:pt>
                <c:pt idx="3">
                  <c:v>39.53792650953266</c:v>
                </c:pt>
                <c:pt idx="4">
                  <c:v>0</c:v>
                </c:pt>
                <c:pt idx="5">
                  <c:v>14.967337504753814</c:v>
                </c:pt>
                <c:pt idx="6">
                  <c:v>0</c:v>
                </c:pt>
              </c:numCache>
            </c:numRef>
          </c:yVal>
          <c:smooth val="0"/>
          <c:extLst>
            <c:ext xmlns:c16="http://schemas.microsoft.com/office/drawing/2014/chart" uri="{C3380CC4-5D6E-409C-BE32-E72D297353CC}">
              <c16:uniqueId val="{00000004-4C7F-469F-ADED-1B0B28F452E1}"/>
            </c:ext>
          </c:extLst>
        </c:ser>
        <c:ser>
          <c:idx val="3"/>
          <c:order val="4"/>
          <c:tx>
            <c:strRef>
              <c:f>Trajecto!$B$110</c:f>
              <c:strCache>
                <c:ptCount val="1"/>
              </c:strCache>
            </c:strRef>
          </c:tx>
          <c:spPr>
            <a:ln w="25400">
              <a:solidFill>
                <a:srgbClr val="FF6600"/>
              </a:solidFill>
              <a:prstDash val="solid"/>
            </a:ln>
          </c:spPr>
          <c:marker>
            <c:symbol val="none"/>
          </c:marker>
          <c:dLbls>
            <c:dLbl>
              <c:idx val="1"/>
              <c:spPr>
                <a:noFill/>
                <a:ln w="25400">
                  <a:noFill/>
                </a:ln>
              </c:spPr>
              <c:txPr>
                <a:bodyPr/>
                <a:lstStyle/>
                <a:p>
                  <a:pPr>
                    <a:defRPr sz="700" b="1" i="0" u="none" strike="noStrike" baseline="0">
                      <a:solidFill>
                        <a:srgbClr val="FF66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4C7F-469F-ADED-1B0B28F452E1}"/>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Trajecto!$B$149:$B$155</c:f>
              <c:numCache>
                <c:formatCode>0.0</c:formatCode>
                <c:ptCount val="7"/>
                <c:pt idx="0">
                  <c:v>0</c:v>
                </c:pt>
                <c:pt idx="1">
                  <c:v>0</c:v>
                </c:pt>
                <c:pt idx="2">
                  <c:v>0</c:v>
                </c:pt>
                <c:pt idx="3">
                  <c:v>0</c:v>
                </c:pt>
                <c:pt idx="4">
                  <c:v>0</c:v>
                </c:pt>
                <c:pt idx="5">
                  <c:v>0</c:v>
                </c:pt>
                <c:pt idx="6">
                  <c:v>0</c:v>
                </c:pt>
              </c:numCache>
            </c:numRef>
          </c:xVal>
          <c:yVal>
            <c:numRef>
              <c:f>Trajecto!$C$149:$C$155</c:f>
              <c:numCache>
                <c:formatCode>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6-4C7F-469F-ADED-1B0B28F452E1}"/>
            </c:ext>
          </c:extLst>
        </c:ser>
        <c:ser>
          <c:idx val="5"/>
          <c:order val="5"/>
          <c:tx>
            <c:strRef>
              <c:f>Trajecto!$B$107</c:f>
              <c:strCache>
                <c:ptCount val="1"/>
                <c:pt idx="0">
                  <c:v>Phase ascendante</c:v>
                </c:pt>
              </c:strCache>
            </c:strRef>
          </c:tx>
          <c:spPr>
            <a:ln w="25400">
              <a:solidFill>
                <a:srgbClr val="000080"/>
              </a:solidFill>
              <a:prstDash val="solid"/>
            </a:ln>
          </c:spPr>
          <c:marker>
            <c:symbol val="none"/>
          </c:marker>
          <c:xVal>
            <c:numRef>
              <c:f>Calculs!$B$4:$B$1004</c:f>
              <c:numCache>
                <c:formatCode>0.00</c:formatCode>
                <c:ptCount val="1001"/>
                <c:pt idx="0">
                  <c:v>3.2</c:v>
                </c:pt>
                <c:pt idx="1">
                  <c:v>3.21</c:v>
                </c:pt>
                <c:pt idx="2">
                  <c:v>3.2199999999999998</c:v>
                </c:pt>
                <c:pt idx="3">
                  <c:v>3.2299999999999995</c:v>
                </c:pt>
                <c:pt idx="4">
                  <c:v>3.2399999999999993</c:v>
                </c:pt>
                <c:pt idx="5">
                  <c:v>3.2499999999999991</c:v>
                </c:pt>
                <c:pt idx="6">
                  <c:v>3.2599999999999989</c:v>
                </c:pt>
                <c:pt idx="7">
                  <c:v>3.2699999999999987</c:v>
                </c:pt>
                <c:pt idx="8">
                  <c:v>3.2799999999999985</c:v>
                </c:pt>
                <c:pt idx="9">
                  <c:v>3.2899999999999983</c:v>
                </c:pt>
                <c:pt idx="10">
                  <c:v>3.299999999999998</c:v>
                </c:pt>
                <c:pt idx="11">
                  <c:v>3.3099999999999978</c:v>
                </c:pt>
                <c:pt idx="12">
                  <c:v>3.3199999999999976</c:v>
                </c:pt>
                <c:pt idx="13">
                  <c:v>3.3299999999999974</c:v>
                </c:pt>
                <c:pt idx="14">
                  <c:v>3.3399999999999972</c:v>
                </c:pt>
                <c:pt idx="15">
                  <c:v>3.349999999999997</c:v>
                </c:pt>
                <c:pt idx="16">
                  <c:v>3.3599999999999968</c:v>
                </c:pt>
                <c:pt idx="17">
                  <c:v>3.3699999999999966</c:v>
                </c:pt>
                <c:pt idx="18">
                  <c:v>3.3799999999999963</c:v>
                </c:pt>
                <c:pt idx="19">
                  <c:v>3.3899999999999961</c:v>
                </c:pt>
                <c:pt idx="20">
                  <c:v>3.3999999999999959</c:v>
                </c:pt>
                <c:pt idx="21">
                  <c:v>3.4099999999999957</c:v>
                </c:pt>
                <c:pt idx="22">
                  <c:v>3.4199999999999955</c:v>
                </c:pt>
                <c:pt idx="23">
                  <c:v>3.4299999999999953</c:v>
                </c:pt>
                <c:pt idx="24">
                  <c:v>3.4399999999999951</c:v>
                </c:pt>
                <c:pt idx="25">
                  <c:v>3.4499999999999948</c:v>
                </c:pt>
                <c:pt idx="26">
                  <c:v>3.4599999999999946</c:v>
                </c:pt>
                <c:pt idx="27">
                  <c:v>3.4699999999999944</c:v>
                </c:pt>
                <c:pt idx="28">
                  <c:v>3.4799999999999942</c:v>
                </c:pt>
                <c:pt idx="29">
                  <c:v>3.489999999999994</c:v>
                </c:pt>
                <c:pt idx="30">
                  <c:v>3.4999999999999938</c:v>
                </c:pt>
                <c:pt idx="31">
                  <c:v>3.5099999999999936</c:v>
                </c:pt>
                <c:pt idx="32">
                  <c:v>3.5199999999999934</c:v>
                </c:pt>
                <c:pt idx="33">
                  <c:v>3.5299999999999931</c:v>
                </c:pt>
                <c:pt idx="34">
                  <c:v>3.5399999999999929</c:v>
                </c:pt>
                <c:pt idx="35">
                  <c:v>3.5499999999999927</c:v>
                </c:pt>
                <c:pt idx="36">
                  <c:v>3.5599999999999925</c:v>
                </c:pt>
                <c:pt idx="37">
                  <c:v>3.5699999999999923</c:v>
                </c:pt>
                <c:pt idx="38">
                  <c:v>3.5799999999999921</c:v>
                </c:pt>
                <c:pt idx="39">
                  <c:v>3.5899999999999919</c:v>
                </c:pt>
                <c:pt idx="40">
                  <c:v>3.5999999999999917</c:v>
                </c:pt>
                <c:pt idx="41">
                  <c:v>3.6099999999999914</c:v>
                </c:pt>
                <c:pt idx="42">
                  <c:v>3.6199999999999912</c:v>
                </c:pt>
                <c:pt idx="43">
                  <c:v>3.629999999999991</c:v>
                </c:pt>
                <c:pt idx="44">
                  <c:v>3.6399999999999908</c:v>
                </c:pt>
                <c:pt idx="45">
                  <c:v>3.6499999999999906</c:v>
                </c:pt>
                <c:pt idx="46">
                  <c:v>3.6599999999999904</c:v>
                </c:pt>
                <c:pt idx="47">
                  <c:v>3.6699999999999902</c:v>
                </c:pt>
                <c:pt idx="48">
                  <c:v>3.6799999999999899</c:v>
                </c:pt>
                <c:pt idx="49">
                  <c:v>3.6899999999999897</c:v>
                </c:pt>
                <c:pt idx="50">
                  <c:v>3.6999999999999895</c:v>
                </c:pt>
                <c:pt idx="51">
                  <c:v>3.7099999999999893</c:v>
                </c:pt>
                <c:pt idx="52">
                  <c:v>3.7199999999999891</c:v>
                </c:pt>
                <c:pt idx="53">
                  <c:v>3.7299999999999889</c:v>
                </c:pt>
                <c:pt idx="54">
                  <c:v>3.7399999999999887</c:v>
                </c:pt>
                <c:pt idx="55">
                  <c:v>3.7499999999999885</c:v>
                </c:pt>
                <c:pt idx="56">
                  <c:v>3.7599999999999882</c:v>
                </c:pt>
                <c:pt idx="57">
                  <c:v>3.769999999999988</c:v>
                </c:pt>
                <c:pt idx="58">
                  <c:v>3.7799999999999878</c:v>
                </c:pt>
                <c:pt idx="59">
                  <c:v>3.7899999999999876</c:v>
                </c:pt>
                <c:pt idx="60">
                  <c:v>3.7999999999999874</c:v>
                </c:pt>
                <c:pt idx="61">
                  <c:v>3.8099999999999872</c:v>
                </c:pt>
                <c:pt idx="62">
                  <c:v>3.819999999999987</c:v>
                </c:pt>
                <c:pt idx="63">
                  <c:v>3.8299999999999867</c:v>
                </c:pt>
                <c:pt idx="64">
                  <c:v>3.8399999999999865</c:v>
                </c:pt>
                <c:pt idx="65">
                  <c:v>3.8499999999999863</c:v>
                </c:pt>
                <c:pt idx="66">
                  <c:v>3.8599999999999861</c:v>
                </c:pt>
                <c:pt idx="67">
                  <c:v>3.8699999999999859</c:v>
                </c:pt>
                <c:pt idx="68">
                  <c:v>3.8799999999999857</c:v>
                </c:pt>
                <c:pt idx="69">
                  <c:v>3.8899999999999855</c:v>
                </c:pt>
                <c:pt idx="70">
                  <c:v>3.8999999999999853</c:v>
                </c:pt>
                <c:pt idx="71">
                  <c:v>3.909999999999985</c:v>
                </c:pt>
                <c:pt idx="72">
                  <c:v>3.9199999999999848</c:v>
                </c:pt>
                <c:pt idx="73">
                  <c:v>3.9299999999999846</c:v>
                </c:pt>
                <c:pt idx="74">
                  <c:v>3.9399999999999844</c:v>
                </c:pt>
                <c:pt idx="75">
                  <c:v>3.9499999999999842</c:v>
                </c:pt>
                <c:pt idx="76">
                  <c:v>3.959999999999984</c:v>
                </c:pt>
                <c:pt idx="77">
                  <c:v>3.9699999999999838</c:v>
                </c:pt>
                <c:pt idx="78">
                  <c:v>3.9799999999999836</c:v>
                </c:pt>
                <c:pt idx="79">
                  <c:v>3.9899999999999833</c:v>
                </c:pt>
                <c:pt idx="80">
                  <c:v>3.9999999999999831</c:v>
                </c:pt>
                <c:pt idx="81">
                  <c:v>4.0099999999999829</c:v>
                </c:pt>
                <c:pt idx="82">
                  <c:v>4.0199999999999827</c:v>
                </c:pt>
                <c:pt idx="83">
                  <c:v>4.0299999999999825</c:v>
                </c:pt>
                <c:pt idx="84">
                  <c:v>4.0399999999999823</c:v>
                </c:pt>
                <c:pt idx="85">
                  <c:v>4.0499999999999821</c:v>
                </c:pt>
                <c:pt idx="86">
                  <c:v>4.0599999999999818</c:v>
                </c:pt>
                <c:pt idx="87">
                  <c:v>4.0699999999999816</c:v>
                </c:pt>
                <c:pt idx="88">
                  <c:v>4.0799999999999814</c:v>
                </c:pt>
                <c:pt idx="89">
                  <c:v>4.0899999999999812</c:v>
                </c:pt>
                <c:pt idx="90">
                  <c:v>4.099999999999981</c:v>
                </c:pt>
                <c:pt idx="91">
                  <c:v>4.1099999999999808</c:v>
                </c:pt>
                <c:pt idx="92">
                  <c:v>4.1199999999999806</c:v>
                </c:pt>
                <c:pt idx="93">
                  <c:v>4.1299999999999804</c:v>
                </c:pt>
                <c:pt idx="94">
                  <c:v>4.1399999999999801</c:v>
                </c:pt>
                <c:pt idx="95">
                  <c:v>4.1499999999999799</c:v>
                </c:pt>
                <c:pt idx="96">
                  <c:v>4.1599999999999797</c:v>
                </c:pt>
                <c:pt idx="97">
                  <c:v>4.1699999999999795</c:v>
                </c:pt>
                <c:pt idx="98">
                  <c:v>4.1799999999999793</c:v>
                </c:pt>
                <c:pt idx="99">
                  <c:v>4.1899999999999791</c:v>
                </c:pt>
                <c:pt idx="100">
                  <c:v>4.1999999999999789</c:v>
                </c:pt>
                <c:pt idx="101">
                  <c:v>4.2999999999999785</c:v>
                </c:pt>
                <c:pt idx="102">
                  <c:v>4.3999999999999782</c:v>
                </c:pt>
                <c:pt idx="103">
                  <c:v>4.4999999999999778</c:v>
                </c:pt>
                <c:pt idx="104">
                  <c:v>4.5999999999999774</c:v>
                </c:pt>
                <c:pt idx="105">
                  <c:v>4.6999999999999771</c:v>
                </c:pt>
                <c:pt idx="106">
                  <c:v>4.7999999999999767</c:v>
                </c:pt>
                <c:pt idx="107">
                  <c:v>4.8999999999999764</c:v>
                </c:pt>
                <c:pt idx="108">
                  <c:v>4.999999999999976</c:v>
                </c:pt>
                <c:pt idx="109">
                  <c:v>5.0999999999999757</c:v>
                </c:pt>
                <c:pt idx="110">
                  <c:v>5.1999999999999753</c:v>
                </c:pt>
                <c:pt idx="111">
                  <c:v>5.299999999999975</c:v>
                </c:pt>
                <c:pt idx="112">
                  <c:v>5.3999999999999746</c:v>
                </c:pt>
                <c:pt idx="113">
                  <c:v>5.4999999999999742</c:v>
                </c:pt>
                <c:pt idx="114">
                  <c:v>5.5999999999999739</c:v>
                </c:pt>
                <c:pt idx="115">
                  <c:v>5.6999999999999735</c:v>
                </c:pt>
                <c:pt idx="116">
                  <c:v>5.7999999999999732</c:v>
                </c:pt>
                <c:pt idx="117">
                  <c:v>5.8999999999999728</c:v>
                </c:pt>
                <c:pt idx="118">
                  <c:v>5.9999999999999725</c:v>
                </c:pt>
                <c:pt idx="119">
                  <c:v>6.0999999999999721</c:v>
                </c:pt>
                <c:pt idx="120">
                  <c:v>6.1999999999999718</c:v>
                </c:pt>
                <c:pt idx="121">
                  <c:v>6.2999999999999714</c:v>
                </c:pt>
                <c:pt idx="122">
                  <c:v>6.399999999999971</c:v>
                </c:pt>
                <c:pt idx="123">
                  <c:v>6.4999999999999707</c:v>
                </c:pt>
                <c:pt idx="124">
                  <c:v>6.5999999999999703</c:v>
                </c:pt>
                <c:pt idx="125">
                  <c:v>6.69999999999997</c:v>
                </c:pt>
                <c:pt idx="126">
                  <c:v>6.7999999999999696</c:v>
                </c:pt>
                <c:pt idx="127">
                  <c:v>6.8999999999999693</c:v>
                </c:pt>
                <c:pt idx="128">
                  <c:v>6.9999999999999689</c:v>
                </c:pt>
                <c:pt idx="129">
                  <c:v>7.0999999999999686</c:v>
                </c:pt>
                <c:pt idx="130">
                  <c:v>7.1999999999999682</c:v>
                </c:pt>
                <c:pt idx="131">
                  <c:v>7.2999999999999678</c:v>
                </c:pt>
                <c:pt idx="132">
                  <c:v>7.3999999999999675</c:v>
                </c:pt>
                <c:pt idx="133">
                  <c:v>7.4999999999999671</c:v>
                </c:pt>
                <c:pt idx="134">
                  <c:v>7.5999999999999668</c:v>
                </c:pt>
                <c:pt idx="135">
                  <c:v>7.6999999999999664</c:v>
                </c:pt>
                <c:pt idx="136">
                  <c:v>7.7999999999999661</c:v>
                </c:pt>
                <c:pt idx="137">
                  <c:v>7.8999999999999657</c:v>
                </c:pt>
                <c:pt idx="138">
                  <c:v>7.9999999999999654</c:v>
                </c:pt>
                <c:pt idx="139">
                  <c:v>8.0999999999999659</c:v>
                </c:pt>
                <c:pt idx="140">
                  <c:v>8.1999999999999655</c:v>
                </c:pt>
                <c:pt idx="141">
                  <c:v>8.2999999999999652</c:v>
                </c:pt>
                <c:pt idx="142">
                  <c:v>8.3999999999999648</c:v>
                </c:pt>
                <c:pt idx="143">
                  <c:v>8.4999999999999645</c:v>
                </c:pt>
                <c:pt idx="144">
                  <c:v>8.5999999999999641</c:v>
                </c:pt>
                <c:pt idx="145">
                  <c:v>8.6999999999999638</c:v>
                </c:pt>
                <c:pt idx="146">
                  <c:v>8.7999999999999634</c:v>
                </c:pt>
                <c:pt idx="147">
                  <c:v>8.8999999999999631</c:v>
                </c:pt>
                <c:pt idx="148">
                  <c:v>8.9999999999999627</c:v>
                </c:pt>
                <c:pt idx="149">
                  <c:v>9.0999999999999623</c:v>
                </c:pt>
                <c:pt idx="150">
                  <c:v>9.199999999999962</c:v>
                </c:pt>
                <c:pt idx="151">
                  <c:v>9.2999999999999616</c:v>
                </c:pt>
                <c:pt idx="152">
                  <c:v>9.3999999999999613</c:v>
                </c:pt>
                <c:pt idx="153">
                  <c:v>9.4999999999999609</c:v>
                </c:pt>
                <c:pt idx="154">
                  <c:v>9.5999999999999606</c:v>
                </c:pt>
                <c:pt idx="155">
                  <c:v>9.6999999999999602</c:v>
                </c:pt>
                <c:pt idx="156">
                  <c:v>9.7999999999999599</c:v>
                </c:pt>
                <c:pt idx="157">
                  <c:v>9.8999999999999595</c:v>
                </c:pt>
                <c:pt idx="158">
                  <c:v>9.9999999999999591</c:v>
                </c:pt>
                <c:pt idx="159">
                  <c:v>10.099999999999959</c:v>
                </c:pt>
                <c:pt idx="160">
                  <c:v>10.199999999999958</c:v>
                </c:pt>
                <c:pt idx="161">
                  <c:v>10.299999999999958</c:v>
                </c:pt>
                <c:pt idx="162">
                  <c:v>10.399999999999958</c:v>
                </c:pt>
                <c:pt idx="163">
                  <c:v>10.499999999999957</c:v>
                </c:pt>
                <c:pt idx="164">
                  <c:v>10.599999999999957</c:v>
                </c:pt>
                <c:pt idx="165">
                  <c:v>10.699999999999957</c:v>
                </c:pt>
                <c:pt idx="166">
                  <c:v>10.799999999999956</c:v>
                </c:pt>
                <c:pt idx="167">
                  <c:v>10.899999999999956</c:v>
                </c:pt>
                <c:pt idx="168">
                  <c:v>10.999999999999956</c:v>
                </c:pt>
                <c:pt idx="169">
                  <c:v>11.099999999999955</c:v>
                </c:pt>
                <c:pt idx="170">
                  <c:v>11.199999999999955</c:v>
                </c:pt>
                <c:pt idx="171">
                  <c:v>11.299999999999955</c:v>
                </c:pt>
                <c:pt idx="172">
                  <c:v>11.399999999999954</c:v>
                </c:pt>
                <c:pt idx="173">
                  <c:v>11.499999999999954</c:v>
                </c:pt>
                <c:pt idx="174">
                  <c:v>11.599999999999953</c:v>
                </c:pt>
                <c:pt idx="175">
                  <c:v>11.699999999999953</c:v>
                </c:pt>
                <c:pt idx="176">
                  <c:v>11.799999999999953</c:v>
                </c:pt>
                <c:pt idx="177">
                  <c:v>11.899999999999952</c:v>
                </c:pt>
                <c:pt idx="178">
                  <c:v>11.999999999999952</c:v>
                </c:pt>
                <c:pt idx="179">
                  <c:v>12.099999999999952</c:v>
                </c:pt>
                <c:pt idx="180">
                  <c:v>12.199999999999951</c:v>
                </c:pt>
                <c:pt idx="181">
                  <c:v>12.299999999999951</c:v>
                </c:pt>
                <c:pt idx="182">
                  <c:v>12.399999999999951</c:v>
                </c:pt>
                <c:pt idx="183">
                  <c:v>12.49999999999995</c:v>
                </c:pt>
                <c:pt idx="184">
                  <c:v>12.59999999999995</c:v>
                </c:pt>
                <c:pt idx="185">
                  <c:v>12.69999999999995</c:v>
                </c:pt>
                <c:pt idx="186">
                  <c:v>12.799999999999949</c:v>
                </c:pt>
                <c:pt idx="187">
                  <c:v>12.899999999999949</c:v>
                </c:pt>
                <c:pt idx="188">
                  <c:v>12.999999999999948</c:v>
                </c:pt>
                <c:pt idx="189">
                  <c:v>13.099999999999948</c:v>
                </c:pt>
                <c:pt idx="190">
                  <c:v>13.199999999999948</c:v>
                </c:pt>
                <c:pt idx="191">
                  <c:v>13.299999999999947</c:v>
                </c:pt>
                <c:pt idx="192">
                  <c:v>13.399999999999947</c:v>
                </c:pt>
                <c:pt idx="193">
                  <c:v>13.499999999999947</c:v>
                </c:pt>
                <c:pt idx="194">
                  <c:v>13.599999999999946</c:v>
                </c:pt>
                <c:pt idx="195">
                  <c:v>13.699999999999946</c:v>
                </c:pt>
                <c:pt idx="196">
                  <c:v>13.799999999999946</c:v>
                </c:pt>
                <c:pt idx="197">
                  <c:v>13.899999999999945</c:v>
                </c:pt>
                <c:pt idx="198">
                  <c:v>13.999999999999945</c:v>
                </c:pt>
                <c:pt idx="199">
                  <c:v>14.099999999999945</c:v>
                </c:pt>
                <c:pt idx="200">
                  <c:v>14.199999999999944</c:v>
                </c:pt>
                <c:pt idx="201">
                  <c:v>14.299999999999944</c:v>
                </c:pt>
                <c:pt idx="202">
                  <c:v>14.399999999999944</c:v>
                </c:pt>
                <c:pt idx="203">
                  <c:v>14.499999999999943</c:v>
                </c:pt>
                <c:pt idx="204">
                  <c:v>14.599999999999943</c:v>
                </c:pt>
                <c:pt idx="205">
                  <c:v>14.699999999999942</c:v>
                </c:pt>
                <c:pt idx="206">
                  <c:v>14.799999999999942</c:v>
                </c:pt>
                <c:pt idx="207">
                  <c:v>14.899999999999942</c:v>
                </c:pt>
                <c:pt idx="208">
                  <c:v>14.999999999999941</c:v>
                </c:pt>
                <c:pt idx="209">
                  <c:v>15.099999999999941</c:v>
                </c:pt>
                <c:pt idx="210">
                  <c:v>15.199999999999941</c:v>
                </c:pt>
                <c:pt idx="211">
                  <c:v>15.29999999999994</c:v>
                </c:pt>
                <c:pt idx="212">
                  <c:v>15.39999999999994</c:v>
                </c:pt>
                <c:pt idx="213">
                  <c:v>15.49999999999994</c:v>
                </c:pt>
                <c:pt idx="214">
                  <c:v>15.599999999999939</c:v>
                </c:pt>
                <c:pt idx="215">
                  <c:v>15.699999999999939</c:v>
                </c:pt>
                <c:pt idx="216">
                  <c:v>15.799999999999939</c:v>
                </c:pt>
                <c:pt idx="217">
                  <c:v>15.899999999999938</c:v>
                </c:pt>
                <c:pt idx="218">
                  <c:v>15.999999999999938</c:v>
                </c:pt>
                <c:pt idx="219">
                  <c:v>16.099999999999937</c:v>
                </c:pt>
                <c:pt idx="220">
                  <c:v>16.199999999999939</c:v>
                </c:pt>
                <c:pt idx="221">
                  <c:v>16.29999999999994</c:v>
                </c:pt>
                <c:pt idx="222">
                  <c:v>16.399999999999942</c:v>
                </c:pt>
                <c:pt idx="223">
                  <c:v>16.499999999999943</c:v>
                </c:pt>
                <c:pt idx="224">
                  <c:v>16.599999999999945</c:v>
                </c:pt>
                <c:pt idx="225">
                  <c:v>16.699999999999946</c:v>
                </c:pt>
                <c:pt idx="226">
                  <c:v>16.799999999999947</c:v>
                </c:pt>
                <c:pt idx="227">
                  <c:v>16.899999999999949</c:v>
                </c:pt>
                <c:pt idx="228">
                  <c:v>16.99999999999995</c:v>
                </c:pt>
                <c:pt idx="229">
                  <c:v>17.099999999999952</c:v>
                </c:pt>
                <c:pt idx="230">
                  <c:v>17.199999999999953</c:v>
                </c:pt>
                <c:pt idx="231">
                  <c:v>17.299999999999955</c:v>
                </c:pt>
                <c:pt idx="232">
                  <c:v>17.399999999999956</c:v>
                </c:pt>
                <c:pt idx="233">
                  <c:v>17.499999999999957</c:v>
                </c:pt>
                <c:pt idx="234">
                  <c:v>17.599999999999959</c:v>
                </c:pt>
                <c:pt idx="235">
                  <c:v>17.69999999999996</c:v>
                </c:pt>
                <c:pt idx="236">
                  <c:v>17.799999999999962</c:v>
                </c:pt>
                <c:pt idx="237">
                  <c:v>17.899999999999963</c:v>
                </c:pt>
                <c:pt idx="238">
                  <c:v>17.999999999999964</c:v>
                </c:pt>
                <c:pt idx="239">
                  <c:v>18.099999999999966</c:v>
                </c:pt>
                <c:pt idx="240">
                  <c:v>18.199999999999967</c:v>
                </c:pt>
                <c:pt idx="241">
                  <c:v>18.299999999999969</c:v>
                </c:pt>
                <c:pt idx="242">
                  <c:v>18.39999999999997</c:v>
                </c:pt>
                <c:pt idx="243">
                  <c:v>18.499999999999972</c:v>
                </c:pt>
                <c:pt idx="244">
                  <c:v>18.599999999999973</c:v>
                </c:pt>
                <c:pt idx="245">
                  <c:v>18.699999999999974</c:v>
                </c:pt>
                <c:pt idx="246">
                  <c:v>18.799999999999976</c:v>
                </c:pt>
                <c:pt idx="247">
                  <c:v>18.899999999999977</c:v>
                </c:pt>
                <c:pt idx="248">
                  <c:v>18.999999999999979</c:v>
                </c:pt>
                <c:pt idx="249">
                  <c:v>19.09999999999998</c:v>
                </c:pt>
                <c:pt idx="250">
                  <c:v>19.199999999999982</c:v>
                </c:pt>
                <c:pt idx="251">
                  <c:v>19.299999999999983</c:v>
                </c:pt>
                <c:pt idx="252">
                  <c:v>19.399999999999984</c:v>
                </c:pt>
                <c:pt idx="253">
                  <c:v>19.499999999999986</c:v>
                </c:pt>
                <c:pt idx="254">
                  <c:v>19.599999999999987</c:v>
                </c:pt>
                <c:pt idx="255">
                  <c:v>19.699999999999989</c:v>
                </c:pt>
                <c:pt idx="256">
                  <c:v>19.79999999999999</c:v>
                </c:pt>
                <c:pt idx="257">
                  <c:v>19.899999999999991</c:v>
                </c:pt>
                <c:pt idx="258">
                  <c:v>19.999999999999993</c:v>
                </c:pt>
                <c:pt idx="259">
                  <c:v>20.099999999999994</c:v>
                </c:pt>
                <c:pt idx="260">
                  <c:v>20.199999999999996</c:v>
                </c:pt>
                <c:pt idx="261">
                  <c:v>20.299999999999997</c:v>
                </c:pt>
                <c:pt idx="262">
                  <c:v>20.399999999999999</c:v>
                </c:pt>
                <c:pt idx="263">
                  <c:v>20.5</c:v>
                </c:pt>
                <c:pt idx="264">
                  <c:v>20.6</c:v>
                </c:pt>
                <c:pt idx="265">
                  <c:v>20.700000000000003</c:v>
                </c:pt>
                <c:pt idx="266">
                  <c:v>20.800000000000004</c:v>
                </c:pt>
                <c:pt idx="267">
                  <c:v>20.900000000000006</c:v>
                </c:pt>
                <c:pt idx="268">
                  <c:v>21.000000000000007</c:v>
                </c:pt>
                <c:pt idx="269">
                  <c:v>21.100000000000009</c:v>
                </c:pt>
                <c:pt idx="270">
                  <c:v>21.20000000000001</c:v>
                </c:pt>
                <c:pt idx="271">
                  <c:v>21.300000000000011</c:v>
                </c:pt>
                <c:pt idx="272">
                  <c:v>21.400000000000013</c:v>
                </c:pt>
                <c:pt idx="273">
                  <c:v>21.500000000000014</c:v>
                </c:pt>
                <c:pt idx="274">
                  <c:v>21.600000000000016</c:v>
                </c:pt>
                <c:pt idx="275">
                  <c:v>21.700000000000017</c:v>
                </c:pt>
                <c:pt idx="276">
                  <c:v>21.800000000000018</c:v>
                </c:pt>
                <c:pt idx="277">
                  <c:v>21.90000000000002</c:v>
                </c:pt>
                <c:pt idx="278">
                  <c:v>22.000000000000021</c:v>
                </c:pt>
                <c:pt idx="279">
                  <c:v>22.100000000000023</c:v>
                </c:pt>
                <c:pt idx="280">
                  <c:v>22.200000000000024</c:v>
                </c:pt>
                <c:pt idx="281">
                  <c:v>22.300000000000026</c:v>
                </c:pt>
                <c:pt idx="282">
                  <c:v>22.400000000000027</c:v>
                </c:pt>
                <c:pt idx="283">
                  <c:v>22.500000000000028</c:v>
                </c:pt>
                <c:pt idx="284">
                  <c:v>22.60000000000003</c:v>
                </c:pt>
                <c:pt idx="285">
                  <c:v>22.700000000000031</c:v>
                </c:pt>
                <c:pt idx="286">
                  <c:v>22.800000000000033</c:v>
                </c:pt>
                <c:pt idx="287">
                  <c:v>22.900000000000034</c:v>
                </c:pt>
                <c:pt idx="288">
                  <c:v>23.000000000000036</c:v>
                </c:pt>
                <c:pt idx="289">
                  <c:v>23.100000000000037</c:v>
                </c:pt>
                <c:pt idx="290">
                  <c:v>23.200000000000038</c:v>
                </c:pt>
                <c:pt idx="291">
                  <c:v>23.30000000000004</c:v>
                </c:pt>
                <c:pt idx="292">
                  <c:v>23.400000000000041</c:v>
                </c:pt>
                <c:pt idx="293">
                  <c:v>23.500000000000043</c:v>
                </c:pt>
                <c:pt idx="294">
                  <c:v>23.600000000000044</c:v>
                </c:pt>
                <c:pt idx="295">
                  <c:v>23.700000000000045</c:v>
                </c:pt>
                <c:pt idx="296">
                  <c:v>23.800000000000047</c:v>
                </c:pt>
                <c:pt idx="297">
                  <c:v>23.900000000000048</c:v>
                </c:pt>
                <c:pt idx="298">
                  <c:v>24.00000000000005</c:v>
                </c:pt>
                <c:pt idx="299">
                  <c:v>24.100000000000051</c:v>
                </c:pt>
                <c:pt idx="300">
                  <c:v>24.200000000000053</c:v>
                </c:pt>
                <c:pt idx="301">
                  <c:v>24.300000000000054</c:v>
                </c:pt>
                <c:pt idx="302">
                  <c:v>24.400000000000055</c:v>
                </c:pt>
                <c:pt idx="303">
                  <c:v>24.500000000000057</c:v>
                </c:pt>
                <c:pt idx="304">
                  <c:v>24.600000000000058</c:v>
                </c:pt>
                <c:pt idx="305">
                  <c:v>24.70000000000006</c:v>
                </c:pt>
                <c:pt idx="306">
                  <c:v>24.800000000000061</c:v>
                </c:pt>
                <c:pt idx="307">
                  <c:v>24.900000000000063</c:v>
                </c:pt>
                <c:pt idx="308">
                  <c:v>25.000000000000064</c:v>
                </c:pt>
                <c:pt idx="309">
                  <c:v>25.100000000000065</c:v>
                </c:pt>
                <c:pt idx="310">
                  <c:v>25.200000000000067</c:v>
                </c:pt>
                <c:pt idx="311">
                  <c:v>25.300000000000068</c:v>
                </c:pt>
                <c:pt idx="312">
                  <c:v>25.40000000000007</c:v>
                </c:pt>
                <c:pt idx="313">
                  <c:v>25.500000000000071</c:v>
                </c:pt>
                <c:pt idx="314">
                  <c:v>25.600000000000072</c:v>
                </c:pt>
                <c:pt idx="315">
                  <c:v>25.700000000000074</c:v>
                </c:pt>
                <c:pt idx="316">
                  <c:v>25.800000000000075</c:v>
                </c:pt>
                <c:pt idx="317">
                  <c:v>25.900000000000077</c:v>
                </c:pt>
                <c:pt idx="318">
                  <c:v>26.000000000000078</c:v>
                </c:pt>
                <c:pt idx="319">
                  <c:v>26.10000000000008</c:v>
                </c:pt>
                <c:pt idx="320">
                  <c:v>26.200000000000081</c:v>
                </c:pt>
                <c:pt idx="321">
                  <c:v>26.300000000000082</c:v>
                </c:pt>
                <c:pt idx="322">
                  <c:v>26.400000000000084</c:v>
                </c:pt>
                <c:pt idx="323">
                  <c:v>26.500000000000085</c:v>
                </c:pt>
                <c:pt idx="324">
                  <c:v>26.600000000000087</c:v>
                </c:pt>
                <c:pt idx="325">
                  <c:v>26.700000000000088</c:v>
                </c:pt>
                <c:pt idx="326">
                  <c:v>26.80000000000009</c:v>
                </c:pt>
                <c:pt idx="327">
                  <c:v>26.900000000000091</c:v>
                </c:pt>
                <c:pt idx="328">
                  <c:v>27.000000000000092</c:v>
                </c:pt>
                <c:pt idx="329">
                  <c:v>27.100000000000094</c:v>
                </c:pt>
                <c:pt idx="330">
                  <c:v>27.200000000000095</c:v>
                </c:pt>
                <c:pt idx="331">
                  <c:v>27.300000000000097</c:v>
                </c:pt>
                <c:pt idx="332">
                  <c:v>27.400000000000098</c:v>
                </c:pt>
                <c:pt idx="333">
                  <c:v>27.500000000000099</c:v>
                </c:pt>
                <c:pt idx="334">
                  <c:v>27.600000000000101</c:v>
                </c:pt>
                <c:pt idx="335">
                  <c:v>27.700000000000102</c:v>
                </c:pt>
                <c:pt idx="336">
                  <c:v>27.800000000000104</c:v>
                </c:pt>
                <c:pt idx="337">
                  <c:v>27.900000000000105</c:v>
                </c:pt>
                <c:pt idx="338">
                  <c:v>28.000000000000107</c:v>
                </c:pt>
                <c:pt idx="339">
                  <c:v>28.100000000000108</c:v>
                </c:pt>
                <c:pt idx="340">
                  <c:v>28.200000000000109</c:v>
                </c:pt>
                <c:pt idx="341">
                  <c:v>28.300000000000111</c:v>
                </c:pt>
                <c:pt idx="342">
                  <c:v>28.400000000000112</c:v>
                </c:pt>
                <c:pt idx="343">
                  <c:v>28.500000000000114</c:v>
                </c:pt>
                <c:pt idx="344">
                  <c:v>28.600000000000115</c:v>
                </c:pt>
                <c:pt idx="345">
                  <c:v>28.700000000000117</c:v>
                </c:pt>
                <c:pt idx="346">
                  <c:v>28.800000000000118</c:v>
                </c:pt>
                <c:pt idx="347">
                  <c:v>28.900000000000119</c:v>
                </c:pt>
                <c:pt idx="348">
                  <c:v>29.000000000000121</c:v>
                </c:pt>
                <c:pt idx="349">
                  <c:v>29.100000000000122</c:v>
                </c:pt>
                <c:pt idx="350">
                  <c:v>29.200000000000124</c:v>
                </c:pt>
                <c:pt idx="351">
                  <c:v>29.300000000000125</c:v>
                </c:pt>
                <c:pt idx="352">
                  <c:v>29.400000000000126</c:v>
                </c:pt>
                <c:pt idx="353">
                  <c:v>29.500000000000128</c:v>
                </c:pt>
                <c:pt idx="354">
                  <c:v>29.600000000000129</c:v>
                </c:pt>
                <c:pt idx="355">
                  <c:v>29.700000000000131</c:v>
                </c:pt>
                <c:pt idx="356">
                  <c:v>29.800000000000132</c:v>
                </c:pt>
                <c:pt idx="357">
                  <c:v>29.900000000000134</c:v>
                </c:pt>
                <c:pt idx="358">
                  <c:v>30.000000000000135</c:v>
                </c:pt>
                <c:pt idx="359">
                  <c:v>30.100000000000136</c:v>
                </c:pt>
                <c:pt idx="360">
                  <c:v>30.200000000000138</c:v>
                </c:pt>
                <c:pt idx="361">
                  <c:v>30.300000000000139</c:v>
                </c:pt>
                <c:pt idx="362">
                  <c:v>30.400000000000141</c:v>
                </c:pt>
                <c:pt idx="363">
                  <c:v>30.500000000000142</c:v>
                </c:pt>
                <c:pt idx="364">
                  <c:v>30.600000000000144</c:v>
                </c:pt>
                <c:pt idx="365">
                  <c:v>30.700000000000145</c:v>
                </c:pt>
                <c:pt idx="366">
                  <c:v>30.800000000000146</c:v>
                </c:pt>
                <c:pt idx="367">
                  <c:v>30.900000000000148</c:v>
                </c:pt>
                <c:pt idx="368">
                  <c:v>31.000000000000149</c:v>
                </c:pt>
                <c:pt idx="369">
                  <c:v>31.100000000000151</c:v>
                </c:pt>
                <c:pt idx="370">
                  <c:v>31.200000000000152</c:v>
                </c:pt>
                <c:pt idx="371">
                  <c:v>31.300000000000153</c:v>
                </c:pt>
                <c:pt idx="372">
                  <c:v>31.400000000000155</c:v>
                </c:pt>
                <c:pt idx="373">
                  <c:v>31.500000000000156</c:v>
                </c:pt>
                <c:pt idx="374">
                  <c:v>31.600000000000158</c:v>
                </c:pt>
                <c:pt idx="375">
                  <c:v>31.700000000000159</c:v>
                </c:pt>
                <c:pt idx="376">
                  <c:v>31.800000000000161</c:v>
                </c:pt>
                <c:pt idx="377">
                  <c:v>31.900000000000162</c:v>
                </c:pt>
                <c:pt idx="378">
                  <c:v>32.000000000000163</c:v>
                </c:pt>
                <c:pt idx="379">
                  <c:v>32.100000000000165</c:v>
                </c:pt>
                <c:pt idx="380">
                  <c:v>32.200000000000166</c:v>
                </c:pt>
                <c:pt idx="381">
                  <c:v>32.300000000000168</c:v>
                </c:pt>
                <c:pt idx="382">
                  <c:v>32.400000000000169</c:v>
                </c:pt>
                <c:pt idx="383">
                  <c:v>32.500000000000171</c:v>
                </c:pt>
                <c:pt idx="384">
                  <c:v>32.500100000000174</c:v>
                </c:pt>
                <c:pt idx="385">
                  <c:v>32.500200000000177</c:v>
                </c:pt>
                <c:pt idx="386">
                  <c:v>32.50030000000018</c:v>
                </c:pt>
                <c:pt idx="387">
                  <c:v>32.500400000000184</c:v>
                </c:pt>
                <c:pt idx="388">
                  <c:v>32.500500000000187</c:v>
                </c:pt>
                <c:pt idx="389">
                  <c:v>32.50060000000019</c:v>
                </c:pt>
                <c:pt idx="390">
                  <c:v>32.500700000000194</c:v>
                </c:pt>
                <c:pt idx="391">
                  <c:v>32.500800000000197</c:v>
                </c:pt>
                <c:pt idx="392">
                  <c:v>32.5009000000002</c:v>
                </c:pt>
                <c:pt idx="393">
                  <c:v>32.501000000000204</c:v>
                </c:pt>
                <c:pt idx="394">
                  <c:v>32.501100000000207</c:v>
                </c:pt>
                <c:pt idx="395">
                  <c:v>32.50120000000021</c:v>
                </c:pt>
                <c:pt idx="396">
                  <c:v>32.501300000000214</c:v>
                </c:pt>
                <c:pt idx="397">
                  <c:v>32.501400000000217</c:v>
                </c:pt>
                <c:pt idx="398">
                  <c:v>32.50150000000022</c:v>
                </c:pt>
                <c:pt idx="399">
                  <c:v>32.501600000000224</c:v>
                </c:pt>
                <c:pt idx="400">
                  <c:v>32.501700000000227</c:v>
                </c:pt>
                <c:pt idx="401">
                  <c:v>32.50180000000023</c:v>
                </c:pt>
                <c:pt idx="402">
                  <c:v>32.501900000000234</c:v>
                </c:pt>
                <c:pt idx="403">
                  <c:v>32.502000000000237</c:v>
                </c:pt>
                <c:pt idx="404">
                  <c:v>32.50210000000024</c:v>
                </c:pt>
                <c:pt idx="405">
                  <c:v>32.502200000000244</c:v>
                </c:pt>
                <c:pt idx="406">
                  <c:v>32.502300000000247</c:v>
                </c:pt>
                <c:pt idx="407">
                  <c:v>32.50240000000025</c:v>
                </c:pt>
                <c:pt idx="408">
                  <c:v>32.502500000000254</c:v>
                </c:pt>
                <c:pt idx="409">
                  <c:v>32.502600000000257</c:v>
                </c:pt>
                <c:pt idx="410">
                  <c:v>32.50270000000026</c:v>
                </c:pt>
                <c:pt idx="411">
                  <c:v>32.502800000000263</c:v>
                </c:pt>
                <c:pt idx="412">
                  <c:v>32.502900000000267</c:v>
                </c:pt>
                <c:pt idx="413">
                  <c:v>32.50300000000027</c:v>
                </c:pt>
                <c:pt idx="414">
                  <c:v>32.503100000000273</c:v>
                </c:pt>
                <c:pt idx="415">
                  <c:v>32.503200000000277</c:v>
                </c:pt>
                <c:pt idx="416">
                  <c:v>32.50330000000028</c:v>
                </c:pt>
                <c:pt idx="417">
                  <c:v>32.503400000000283</c:v>
                </c:pt>
                <c:pt idx="418">
                  <c:v>32.503500000000287</c:v>
                </c:pt>
                <c:pt idx="419">
                  <c:v>32.50360000000029</c:v>
                </c:pt>
                <c:pt idx="420">
                  <c:v>32.503700000000293</c:v>
                </c:pt>
                <c:pt idx="421">
                  <c:v>32.503800000000297</c:v>
                </c:pt>
                <c:pt idx="422">
                  <c:v>32.5039000000003</c:v>
                </c:pt>
                <c:pt idx="423">
                  <c:v>32.504000000000303</c:v>
                </c:pt>
                <c:pt idx="424">
                  <c:v>32.504100000000307</c:v>
                </c:pt>
                <c:pt idx="425">
                  <c:v>32.50420000000031</c:v>
                </c:pt>
                <c:pt idx="426">
                  <c:v>32.504300000000313</c:v>
                </c:pt>
                <c:pt idx="427">
                  <c:v>32.504400000000317</c:v>
                </c:pt>
                <c:pt idx="428">
                  <c:v>32.50450000000032</c:v>
                </c:pt>
                <c:pt idx="429">
                  <c:v>32.504600000000323</c:v>
                </c:pt>
                <c:pt idx="430">
                  <c:v>32.504700000000327</c:v>
                </c:pt>
                <c:pt idx="431">
                  <c:v>32.50480000000033</c:v>
                </c:pt>
                <c:pt idx="432">
                  <c:v>32.504900000000333</c:v>
                </c:pt>
                <c:pt idx="433">
                  <c:v>32.505000000000337</c:v>
                </c:pt>
                <c:pt idx="434">
                  <c:v>32.50510000000034</c:v>
                </c:pt>
                <c:pt idx="435">
                  <c:v>32.505200000000343</c:v>
                </c:pt>
                <c:pt idx="436">
                  <c:v>32.505300000000346</c:v>
                </c:pt>
                <c:pt idx="437">
                  <c:v>32.50540000000035</c:v>
                </c:pt>
                <c:pt idx="438">
                  <c:v>32.505500000000353</c:v>
                </c:pt>
                <c:pt idx="439">
                  <c:v>32.505600000000356</c:v>
                </c:pt>
                <c:pt idx="440">
                  <c:v>32.50570000000036</c:v>
                </c:pt>
                <c:pt idx="441">
                  <c:v>32.505800000000363</c:v>
                </c:pt>
                <c:pt idx="442">
                  <c:v>32.505900000000366</c:v>
                </c:pt>
                <c:pt idx="443">
                  <c:v>32.50600000000037</c:v>
                </c:pt>
                <c:pt idx="444">
                  <c:v>32.506100000000373</c:v>
                </c:pt>
                <c:pt idx="445">
                  <c:v>32.506200000000376</c:v>
                </c:pt>
                <c:pt idx="446">
                  <c:v>32.50630000000038</c:v>
                </c:pt>
                <c:pt idx="447">
                  <c:v>32.506400000000383</c:v>
                </c:pt>
                <c:pt idx="448">
                  <c:v>32.506500000000386</c:v>
                </c:pt>
                <c:pt idx="449">
                  <c:v>32.50660000000039</c:v>
                </c:pt>
                <c:pt idx="450">
                  <c:v>32.506700000000393</c:v>
                </c:pt>
                <c:pt idx="451">
                  <c:v>32.506800000000396</c:v>
                </c:pt>
                <c:pt idx="452">
                  <c:v>32.5069000000004</c:v>
                </c:pt>
                <c:pt idx="453">
                  <c:v>32.507000000000403</c:v>
                </c:pt>
                <c:pt idx="454">
                  <c:v>32.507100000000406</c:v>
                </c:pt>
                <c:pt idx="455">
                  <c:v>32.50720000000041</c:v>
                </c:pt>
                <c:pt idx="456">
                  <c:v>32.507300000000413</c:v>
                </c:pt>
                <c:pt idx="457">
                  <c:v>32.507400000000416</c:v>
                </c:pt>
                <c:pt idx="458">
                  <c:v>32.50750000000042</c:v>
                </c:pt>
                <c:pt idx="459">
                  <c:v>32.507600000000423</c:v>
                </c:pt>
                <c:pt idx="460">
                  <c:v>32.507700000000426</c:v>
                </c:pt>
                <c:pt idx="461">
                  <c:v>32.507800000000429</c:v>
                </c:pt>
                <c:pt idx="462">
                  <c:v>32.507900000000433</c:v>
                </c:pt>
                <c:pt idx="463">
                  <c:v>32.508000000000436</c:v>
                </c:pt>
                <c:pt idx="464">
                  <c:v>32.508100000000439</c:v>
                </c:pt>
                <c:pt idx="465">
                  <c:v>32.508200000000443</c:v>
                </c:pt>
                <c:pt idx="466">
                  <c:v>32.508300000000446</c:v>
                </c:pt>
                <c:pt idx="467">
                  <c:v>32.508400000000449</c:v>
                </c:pt>
                <c:pt idx="468">
                  <c:v>32.508500000000453</c:v>
                </c:pt>
                <c:pt idx="469">
                  <c:v>32.508600000000456</c:v>
                </c:pt>
                <c:pt idx="470">
                  <c:v>32.508700000000459</c:v>
                </c:pt>
                <c:pt idx="471">
                  <c:v>32.508800000000463</c:v>
                </c:pt>
                <c:pt idx="472">
                  <c:v>32.508900000000466</c:v>
                </c:pt>
                <c:pt idx="473">
                  <c:v>32.509000000000469</c:v>
                </c:pt>
                <c:pt idx="474">
                  <c:v>32.509100000000473</c:v>
                </c:pt>
                <c:pt idx="475">
                  <c:v>32.509200000000476</c:v>
                </c:pt>
                <c:pt idx="476">
                  <c:v>32.509300000000479</c:v>
                </c:pt>
                <c:pt idx="477">
                  <c:v>32.509400000000483</c:v>
                </c:pt>
                <c:pt idx="478">
                  <c:v>32.509500000000486</c:v>
                </c:pt>
                <c:pt idx="479">
                  <c:v>32.509600000000489</c:v>
                </c:pt>
                <c:pt idx="480">
                  <c:v>32.509700000000493</c:v>
                </c:pt>
                <c:pt idx="481">
                  <c:v>32.509800000000496</c:v>
                </c:pt>
                <c:pt idx="482">
                  <c:v>32.509900000000499</c:v>
                </c:pt>
                <c:pt idx="483">
                  <c:v>32.510000000000502</c:v>
                </c:pt>
                <c:pt idx="484">
                  <c:v>32.510100000000506</c:v>
                </c:pt>
                <c:pt idx="485">
                  <c:v>32.510200000000509</c:v>
                </c:pt>
                <c:pt idx="486">
                  <c:v>32.510300000000512</c:v>
                </c:pt>
                <c:pt idx="487">
                  <c:v>32.510400000000516</c:v>
                </c:pt>
                <c:pt idx="488">
                  <c:v>32.510500000000519</c:v>
                </c:pt>
                <c:pt idx="489">
                  <c:v>32.510600000000522</c:v>
                </c:pt>
                <c:pt idx="490">
                  <c:v>32.510700000000526</c:v>
                </c:pt>
                <c:pt idx="491">
                  <c:v>32.510800000000529</c:v>
                </c:pt>
                <c:pt idx="492">
                  <c:v>32.510900000000532</c:v>
                </c:pt>
                <c:pt idx="493">
                  <c:v>32.511000000000536</c:v>
                </c:pt>
                <c:pt idx="494">
                  <c:v>32.511100000000539</c:v>
                </c:pt>
                <c:pt idx="495">
                  <c:v>32.511200000000542</c:v>
                </c:pt>
                <c:pt idx="496">
                  <c:v>32.511300000000546</c:v>
                </c:pt>
                <c:pt idx="497">
                  <c:v>32.511400000000549</c:v>
                </c:pt>
                <c:pt idx="498">
                  <c:v>32.511500000000552</c:v>
                </c:pt>
                <c:pt idx="499">
                  <c:v>32.511600000000556</c:v>
                </c:pt>
                <c:pt idx="500">
                  <c:v>32.511700000000559</c:v>
                </c:pt>
                <c:pt idx="501">
                  <c:v>32.511800000000562</c:v>
                </c:pt>
                <c:pt idx="502">
                  <c:v>32.511900000000566</c:v>
                </c:pt>
                <c:pt idx="503">
                  <c:v>32.512000000000569</c:v>
                </c:pt>
                <c:pt idx="504">
                  <c:v>32.512100000000572</c:v>
                </c:pt>
                <c:pt idx="505">
                  <c:v>32.512200000000576</c:v>
                </c:pt>
                <c:pt idx="506">
                  <c:v>32.512300000000579</c:v>
                </c:pt>
                <c:pt idx="507">
                  <c:v>32.512400000000582</c:v>
                </c:pt>
                <c:pt idx="508">
                  <c:v>32.512500000000585</c:v>
                </c:pt>
                <c:pt idx="509">
                  <c:v>32.512600000000589</c:v>
                </c:pt>
                <c:pt idx="510">
                  <c:v>32.512700000000592</c:v>
                </c:pt>
                <c:pt idx="511">
                  <c:v>32.512800000000595</c:v>
                </c:pt>
                <c:pt idx="512">
                  <c:v>32.512900000000599</c:v>
                </c:pt>
                <c:pt idx="513">
                  <c:v>32.513000000000602</c:v>
                </c:pt>
                <c:pt idx="514">
                  <c:v>32.513100000000605</c:v>
                </c:pt>
                <c:pt idx="515">
                  <c:v>32.513200000000609</c:v>
                </c:pt>
                <c:pt idx="516">
                  <c:v>32.513300000000612</c:v>
                </c:pt>
                <c:pt idx="517">
                  <c:v>32.513400000000615</c:v>
                </c:pt>
                <c:pt idx="518">
                  <c:v>32.513500000000619</c:v>
                </c:pt>
                <c:pt idx="519">
                  <c:v>32.513600000000622</c:v>
                </c:pt>
                <c:pt idx="520">
                  <c:v>32.513700000000625</c:v>
                </c:pt>
                <c:pt idx="521">
                  <c:v>32.513800000000629</c:v>
                </c:pt>
                <c:pt idx="522">
                  <c:v>32.513900000000632</c:v>
                </c:pt>
                <c:pt idx="523">
                  <c:v>32.514000000000635</c:v>
                </c:pt>
                <c:pt idx="524">
                  <c:v>32.514100000000639</c:v>
                </c:pt>
                <c:pt idx="525">
                  <c:v>32.514200000000642</c:v>
                </c:pt>
                <c:pt idx="526">
                  <c:v>32.514300000000645</c:v>
                </c:pt>
                <c:pt idx="527">
                  <c:v>32.514400000000649</c:v>
                </c:pt>
                <c:pt idx="528">
                  <c:v>32.514500000000652</c:v>
                </c:pt>
                <c:pt idx="529">
                  <c:v>32.514600000000655</c:v>
                </c:pt>
                <c:pt idx="530">
                  <c:v>32.514700000000659</c:v>
                </c:pt>
                <c:pt idx="531">
                  <c:v>32.514800000000662</c:v>
                </c:pt>
                <c:pt idx="532">
                  <c:v>32.514900000000665</c:v>
                </c:pt>
                <c:pt idx="533">
                  <c:v>32.515000000000668</c:v>
                </c:pt>
                <c:pt idx="534">
                  <c:v>32.515100000000672</c:v>
                </c:pt>
                <c:pt idx="535">
                  <c:v>32.515200000000675</c:v>
                </c:pt>
                <c:pt idx="536">
                  <c:v>32.515300000000678</c:v>
                </c:pt>
                <c:pt idx="537">
                  <c:v>32.515400000000682</c:v>
                </c:pt>
                <c:pt idx="538">
                  <c:v>32.515500000000685</c:v>
                </c:pt>
                <c:pt idx="539">
                  <c:v>32.515600000000688</c:v>
                </c:pt>
                <c:pt idx="540">
                  <c:v>32.515700000000692</c:v>
                </c:pt>
                <c:pt idx="541">
                  <c:v>32.515800000000695</c:v>
                </c:pt>
                <c:pt idx="542">
                  <c:v>32.515900000000698</c:v>
                </c:pt>
                <c:pt idx="543">
                  <c:v>32.516000000000702</c:v>
                </c:pt>
                <c:pt idx="544">
                  <c:v>32.516100000000705</c:v>
                </c:pt>
                <c:pt idx="545">
                  <c:v>32.516200000000708</c:v>
                </c:pt>
                <c:pt idx="546">
                  <c:v>32.516300000000712</c:v>
                </c:pt>
                <c:pt idx="547">
                  <c:v>32.516400000000715</c:v>
                </c:pt>
                <c:pt idx="548">
                  <c:v>32.516500000000718</c:v>
                </c:pt>
                <c:pt idx="549">
                  <c:v>32.516600000000722</c:v>
                </c:pt>
                <c:pt idx="550">
                  <c:v>32.516700000000725</c:v>
                </c:pt>
                <c:pt idx="551">
                  <c:v>32.516800000000728</c:v>
                </c:pt>
                <c:pt idx="552">
                  <c:v>32.516900000000732</c:v>
                </c:pt>
                <c:pt idx="553">
                  <c:v>32.517000000000735</c:v>
                </c:pt>
                <c:pt idx="554">
                  <c:v>32.517100000000738</c:v>
                </c:pt>
                <c:pt idx="555">
                  <c:v>32.517200000000742</c:v>
                </c:pt>
                <c:pt idx="556">
                  <c:v>32.517300000000745</c:v>
                </c:pt>
                <c:pt idx="557">
                  <c:v>32.517400000000748</c:v>
                </c:pt>
                <c:pt idx="558">
                  <c:v>32.517500000000751</c:v>
                </c:pt>
                <c:pt idx="559">
                  <c:v>32.517600000000755</c:v>
                </c:pt>
                <c:pt idx="560">
                  <c:v>32.517700000000758</c:v>
                </c:pt>
                <c:pt idx="561">
                  <c:v>32.517800000000761</c:v>
                </c:pt>
                <c:pt idx="562">
                  <c:v>32.517900000000765</c:v>
                </c:pt>
                <c:pt idx="563">
                  <c:v>32.518000000000768</c:v>
                </c:pt>
                <c:pt idx="564">
                  <c:v>32.518100000000771</c:v>
                </c:pt>
                <c:pt idx="565">
                  <c:v>32.518200000000775</c:v>
                </c:pt>
                <c:pt idx="566">
                  <c:v>32.518300000000778</c:v>
                </c:pt>
                <c:pt idx="567">
                  <c:v>32.518400000000781</c:v>
                </c:pt>
                <c:pt idx="568">
                  <c:v>32.518500000000785</c:v>
                </c:pt>
                <c:pt idx="569">
                  <c:v>32.518600000000788</c:v>
                </c:pt>
                <c:pt idx="570">
                  <c:v>32.518700000000791</c:v>
                </c:pt>
                <c:pt idx="571">
                  <c:v>32.518800000000795</c:v>
                </c:pt>
                <c:pt idx="572">
                  <c:v>32.518900000000798</c:v>
                </c:pt>
                <c:pt idx="573">
                  <c:v>32.519000000000801</c:v>
                </c:pt>
                <c:pt idx="574">
                  <c:v>32.519100000000805</c:v>
                </c:pt>
                <c:pt idx="575">
                  <c:v>32.519200000000808</c:v>
                </c:pt>
                <c:pt idx="576">
                  <c:v>32.519300000000811</c:v>
                </c:pt>
                <c:pt idx="577">
                  <c:v>32.519400000000815</c:v>
                </c:pt>
                <c:pt idx="578">
                  <c:v>32.519500000000818</c:v>
                </c:pt>
                <c:pt idx="579">
                  <c:v>32.519600000000821</c:v>
                </c:pt>
                <c:pt idx="580">
                  <c:v>32.519700000000825</c:v>
                </c:pt>
                <c:pt idx="581">
                  <c:v>32.519800000000828</c:v>
                </c:pt>
                <c:pt idx="582">
                  <c:v>32.519900000000831</c:v>
                </c:pt>
                <c:pt idx="583">
                  <c:v>32.520000000000834</c:v>
                </c:pt>
                <c:pt idx="584">
                  <c:v>32.520100000000838</c:v>
                </c:pt>
                <c:pt idx="585">
                  <c:v>32.520200000000841</c:v>
                </c:pt>
                <c:pt idx="586">
                  <c:v>32.520300000000844</c:v>
                </c:pt>
                <c:pt idx="587">
                  <c:v>32.520400000000848</c:v>
                </c:pt>
                <c:pt idx="588">
                  <c:v>32.520500000000851</c:v>
                </c:pt>
                <c:pt idx="589">
                  <c:v>32.520600000000854</c:v>
                </c:pt>
                <c:pt idx="590">
                  <c:v>32.520700000000858</c:v>
                </c:pt>
                <c:pt idx="591">
                  <c:v>32.520800000000861</c:v>
                </c:pt>
                <c:pt idx="592">
                  <c:v>32.520900000000864</c:v>
                </c:pt>
                <c:pt idx="593">
                  <c:v>32.521000000000868</c:v>
                </c:pt>
                <c:pt idx="594">
                  <c:v>32.521100000000871</c:v>
                </c:pt>
                <c:pt idx="595">
                  <c:v>32.521200000000874</c:v>
                </c:pt>
                <c:pt idx="596">
                  <c:v>32.521300000000878</c:v>
                </c:pt>
                <c:pt idx="597">
                  <c:v>32.521400000000881</c:v>
                </c:pt>
                <c:pt idx="598">
                  <c:v>32.521500000000884</c:v>
                </c:pt>
                <c:pt idx="599">
                  <c:v>32.521600000000888</c:v>
                </c:pt>
                <c:pt idx="600">
                  <c:v>32.521700000000891</c:v>
                </c:pt>
                <c:pt idx="601">
                  <c:v>32.521800000000894</c:v>
                </c:pt>
                <c:pt idx="602">
                  <c:v>32.521900000000898</c:v>
                </c:pt>
                <c:pt idx="603">
                  <c:v>32.522000000000901</c:v>
                </c:pt>
                <c:pt idx="604">
                  <c:v>32.522100000000904</c:v>
                </c:pt>
                <c:pt idx="605">
                  <c:v>32.522200000000907</c:v>
                </c:pt>
                <c:pt idx="606">
                  <c:v>32.522300000000911</c:v>
                </c:pt>
                <c:pt idx="607">
                  <c:v>32.522400000000914</c:v>
                </c:pt>
                <c:pt idx="608">
                  <c:v>32.522500000000917</c:v>
                </c:pt>
                <c:pt idx="609">
                  <c:v>32.522600000000921</c:v>
                </c:pt>
                <c:pt idx="610">
                  <c:v>32.522700000000924</c:v>
                </c:pt>
                <c:pt idx="611">
                  <c:v>32.522800000000927</c:v>
                </c:pt>
                <c:pt idx="612">
                  <c:v>32.522900000000931</c:v>
                </c:pt>
                <c:pt idx="613">
                  <c:v>32.523000000000934</c:v>
                </c:pt>
                <c:pt idx="614">
                  <c:v>32.523100000000937</c:v>
                </c:pt>
                <c:pt idx="615">
                  <c:v>32.523200000000941</c:v>
                </c:pt>
                <c:pt idx="616">
                  <c:v>32.523300000000944</c:v>
                </c:pt>
                <c:pt idx="617">
                  <c:v>32.523400000000947</c:v>
                </c:pt>
                <c:pt idx="618">
                  <c:v>32.523500000000951</c:v>
                </c:pt>
                <c:pt idx="619">
                  <c:v>32.523600000000954</c:v>
                </c:pt>
                <c:pt idx="620">
                  <c:v>32.523700000000957</c:v>
                </c:pt>
                <c:pt idx="621">
                  <c:v>32.523800000000961</c:v>
                </c:pt>
                <c:pt idx="622">
                  <c:v>32.523900000000964</c:v>
                </c:pt>
                <c:pt idx="623">
                  <c:v>32.524000000000967</c:v>
                </c:pt>
                <c:pt idx="624">
                  <c:v>32.524100000000971</c:v>
                </c:pt>
                <c:pt idx="625">
                  <c:v>32.524200000000974</c:v>
                </c:pt>
                <c:pt idx="626">
                  <c:v>32.524300000000977</c:v>
                </c:pt>
                <c:pt idx="627">
                  <c:v>32.524400000000981</c:v>
                </c:pt>
                <c:pt idx="628">
                  <c:v>32.524500000000984</c:v>
                </c:pt>
                <c:pt idx="629">
                  <c:v>32.524600000000987</c:v>
                </c:pt>
                <c:pt idx="630">
                  <c:v>32.52470000000099</c:v>
                </c:pt>
                <c:pt idx="631">
                  <c:v>32.524800000000994</c:v>
                </c:pt>
                <c:pt idx="632">
                  <c:v>32.524900000000997</c:v>
                </c:pt>
                <c:pt idx="633">
                  <c:v>32.525000000001</c:v>
                </c:pt>
                <c:pt idx="634">
                  <c:v>32.525100000001004</c:v>
                </c:pt>
                <c:pt idx="635">
                  <c:v>32.525200000001007</c:v>
                </c:pt>
                <c:pt idx="636">
                  <c:v>32.52530000000101</c:v>
                </c:pt>
                <c:pt idx="637">
                  <c:v>32.525400000001014</c:v>
                </c:pt>
                <c:pt idx="638">
                  <c:v>32.525500000001017</c:v>
                </c:pt>
                <c:pt idx="639">
                  <c:v>32.52560000000102</c:v>
                </c:pt>
                <c:pt idx="640">
                  <c:v>32.525700000001024</c:v>
                </c:pt>
                <c:pt idx="641">
                  <c:v>32.525800000001027</c:v>
                </c:pt>
                <c:pt idx="642">
                  <c:v>32.52590000000103</c:v>
                </c:pt>
                <c:pt idx="643">
                  <c:v>32.526000000001034</c:v>
                </c:pt>
                <c:pt idx="644">
                  <c:v>32.526100000001037</c:v>
                </c:pt>
                <c:pt idx="645">
                  <c:v>32.52620000000104</c:v>
                </c:pt>
                <c:pt idx="646">
                  <c:v>32.526300000001044</c:v>
                </c:pt>
                <c:pt idx="647">
                  <c:v>32.526400000001047</c:v>
                </c:pt>
                <c:pt idx="648">
                  <c:v>32.52650000000105</c:v>
                </c:pt>
                <c:pt idx="649">
                  <c:v>32.526600000001054</c:v>
                </c:pt>
                <c:pt idx="650">
                  <c:v>32.526700000001057</c:v>
                </c:pt>
                <c:pt idx="651">
                  <c:v>32.52680000000106</c:v>
                </c:pt>
                <c:pt idx="652">
                  <c:v>32.526900000001064</c:v>
                </c:pt>
                <c:pt idx="653">
                  <c:v>32.527000000001067</c:v>
                </c:pt>
                <c:pt idx="654">
                  <c:v>32.52710000000107</c:v>
                </c:pt>
                <c:pt idx="655">
                  <c:v>32.527200000001073</c:v>
                </c:pt>
                <c:pt idx="656">
                  <c:v>32.527300000001077</c:v>
                </c:pt>
                <c:pt idx="657">
                  <c:v>32.52740000000108</c:v>
                </c:pt>
                <c:pt idx="658">
                  <c:v>32.527500000001083</c:v>
                </c:pt>
                <c:pt idx="659">
                  <c:v>32.527600000001087</c:v>
                </c:pt>
                <c:pt idx="660">
                  <c:v>32.52770000000109</c:v>
                </c:pt>
                <c:pt idx="661">
                  <c:v>32.527800000001093</c:v>
                </c:pt>
                <c:pt idx="662">
                  <c:v>32.527900000001097</c:v>
                </c:pt>
                <c:pt idx="663">
                  <c:v>32.5280000000011</c:v>
                </c:pt>
                <c:pt idx="664">
                  <c:v>32.528100000001103</c:v>
                </c:pt>
                <c:pt idx="665">
                  <c:v>32.528200000001107</c:v>
                </c:pt>
                <c:pt idx="666">
                  <c:v>32.52830000000111</c:v>
                </c:pt>
                <c:pt idx="667">
                  <c:v>32.528400000001113</c:v>
                </c:pt>
                <c:pt idx="668">
                  <c:v>32.528500000001117</c:v>
                </c:pt>
                <c:pt idx="669">
                  <c:v>32.52860000000112</c:v>
                </c:pt>
                <c:pt idx="670">
                  <c:v>32.528700000001123</c:v>
                </c:pt>
                <c:pt idx="671">
                  <c:v>32.528800000001127</c:v>
                </c:pt>
                <c:pt idx="672">
                  <c:v>32.52890000000113</c:v>
                </c:pt>
                <c:pt idx="673">
                  <c:v>32.529000000001133</c:v>
                </c:pt>
                <c:pt idx="674">
                  <c:v>32.529100000001137</c:v>
                </c:pt>
                <c:pt idx="675">
                  <c:v>32.52920000000114</c:v>
                </c:pt>
                <c:pt idx="676">
                  <c:v>32.529300000001143</c:v>
                </c:pt>
                <c:pt idx="677">
                  <c:v>32.529400000001147</c:v>
                </c:pt>
                <c:pt idx="678">
                  <c:v>32.52950000000115</c:v>
                </c:pt>
                <c:pt idx="679">
                  <c:v>32.529600000001153</c:v>
                </c:pt>
                <c:pt idx="680">
                  <c:v>32.529700000001156</c:v>
                </c:pt>
                <c:pt idx="681">
                  <c:v>32.52980000000116</c:v>
                </c:pt>
                <c:pt idx="682">
                  <c:v>32.529900000001163</c:v>
                </c:pt>
                <c:pt idx="683">
                  <c:v>32.530000000001166</c:v>
                </c:pt>
                <c:pt idx="684">
                  <c:v>32.53010000000117</c:v>
                </c:pt>
                <c:pt idx="685">
                  <c:v>32.530200000001173</c:v>
                </c:pt>
                <c:pt idx="686">
                  <c:v>32.530300000001176</c:v>
                </c:pt>
                <c:pt idx="687">
                  <c:v>32.53040000000118</c:v>
                </c:pt>
                <c:pt idx="688">
                  <c:v>32.530500000001183</c:v>
                </c:pt>
                <c:pt idx="689">
                  <c:v>32.530600000001186</c:v>
                </c:pt>
                <c:pt idx="690">
                  <c:v>32.53070000000119</c:v>
                </c:pt>
                <c:pt idx="691">
                  <c:v>32.530800000001193</c:v>
                </c:pt>
                <c:pt idx="692">
                  <c:v>32.530900000001196</c:v>
                </c:pt>
                <c:pt idx="693">
                  <c:v>32.5310000000012</c:v>
                </c:pt>
                <c:pt idx="694">
                  <c:v>32.531100000001203</c:v>
                </c:pt>
                <c:pt idx="695">
                  <c:v>32.531200000001206</c:v>
                </c:pt>
                <c:pt idx="696">
                  <c:v>32.53130000000121</c:v>
                </c:pt>
                <c:pt idx="697">
                  <c:v>32.531400000001213</c:v>
                </c:pt>
                <c:pt idx="698">
                  <c:v>32.531500000001216</c:v>
                </c:pt>
                <c:pt idx="699">
                  <c:v>32.53160000000122</c:v>
                </c:pt>
                <c:pt idx="700">
                  <c:v>32.531700000001223</c:v>
                </c:pt>
                <c:pt idx="701">
                  <c:v>32.531800000001226</c:v>
                </c:pt>
                <c:pt idx="702">
                  <c:v>32.53190000000123</c:v>
                </c:pt>
                <c:pt idx="703">
                  <c:v>32.532000000001233</c:v>
                </c:pt>
                <c:pt idx="704">
                  <c:v>32.532100000001236</c:v>
                </c:pt>
                <c:pt idx="705">
                  <c:v>32.532200000001239</c:v>
                </c:pt>
                <c:pt idx="706">
                  <c:v>32.532300000001243</c:v>
                </c:pt>
                <c:pt idx="707">
                  <c:v>32.532400000001246</c:v>
                </c:pt>
                <c:pt idx="708">
                  <c:v>32.532500000001249</c:v>
                </c:pt>
                <c:pt idx="709">
                  <c:v>32.532600000001253</c:v>
                </c:pt>
                <c:pt idx="710">
                  <c:v>32.532700000001256</c:v>
                </c:pt>
                <c:pt idx="711">
                  <c:v>32.532800000001259</c:v>
                </c:pt>
                <c:pt idx="712">
                  <c:v>32.532900000001263</c:v>
                </c:pt>
                <c:pt idx="713">
                  <c:v>32.533000000001266</c:v>
                </c:pt>
                <c:pt idx="714">
                  <c:v>32.533100000001269</c:v>
                </c:pt>
                <c:pt idx="715">
                  <c:v>32.533200000001273</c:v>
                </c:pt>
                <c:pt idx="716">
                  <c:v>32.533300000001276</c:v>
                </c:pt>
                <c:pt idx="717">
                  <c:v>32.533400000001279</c:v>
                </c:pt>
                <c:pt idx="718">
                  <c:v>32.533500000001283</c:v>
                </c:pt>
                <c:pt idx="719">
                  <c:v>32.533600000001286</c:v>
                </c:pt>
                <c:pt idx="720">
                  <c:v>32.533700000001289</c:v>
                </c:pt>
                <c:pt idx="721">
                  <c:v>32.533800000001293</c:v>
                </c:pt>
                <c:pt idx="722">
                  <c:v>32.533900000001296</c:v>
                </c:pt>
                <c:pt idx="723">
                  <c:v>32.534000000001299</c:v>
                </c:pt>
                <c:pt idx="724">
                  <c:v>32.534100000001303</c:v>
                </c:pt>
                <c:pt idx="725">
                  <c:v>32.534200000001306</c:v>
                </c:pt>
                <c:pt idx="726">
                  <c:v>32.534300000001309</c:v>
                </c:pt>
                <c:pt idx="727">
                  <c:v>32.534400000001312</c:v>
                </c:pt>
                <c:pt idx="728">
                  <c:v>32.534500000001316</c:v>
                </c:pt>
                <c:pt idx="729">
                  <c:v>32.534600000001319</c:v>
                </c:pt>
                <c:pt idx="730">
                  <c:v>32.534700000001322</c:v>
                </c:pt>
                <c:pt idx="731">
                  <c:v>32.534800000001326</c:v>
                </c:pt>
                <c:pt idx="732">
                  <c:v>32.534900000001329</c:v>
                </c:pt>
                <c:pt idx="733">
                  <c:v>32.535000000001332</c:v>
                </c:pt>
                <c:pt idx="734">
                  <c:v>32.535100000001336</c:v>
                </c:pt>
                <c:pt idx="735">
                  <c:v>32.535200000001339</c:v>
                </c:pt>
                <c:pt idx="736">
                  <c:v>32.535300000001342</c:v>
                </c:pt>
                <c:pt idx="737">
                  <c:v>32.535400000001346</c:v>
                </c:pt>
                <c:pt idx="738">
                  <c:v>32.535500000001349</c:v>
                </c:pt>
                <c:pt idx="739">
                  <c:v>32.535600000001352</c:v>
                </c:pt>
                <c:pt idx="740">
                  <c:v>32.535700000001356</c:v>
                </c:pt>
                <c:pt idx="741">
                  <c:v>32.535800000001359</c:v>
                </c:pt>
                <c:pt idx="742">
                  <c:v>32.535900000001362</c:v>
                </c:pt>
                <c:pt idx="743">
                  <c:v>32.536000000001366</c:v>
                </c:pt>
                <c:pt idx="744">
                  <c:v>32.536100000001369</c:v>
                </c:pt>
                <c:pt idx="745">
                  <c:v>32.536200000001372</c:v>
                </c:pt>
                <c:pt idx="746">
                  <c:v>32.536300000001376</c:v>
                </c:pt>
                <c:pt idx="747">
                  <c:v>32.536400000001379</c:v>
                </c:pt>
                <c:pt idx="748">
                  <c:v>32.536500000001382</c:v>
                </c:pt>
                <c:pt idx="749">
                  <c:v>32.536600000001386</c:v>
                </c:pt>
                <c:pt idx="750">
                  <c:v>32.536700000001389</c:v>
                </c:pt>
                <c:pt idx="751">
                  <c:v>32.536800000001392</c:v>
                </c:pt>
                <c:pt idx="752">
                  <c:v>32.536900000001395</c:v>
                </c:pt>
                <c:pt idx="753">
                  <c:v>32.537000000001399</c:v>
                </c:pt>
                <c:pt idx="754">
                  <c:v>32.537100000001402</c:v>
                </c:pt>
                <c:pt idx="755">
                  <c:v>32.537200000001405</c:v>
                </c:pt>
                <c:pt idx="756">
                  <c:v>32.537300000001409</c:v>
                </c:pt>
                <c:pt idx="757">
                  <c:v>32.537400000001412</c:v>
                </c:pt>
                <c:pt idx="758">
                  <c:v>32.537500000001415</c:v>
                </c:pt>
                <c:pt idx="759">
                  <c:v>32.537600000001419</c:v>
                </c:pt>
                <c:pt idx="760">
                  <c:v>32.537700000001422</c:v>
                </c:pt>
                <c:pt idx="761">
                  <c:v>32.537800000001425</c:v>
                </c:pt>
                <c:pt idx="762">
                  <c:v>32.537900000001429</c:v>
                </c:pt>
                <c:pt idx="763">
                  <c:v>32.538000000001432</c:v>
                </c:pt>
                <c:pt idx="764">
                  <c:v>32.538100000001435</c:v>
                </c:pt>
                <c:pt idx="765">
                  <c:v>32.538200000001439</c:v>
                </c:pt>
                <c:pt idx="766">
                  <c:v>32.538300000001442</c:v>
                </c:pt>
                <c:pt idx="767">
                  <c:v>32.538400000001445</c:v>
                </c:pt>
                <c:pt idx="768">
                  <c:v>32.538500000001449</c:v>
                </c:pt>
                <c:pt idx="769">
                  <c:v>32.538600000001452</c:v>
                </c:pt>
                <c:pt idx="770">
                  <c:v>32.538700000001455</c:v>
                </c:pt>
                <c:pt idx="771">
                  <c:v>32.538800000001459</c:v>
                </c:pt>
                <c:pt idx="772">
                  <c:v>32.538900000001462</c:v>
                </c:pt>
                <c:pt idx="773">
                  <c:v>32.539000000001465</c:v>
                </c:pt>
                <c:pt idx="774">
                  <c:v>32.539100000001469</c:v>
                </c:pt>
                <c:pt idx="775">
                  <c:v>32.539200000001472</c:v>
                </c:pt>
                <c:pt idx="776">
                  <c:v>32.539300000001475</c:v>
                </c:pt>
                <c:pt idx="777">
                  <c:v>32.539400000001478</c:v>
                </c:pt>
                <c:pt idx="778">
                  <c:v>32.539500000001482</c:v>
                </c:pt>
                <c:pt idx="779">
                  <c:v>32.539600000001485</c:v>
                </c:pt>
                <c:pt idx="780">
                  <c:v>32.539700000001488</c:v>
                </c:pt>
                <c:pt idx="781">
                  <c:v>32.539800000001492</c:v>
                </c:pt>
                <c:pt idx="782">
                  <c:v>32.539900000001495</c:v>
                </c:pt>
                <c:pt idx="783">
                  <c:v>32.540000000001498</c:v>
                </c:pt>
                <c:pt idx="784">
                  <c:v>32.540100000001502</c:v>
                </c:pt>
                <c:pt idx="785">
                  <c:v>32.540200000001505</c:v>
                </c:pt>
                <c:pt idx="786">
                  <c:v>32.540300000001508</c:v>
                </c:pt>
                <c:pt idx="787">
                  <c:v>32.540400000001512</c:v>
                </c:pt>
                <c:pt idx="788">
                  <c:v>32.540500000001515</c:v>
                </c:pt>
                <c:pt idx="789">
                  <c:v>32.540600000001518</c:v>
                </c:pt>
                <c:pt idx="790">
                  <c:v>32.540700000001522</c:v>
                </c:pt>
                <c:pt idx="791">
                  <c:v>32.540800000001525</c:v>
                </c:pt>
                <c:pt idx="792">
                  <c:v>32.540900000001528</c:v>
                </c:pt>
                <c:pt idx="793">
                  <c:v>32.541000000001532</c:v>
                </c:pt>
                <c:pt idx="794">
                  <c:v>32.541100000001535</c:v>
                </c:pt>
                <c:pt idx="795">
                  <c:v>32.541200000001538</c:v>
                </c:pt>
                <c:pt idx="796">
                  <c:v>32.541300000001542</c:v>
                </c:pt>
                <c:pt idx="797">
                  <c:v>32.541400000001545</c:v>
                </c:pt>
                <c:pt idx="798">
                  <c:v>32.541500000001548</c:v>
                </c:pt>
                <c:pt idx="799">
                  <c:v>32.541600000001552</c:v>
                </c:pt>
                <c:pt idx="800">
                  <c:v>32.541700000001555</c:v>
                </c:pt>
                <c:pt idx="801">
                  <c:v>32.541800000001558</c:v>
                </c:pt>
                <c:pt idx="802">
                  <c:v>32.541900000001561</c:v>
                </c:pt>
                <c:pt idx="803">
                  <c:v>32.542000000001565</c:v>
                </c:pt>
                <c:pt idx="804">
                  <c:v>32.542100000001568</c:v>
                </c:pt>
                <c:pt idx="805">
                  <c:v>32.542200000001571</c:v>
                </c:pt>
                <c:pt idx="806">
                  <c:v>32.542300000001575</c:v>
                </c:pt>
                <c:pt idx="807">
                  <c:v>32.542400000001578</c:v>
                </c:pt>
                <c:pt idx="808">
                  <c:v>32.542500000001581</c:v>
                </c:pt>
                <c:pt idx="809">
                  <c:v>32.542600000001585</c:v>
                </c:pt>
                <c:pt idx="810">
                  <c:v>32.542700000001588</c:v>
                </c:pt>
                <c:pt idx="811">
                  <c:v>32.542800000001591</c:v>
                </c:pt>
                <c:pt idx="812">
                  <c:v>32.542900000001595</c:v>
                </c:pt>
                <c:pt idx="813">
                  <c:v>32.543000000001598</c:v>
                </c:pt>
                <c:pt idx="814">
                  <c:v>32.543100000001601</c:v>
                </c:pt>
                <c:pt idx="815">
                  <c:v>32.543200000001605</c:v>
                </c:pt>
                <c:pt idx="816">
                  <c:v>32.543300000001608</c:v>
                </c:pt>
                <c:pt idx="817">
                  <c:v>32.543400000001611</c:v>
                </c:pt>
                <c:pt idx="818">
                  <c:v>32.543500000001615</c:v>
                </c:pt>
                <c:pt idx="819">
                  <c:v>32.543600000001618</c:v>
                </c:pt>
                <c:pt idx="820">
                  <c:v>32.543700000001621</c:v>
                </c:pt>
                <c:pt idx="821">
                  <c:v>32.543800000001625</c:v>
                </c:pt>
                <c:pt idx="822">
                  <c:v>32.543900000001628</c:v>
                </c:pt>
                <c:pt idx="823">
                  <c:v>32.544000000001631</c:v>
                </c:pt>
                <c:pt idx="824">
                  <c:v>32.544100000001634</c:v>
                </c:pt>
                <c:pt idx="825">
                  <c:v>32.544200000001638</c:v>
                </c:pt>
                <c:pt idx="826">
                  <c:v>32.544300000001641</c:v>
                </c:pt>
                <c:pt idx="827">
                  <c:v>32.544400000001644</c:v>
                </c:pt>
                <c:pt idx="828">
                  <c:v>32.544500000001648</c:v>
                </c:pt>
                <c:pt idx="829">
                  <c:v>32.544600000001651</c:v>
                </c:pt>
                <c:pt idx="830">
                  <c:v>32.544700000001654</c:v>
                </c:pt>
                <c:pt idx="831">
                  <c:v>32.544800000001658</c:v>
                </c:pt>
                <c:pt idx="832">
                  <c:v>32.544900000001661</c:v>
                </c:pt>
                <c:pt idx="833">
                  <c:v>32.545000000001664</c:v>
                </c:pt>
                <c:pt idx="834">
                  <c:v>32.545100000001668</c:v>
                </c:pt>
                <c:pt idx="835">
                  <c:v>32.545200000001671</c:v>
                </c:pt>
                <c:pt idx="836">
                  <c:v>32.545300000001674</c:v>
                </c:pt>
                <c:pt idx="837">
                  <c:v>32.545400000001678</c:v>
                </c:pt>
                <c:pt idx="838">
                  <c:v>32.545500000001681</c:v>
                </c:pt>
                <c:pt idx="839">
                  <c:v>32.545600000001684</c:v>
                </c:pt>
                <c:pt idx="840">
                  <c:v>32.545700000001688</c:v>
                </c:pt>
                <c:pt idx="841">
                  <c:v>32.545800000001691</c:v>
                </c:pt>
                <c:pt idx="842">
                  <c:v>32.545900000001694</c:v>
                </c:pt>
                <c:pt idx="843">
                  <c:v>32.546000000001698</c:v>
                </c:pt>
                <c:pt idx="844">
                  <c:v>32.546100000001701</c:v>
                </c:pt>
                <c:pt idx="845">
                  <c:v>32.546200000001704</c:v>
                </c:pt>
                <c:pt idx="846">
                  <c:v>32.546300000001708</c:v>
                </c:pt>
                <c:pt idx="847">
                  <c:v>32.546400000001711</c:v>
                </c:pt>
                <c:pt idx="848">
                  <c:v>32.546500000001714</c:v>
                </c:pt>
                <c:pt idx="849">
                  <c:v>32.546600000001717</c:v>
                </c:pt>
                <c:pt idx="850">
                  <c:v>32.546700000001721</c:v>
                </c:pt>
                <c:pt idx="851">
                  <c:v>32.546800000001724</c:v>
                </c:pt>
                <c:pt idx="852">
                  <c:v>32.546900000001727</c:v>
                </c:pt>
                <c:pt idx="853">
                  <c:v>32.547000000001731</c:v>
                </c:pt>
                <c:pt idx="854">
                  <c:v>32.547100000001734</c:v>
                </c:pt>
                <c:pt idx="855">
                  <c:v>32.547200000001737</c:v>
                </c:pt>
                <c:pt idx="856">
                  <c:v>32.547300000001741</c:v>
                </c:pt>
                <c:pt idx="857">
                  <c:v>32.547400000001744</c:v>
                </c:pt>
                <c:pt idx="858">
                  <c:v>32.547500000001747</c:v>
                </c:pt>
                <c:pt idx="859">
                  <c:v>32.547600000001751</c:v>
                </c:pt>
                <c:pt idx="860">
                  <c:v>32.547700000001754</c:v>
                </c:pt>
                <c:pt idx="861">
                  <c:v>32.547800000001757</c:v>
                </c:pt>
                <c:pt idx="862">
                  <c:v>32.547900000001761</c:v>
                </c:pt>
                <c:pt idx="863">
                  <c:v>32.548000000001764</c:v>
                </c:pt>
                <c:pt idx="864">
                  <c:v>32.548100000001767</c:v>
                </c:pt>
                <c:pt idx="865">
                  <c:v>32.548200000001771</c:v>
                </c:pt>
                <c:pt idx="866">
                  <c:v>32.548300000001774</c:v>
                </c:pt>
                <c:pt idx="867">
                  <c:v>32.548400000001777</c:v>
                </c:pt>
                <c:pt idx="868">
                  <c:v>32.548500000001781</c:v>
                </c:pt>
                <c:pt idx="869">
                  <c:v>32.548600000001784</c:v>
                </c:pt>
                <c:pt idx="870">
                  <c:v>32.548700000001787</c:v>
                </c:pt>
                <c:pt idx="871">
                  <c:v>32.548800000001791</c:v>
                </c:pt>
                <c:pt idx="872">
                  <c:v>32.548900000001794</c:v>
                </c:pt>
                <c:pt idx="873">
                  <c:v>32.549000000001797</c:v>
                </c:pt>
                <c:pt idx="874">
                  <c:v>32.5491000000018</c:v>
                </c:pt>
                <c:pt idx="875">
                  <c:v>32.549200000001804</c:v>
                </c:pt>
                <c:pt idx="876">
                  <c:v>32.549300000001807</c:v>
                </c:pt>
                <c:pt idx="877">
                  <c:v>32.54940000000181</c:v>
                </c:pt>
                <c:pt idx="878">
                  <c:v>32.549500000001814</c:v>
                </c:pt>
                <c:pt idx="879">
                  <c:v>32.549600000001817</c:v>
                </c:pt>
                <c:pt idx="880">
                  <c:v>32.54970000000182</c:v>
                </c:pt>
                <c:pt idx="881">
                  <c:v>32.549800000001824</c:v>
                </c:pt>
                <c:pt idx="882">
                  <c:v>32.549900000001827</c:v>
                </c:pt>
                <c:pt idx="883">
                  <c:v>32.55000000000183</c:v>
                </c:pt>
                <c:pt idx="884">
                  <c:v>32.550100000001834</c:v>
                </c:pt>
                <c:pt idx="885">
                  <c:v>32.550200000001837</c:v>
                </c:pt>
                <c:pt idx="886">
                  <c:v>32.55030000000184</c:v>
                </c:pt>
                <c:pt idx="887">
                  <c:v>32.550400000001844</c:v>
                </c:pt>
                <c:pt idx="888">
                  <c:v>32.550500000001847</c:v>
                </c:pt>
                <c:pt idx="889">
                  <c:v>32.55060000000185</c:v>
                </c:pt>
                <c:pt idx="890">
                  <c:v>32.550700000001854</c:v>
                </c:pt>
                <c:pt idx="891">
                  <c:v>32.550800000001857</c:v>
                </c:pt>
                <c:pt idx="892">
                  <c:v>32.55090000000186</c:v>
                </c:pt>
                <c:pt idx="893">
                  <c:v>32.551000000001864</c:v>
                </c:pt>
                <c:pt idx="894">
                  <c:v>32.551100000001867</c:v>
                </c:pt>
                <c:pt idx="895">
                  <c:v>32.55120000000187</c:v>
                </c:pt>
                <c:pt idx="896">
                  <c:v>32.551300000001874</c:v>
                </c:pt>
                <c:pt idx="897">
                  <c:v>32.551400000001877</c:v>
                </c:pt>
                <c:pt idx="898">
                  <c:v>32.55150000000188</c:v>
                </c:pt>
                <c:pt idx="899">
                  <c:v>32.551600000001883</c:v>
                </c:pt>
                <c:pt idx="900">
                  <c:v>32.551700000001887</c:v>
                </c:pt>
                <c:pt idx="901">
                  <c:v>32.55180000000189</c:v>
                </c:pt>
                <c:pt idx="902">
                  <c:v>32.551900000001893</c:v>
                </c:pt>
                <c:pt idx="903">
                  <c:v>32.552000000001897</c:v>
                </c:pt>
                <c:pt idx="904">
                  <c:v>32.5521000000019</c:v>
                </c:pt>
                <c:pt idx="905">
                  <c:v>32.552200000001903</c:v>
                </c:pt>
                <c:pt idx="906">
                  <c:v>32.552300000001907</c:v>
                </c:pt>
                <c:pt idx="907">
                  <c:v>32.55240000000191</c:v>
                </c:pt>
                <c:pt idx="908">
                  <c:v>32.552500000001913</c:v>
                </c:pt>
                <c:pt idx="909">
                  <c:v>32.552600000001917</c:v>
                </c:pt>
                <c:pt idx="910">
                  <c:v>32.55270000000192</c:v>
                </c:pt>
                <c:pt idx="911">
                  <c:v>32.552800000001923</c:v>
                </c:pt>
                <c:pt idx="912">
                  <c:v>32.552900000001927</c:v>
                </c:pt>
                <c:pt idx="913">
                  <c:v>32.55300000000193</c:v>
                </c:pt>
                <c:pt idx="914">
                  <c:v>32.553100000001933</c:v>
                </c:pt>
                <c:pt idx="915">
                  <c:v>32.553200000001937</c:v>
                </c:pt>
                <c:pt idx="916">
                  <c:v>32.55330000000194</c:v>
                </c:pt>
                <c:pt idx="917">
                  <c:v>32.553400000001943</c:v>
                </c:pt>
                <c:pt idx="918">
                  <c:v>32.553500000001947</c:v>
                </c:pt>
                <c:pt idx="919">
                  <c:v>32.55360000000195</c:v>
                </c:pt>
                <c:pt idx="920">
                  <c:v>32.553700000001953</c:v>
                </c:pt>
                <c:pt idx="921">
                  <c:v>32.553800000001957</c:v>
                </c:pt>
                <c:pt idx="922">
                  <c:v>32.55390000000196</c:v>
                </c:pt>
                <c:pt idx="923">
                  <c:v>32.554000000001963</c:v>
                </c:pt>
                <c:pt idx="924">
                  <c:v>32.554100000001966</c:v>
                </c:pt>
                <c:pt idx="925">
                  <c:v>32.55420000000197</c:v>
                </c:pt>
                <c:pt idx="926">
                  <c:v>32.554300000001973</c:v>
                </c:pt>
                <c:pt idx="927">
                  <c:v>32.554400000001976</c:v>
                </c:pt>
                <c:pt idx="928">
                  <c:v>32.55450000000198</c:v>
                </c:pt>
                <c:pt idx="929">
                  <c:v>32.554600000001983</c:v>
                </c:pt>
                <c:pt idx="930">
                  <c:v>32.554700000001986</c:v>
                </c:pt>
                <c:pt idx="931">
                  <c:v>32.55480000000199</c:v>
                </c:pt>
                <c:pt idx="932">
                  <c:v>32.554900000001993</c:v>
                </c:pt>
                <c:pt idx="933">
                  <c:v>32.555000000001996</c:v>
                </c:pt>
                <c:pt idx="934">
                  <c:v>32.555100000002</c:v>
                </c:pt>
                <c:pt idx="935">
                  <c:v>32.555200000002003</c:v>
                </c:pt>
                <c:pt idx="936">
                  <c:v>32.555300000002006</c:v>
                </c:pt>
                <c:pt idx="937">
                  <c:v>32.55540000000201</c:v>
                </c:pt>
                <c:pt idx="938">
                  <c:v>32.555500000002013</c:v>
                </c:pt>
                <c:pt idx="939">
                  <c:v>32.555600000002016</c:v>
                </c:pt>
                <c:pt idx="940">
                  <c:v>32.55570000000202</c:v>
                </c:pt>
                <c:pt idx="941">
                  <c:v>32.555800000002023</c:v>
                </c:pt>
                <c:pt idx="942">
                  <c:v>32.555900000002026</c:v>
                </c:pt>
                <c:pt idx="943">
                  <c:v>32.55600000000203</c:v>
                </c:pt>
                <c:pt idx="944">
                  <c:v>32.556100000002033</c:v>
                </c:pt>
                <c:pt idx="945">
                  <c:v>32.556200000002036</c:v>
                </c:pt>
                <c:pt idx="946">
                  <c:v>32.556300000002039</c:v>
                </c:pt>
                <c:pt idx="947">
                  <c:v>32.556400000002043</c:v>
                </c:pt>
                <c:pt idx="948">
                  <c:v>32.556500000002046</c:v>
                </c:pt>
                <c:pt idx="949">
                  <c:v>32.556600000002049</c:v>
                </c:pt>
                <c:pt idx="950">
                  <c:v>32.556700000002053</c:v>
                </c:pt>
                <c:pt idx="951">
                  <c:v>32.556800000002056</c:v>
                </c:pt>
                <c:pt idx="952">
                  <c:v>32.556900000002059</c:v>
                </c:pt>
                <c:pt idx="953">
                  <c:v>32.557000000002063</c:v>
                </c:pt>
                <c:pt idx="954">
                  <c:v>32.557100000002066</c:v>
                </c:pt>
                <c:pt idx="955">
                  <c:v>32.557200000002069</c:v>
                </c:pt>
                <c:pt idx="956">
                  <c:v>32.557300000002073</c:v>
                </c:pt>
                <c:pt idx="957">
                  <c:v>32.557400000002076</c:v>
                </c:pt>
                <c:pt idx="958">
                  <c:v>32.557500000002079</c:v>
                </c:pt>
                <c:pt idx="959">
                  <c:v>32.557600000002083</c:v>
                </c:pt>
                <c:pt idx="960">
                  <c:v>32.557700000002086</c:v>
                </c:pt>
                <c:pt idx="961">
                  <c:v>32.557800000002089</c:v>
                </c:pt>
                <c:pt idx="962">
                  <c:v>32.557900000002093</c:v>
                </c:pt>
                <c:pt idx="963">
                  <c:v>32.558000000002096</c:v>
                </c:pt>
                <c:pt idx="964">
                  <c:v>32.558100000002099</c:v>
                </c:pt>
                <c:pt idx="965">
                  <c:v>32.558200000002103</c:v>
                </c:pt>
                <c:pt idx="966">
                  <c:v>32.558300000002106</c:v>
                </c:pt>
                <c:pt idx="967">
                  <c:v>32.558400000002109</c:v>
                </c:pt>
                <c:pt idx="968">
                  <c:v>32.558500000002113</c:v>
                </c:pt>
                <c:pt idx="969">
                  <c:v>32.558600000002116</c:v>
                </c:pt>
                <c:pt idx="970">
                  <c:v>32.558700000002119</c:v>
                </c:pt>
                <c:pt idx="971">
                  <c:v>32.558800000002122</c:v>
                </c:pt>
                <c:pt idx="972">
                  <c:v>32.558900000002126</c:v>
                </c:pt>
                <c:pt idx="973">
                  <c:v>32.559000000002129</c:v>
                </c:pt>
                <c:pt idx="974">
                  <c:v>32.559100000002132</c:v>
                </c:pt>
                <c:pt idx="975">
                  <c:v>32.559200000002136</c:v>
                </c:pt>
                <c:pt idx="976">
                  <c:v>32.559300000002139</c:v>
                </c:pt>
                <c:pt idx="977">
                  <c:v>32.559400000002142</c:v>
                </c:pt>
                <c:pt idx="978">
                  <c:v>32.559500000002146</c:v>
                </c:pt>
                <c:pt idx="979">
                  <c:v>32.559600000002149</c:v>
                </c:pt>
                <c:pt idx="980">
                  <c:v>32.559700000002152</c:v>
                </c:pt>
                <c:pt idx="981">
                  <c:v>32.559800000002156</c:v>
                </c:pt>
                <c:pt idx="982">
                  <c:v>32.559900000002159</c:v>
                </c:pt>
                <c:pt idx="983">
                  <c:v>32.560000000002162</c:v>
                </c:pt>
                <c:pt idx="984">
                  <c:v>32.560100000002166</c:v>
                </c:pt>
                <c:pt idx="985">
                  <c:v>32.560200000002169</c:v>
                </c:pt>
                <c:pt idx="986">
                  <c:v>32.560300000002172</c:v>
                </c:pt>
                <c:pt idx="987">
                  <c:v>32.560400000002176</c:v>
                </c:pt>
                <c:pt idx="988">
                  <c:v>32.560500000002179</c:v>
                </c:pt>
                <c:pt idx="989">
                  <c:v>32.560600000002182</c:v>
                </c:pt>
                <c:pt idx="990">
                  <c:v>32.560700000002186</c:v>
                </c:pt>
                <c:pt idx="991">
                  <c:v>32.560800000002189</c:v>
                </c:pt>
                <c:pt idx="992">
                  <c:v>32.560900000002192</c:v>
                </c:pt>
                <c:pt idx="993">
                  <c:v>32.561000000002196</c:v>
                </c:pt>
                <c:pt idx="994">
                  <c:v>32.561100000002199</c:v>
                </c:pt>
                <c:pt idx="995">
                  <c:v>32.561200000002202</c:v>
                </c:pt>
                <c:pt idx="996">
                  <c:v>32.561300000002205</c:v>
                </c:pt>
                <c:pt idx="997">
                  <c:v>32.561400000002209</c:v>
                </c:pt>
                <c:pt idx="998">
                  <c:v>32.561500000002212</c:v>
                </c:pt>
                <c:pt idx="999">
                  <c:v>32.561600000002215</c:v>
                </c:pt>
                <c:pt idx="1000">
                  <c:v>32.561700000002219</c:v>
                </c:pt>
              </c:numCache>
            </c:numRef>
          </c:xVal>
          <c:yVal>
            <c:numRef>
              <c:f>Calculs!$AE$4:$AE$1004</c:f>
              <c:numCache>
                <c:formatCode>0</c:formatCode>
                <c:ptCount val="1001"/>
                <c:pt idx="0">
                  <c:v>487.84771914632313</c:v>
                </c:pt>
                <c:pt idx="1">
                  <c:v>489.54718062018776</c:v>
                </c:pt>
                <c:pt idx="2">
                  <c:v>491.24294032459193</c:v>
                </c:pt>
                <c:pt idx="3">
                  <c:v>492.93501052437801</c:v>
                </c:pt>
                <c:pt idx="4">
                  <c:v>494.62340341378064</c:v>
                </c:pt>
                <c:pt idx="5">
                  <c:v>496.30813111696835</c:v>
                </c:pt>
                <c:pt idx="6">
                  <c:v>497.98920568858028</c:v>
                </c:pt>
                <c:pt idx="7">
                  <c:v>499.66663911425746</c:v>
                </c:pt>
                <c:pt idx="8">
                  <c:v>501.34044331116917</c:v>
                </c:pt>
                <c:pt idx="9">
                  <c:v>503.01063012853422</c:v>
                </c:pt>
                <c:pt idx="10">
                  <c:v>504.67721134813729</c:v>
                </c:pt>
                <c:pt idx="11">
                  <c:v>506.34019866652045</c:v>
                </c:pt>
                <c:pt idx="12">
                  <c:v>507.99960367772184</c:v>
                </c:pt>
                <c:pt idx="13">
                  <c:v>509.65543789319361</c:v>
                </c:pt>
                <c:pt idx="14">
                  <c:v>511.30771276114598</c:v>
                </c:pt>
                <c:pt idx="15">
                  <c:v>512.95643966700504</c:v>
                </c:pt>
                <c:pt idx="16">
                  <c:v>514.60162993386643</c:v>
                </c:pt>
                <c:pt idx="17">
                  <c:v>516.24329482294513</c:v>
                </c:pt>
                <c:pt idx="18">
                  <c:v>517.88144553402083</c:v>
                </c:pt>
                <c:pt idx="19">
                  <c:v>519.51609320587932</c:v>
                </c:pt>
                <c:pt idx="20">
                  <c:v>521.14724891675007</c:v>
                </c:pt>
                <c:pt idx="21">
                  <c:v>522.77492369390814</c:v>
                </c:pt>
                <c:pt idx="22">
                  <c:v>524.39912852300677</c:v>
                </c:pt>
                <c:pt idx="23">
                  <c:v>526.01987433880925</c:v>
                </c:pt>
                <c:pt idx="24">
                  <c:v>527.63717201618897</c:v>
                </c:pt>
                <c:pt idx="25">
                  <c:v>529.25103237056396</c:v>
                </c:pt>
                <c:pt idx="26">
                  <c:v>530.86146615832718</c:v>
                </c:pt>
                <c:pt idx="27">
                  <c:v>532.46848407727305</c:v>
                </c:pt>
                <c:pt idx="28">
                  <c:v>534.07209676702007</c:v>
                </c:pt>
                <c:pt idx="29">
                  <c:v>535.67231480942951</c:v>
                </c:pt>
                <c:pt idx="30">
                  <c:v>537.26914872902034</c:v>
                </c:pt>
                <c:pt idx="31">
                  <c:v>538.8626089933806</c:v>
                </c:pt>
                <c:pt idx="32">
                  <c:v>540.45270601357493</c:v>
                </c:pt>
                <c:pt idx="33">
                  <c:v>542.03945014454814</c:v>
                </c:pt>
                <c:pt idx="34">
                  <c:v>543.6228516855258</c:v>
                </c:pt>
                <c:pt idx="35">
                  <c:v>545.2029208804106</c:v>
                </c:pt>
                <c:pt idx="36">
                  <c:v>546.77966791817539</c:v>
                </c:pt>
                <c:pt idx="37">
                  <c:v>548.35310293325301</c:v>
                </c:pt>
                <c:pt idx="38">
                  <c:v>549.92323600592215</c:v>
                </c:pt>
                <c:pt idx="39">
                  <c:v>551.49007716269</c:v>
                </c:pt>
                <c:pt idx="40">
                  <c:v>553.05363637667176</c:v>
                </c:pt>
                <c:pt idx="41">
                  <c:v>554.61392356796614</c:v>
                </c:pt>
                <c:pt idx="42">
                  <c:v>556.17094860402813</c:v>
                </c:pt>
                <c:pt idx="43">
                  <c:v>557.72472130003825</c:v>
                </c:pt>
                <c:pt idx="44">
                  <c:v>559.27525141926856</c:v>
                </c:pt>
                <c:pt idx="45">
                  <c:v>560.82254867344523</c:v>
                </c:pt>
                <c:pt idx="46">
                  <c:v>562.36662272310855</c:v>
                </c:pt>
                <c:pt idx="47">
                  <c:v>563.90748317796897</c:v>
                </c:pt>
                <c:pt idx="48">
                  <c:v>565.44513959726044</c:v>
                </c:pt>
                <c:pt idx="49">
                  <c:v>566.97960149009089</c:v>
                </c:pt>
                <c:pt idx="50">
                  <c:v>568.51087831578911</c:v>
                </c:pt>
                <c:pt idx="51">
                  <c:v>570.03897948424901</c:v>
                </c:pt>
                <c:pt idx="52">
                  <c:v>571.56391435627074</c:v>
                </c:pt>
                <c:pt idx="53">
                  <c:v>573.08569224389885</c:v>
                </c:pt>
                <c:pt idx="54">
                  <c:v>574.6043224107575</c:v>
                </c:pt>
                <c:pt idx="55">
                  <c:v>576.11981407238295</c:v>
                </c:pt>
                <c:pt idx="56">
                  <c:v>577.63217639655272</c:v>
                </c:pt>
                <c:pt idx="57">
                  <c:v>579.14141850361273</c:v>
                </c:pt>
                <c:pt idx="58">
                  <c:v>580.64754946680046</c:v>
                </c:pt>
                <c:pt idx="59">
                  <c:v>582.15057831256649</c:v>
                </c:pt>
                <c:pt idx="60">
                  <c:v>583.6505140208925</c:v>
                </c:pt>
                <c:pt idx="61">
                  <c:v>585.14736552560703</c:v>
                </c:pt>
                <c:pt idx="62">
                  <c:v>586.64114171469828</c:v>
                </c:pt>
                <c:pt idx="63">
                  <c:v>588.13185143062412</c:v>
                </c:pt>
                <c:pt idx="64">
                  <c:v>589.61950347061975</c:v>
                </c:pt>
                <c:pt idx="65">
                  <c:v>591.10410658700266</c:v>
                </c:pt>
                <c:pt idx="66">
                  <c:v>592.585669487475</c:v>
                </c:pt>
                <c:pt idx="67">
                  <c:v>594.06420083542309</c:v>
                </c:pt>
                <c:pt idx="68">
                  <c:v>595.53970925021508</c:v>
                </c:pt>
                <c:pt idx="69">
                  <c:v>597.01220330749527</c:v>
                </c:pt>
                <c:pt idx="70">
                  <c:v>598.48169153947663</c:v>
                </c:pt>
                <c:pt idx="71">
                  <c:v>599.94818243523036</c:v>
                </c:pt>
                <c:pt idx="72">
                  <c:v>601.41168444097343</c:v>
                </c:pt>
                <c:pt idx="73">
                  <c:v>602.87220596035343</c:v>
                </c:pt>
                <c:pt idx="74">
                  <c:v>604.32975535473099</c:v>
                </c:pt>
                <c:pt idx="75">
                  <c:v>605.78434094346017</c:v>
                </c:pt>
                <c:pt idx="76">
                  <c:v>607.23597100416623</c:v>
                </c:pt>
                <c:pt idx="77">
                  <c:v>608.68465377302118</c:v>
                </c:pt>
                <c:pt idx="78">
                  <c:v>610.1303974450168</c:v>
                </c:pt>
                <c:pt idx="79">
                  <c:v>611.57321017423601</c:v>
                </c:pt>
                <c:pt idx="80">
                  <c:v>613.01310007412121</c:v>
                </c:pt>
                <c:pt idx="81">
                  <c:v>614.45007521774107</c:v>
                </c:pt>
                <c:pt idx="82">
                  <c:v>615.88414363805452</c:v>
                </c:pt>
                <c:pt idx="83">
                  <c:v>617.31531332817315</c:v>
                </c:pt>
                <c:pt idx="84">
                  <c:v>618.74359224162106</c:v>
                </c:pt>
                <c:pt idx="85">
                  <c:v>620.16898829259253</c:v>
                </c:pt>
                <c:pt idx="86">
                  <c:v>621.59150935620801</c:v>
                </c:pt>
                <c:pt idx="87">
                  <c:v>623.0111632687674</c:v>
                </c:pt>
                <c:pt idx="88">
                  <c:v>624.42795782800181</c:v>
                </c:pt>
                <c:pt idx="89">
                  <c:v>625.84190079332302</c:v>
                </c:pt>
                <c:pt idx="90">
                  <c:v>627.25299988607094</c:v>
                </c:pt>
                <c:pt idx="91">
                  <c:v>628.66126278975878</c:v>
                </c:pt>
                <c:pt idx="92">
                  <c:v>630.06669715031683</c:v>
                </c:pt>
                <c:pt idx="93">
                  <c:v>631.46931057633356</c:v>
                </c:pt>
                <c:pt idx="94">
                  <c:v>632.86911063929551</c:v>
                </c:pt>
                <c:pt idx="95">
                  <c:v>634.26610487382459</c:v>
                </c:pt>
                <c:pt idx="96">
                  <c:v>635.66030077791379</c:v>
                </c:pt>
                <c:pt idx="97">
                  <c:v>637.05170581316088</c:v>
                </c:pt>
                <c:pt idx="98">
                  <c:v>638.4403274050004</c:v>
                </c:pt>
                <c:pt idx="99">
                  <c:v>639.82617294293357</c:v>
                </c:pt>
                <c:pt idx="100">
                  <c:v>641.20924978075629</c:v>
                </c:pt>
                <c:pt idx="101">
                  <c:v>654.8883064246296</c:v>
                </c:pt>
                <c:pt idx="102">
                  <c:v>668.29518584562084</c:v>
                </c:pt>
                <c:pt idx="103">
                  <c:v>681.4369102654988</c:v>
                </c:pt>
                <c:pt idx="104">
                  <c:v>694.32017301844894</c:v>
                </c:pt>
                <c:pt idx="105">
                  <c:v>706.95135849586541</c:v>
                </c:pt>
                <c:pt idx="106">
                  <c:v>719.33656058114059</c:v>
                </c:pt>
                <c:pt idx="107">
                  <c:v>731.48159971003008</c:v>
                </c:pt>
                <c:pt idx="108">
                  <c:v>743.39203867812012</c:v>
                </c:pt>
                <c:pt idx="109">
                  <c:v>755.07319730452218</c:v>
                </c:pt>
                <c:pt idx="110">
                  <c:v>766.53016604994252</c:v>
                </c:pt>
                <c:pt idx="111">
                  <c:v>777.76781867754846</c:v>
                </c:pt>
                <c:pt idx="112">
                  <c:v>788.79082403641416</c:v>
                </c:pt>
                <c:pt idx="113">
                  <c:v>799.60365703964408</c:v>
                </c:pt>
                <c:pt idx="114">
                  <c:v>810.21060890242518</c:v>
                </c:pt>
                <c:pt idx="115">
                  <c:v>820.61579669914533</c:v>
                </c:pt>
                <c:pt idx="116">
                  <c:v>830.82317229325099</c:v>
                </c:pt>
                <c:pt idx="117">
                  <c:v>840.83653068862282</c:v>
                </c:pt>
                <c:pt idx="118">
                  <c:v>850.65951784685899</c:v>
                </c:pt>
                <c:pt idx="119">
                  <c:v>860.29563801091285</c:v>
                </c:pt>
                <c:pt idx="120">
                  <c:v>869.74826057198595</c:v>
                </c:pt>
                <c:pt idx="121">
                  <c:v>879.02062651338156</c:v>
                </c:pt>
                <c:pt idx="122">
                  <c:v>888.11585446214428</c:v>
                </c:pt>
                <c:pt idx="123">
                  <c:v>897.03694637670628</c:v>
                </c:pt>
                <c:pt idx="124">
                  <c:v>905.7867928964082</c:v>
                </c:pt>
                <c:pt idx="125">
                  <c:v>914.36817837663011</c:v>
                </c:pt>
                <c:pt idx="126">
                  <c:v>922.78378563133606</c:v>
                </c:pt>
                <c:pt idx="127">
                  <c:v>931.03620040307953</c:v>
                </c:pt>
                <c:pt idx="128">
                  <c:v>939.12791557892479</c:v>
                </c:pt>
                <c:pt idx="129">
                  <c:v>947.0613351692848</c:v>
                </c:pt>
                <c:pt idx="130">
                  <c:v>954.83877806535861</c:v>
                </c:pt>
                <c:pt idx="131">
                  <c:v>962.46248158964181</c:v>
                </c:pt>
                <c:pt idx="132">
                  <c:v>969.93460485288688</c:v>
                </c:pt>
                <c:pt idx="133">
                  <c:v>977.25723192988255</c:v>
                </c:pt>
                <c:pt idx="134">
                  <c:v>984.43237486550208</c:v>
                </c:pt>
                <c:pt idx="135">
                  <c:v>991.46197652162948</c:v>
                </c:pt>
                <c:pt idx="136">
                  <c:v>998.34791327479911</c:v>
                </c:pt>
                <c:pt idx="137">
                  <c:v>1005.0919975736781</c:v>
                </c:pt>
                <c:pt idx="138">
                  <c:v>1011.6959803648698</c:v>
                </c:pt>
                <c:pt idx="139">
                  <c:v>1018.1615533949202</c:v>
                </c:pt>
                <c:pt idx="140">
                  <c:v>1024.4903513958591</c:v>
                </c:pt>
                <c:pt idx="141">
                  <c:v>1030.6839541611039</c:v>
                </c:pt>
                <c:pt idx="142">
                  <c:v>1036.7438885180875</c:v>
                </c:pt>
                <c:pt idx="143">
                  <c:v>1042.6716302035431</c:v>
                </c:pt>
                <c:pt idx="144">
                  <c:v>1048.4686056469832</c:v>
                </c:pt>
                <c:pt idx="145">
                  <c:v>1054.1361936675453</c:v>
                </c:pt>
                <c:pt idx="146">
                  <c:v>1059.6757270890419</c:v>
                </c:pt>
                <c:pt idx="147">
                  <c:v>1065.0884942777361</c:v>
                </c:pt>
                <c:pt idx="148">
                  <c:v>1070.3757406070858</c:v>
                </c:pt>
                <c:pt idx="149">
                  <c:v>1075.5386698534239</c:v>
                </c:pt>
                <c:pt idx="150">
                  <c:v>1080.5784455263081</c:v>
                </c:pt>
                <c:pt idx="151">
                  <c:v>1085.496192137038</c:v>
                </c:pt>
                <c:pt idx="152">
                  <c:v>1090.2929964086363</c:v>
                </c:pt>
                <c:pt idx="153">
                  <c:v>1094.9699084303936</c:v>
                </c:pt>
                <c:pt idx="154">
                  <c:v>1099.5279427599037</c:v>
                </c:pt>
                <c:pt idx="155">
                  <c:v>1103.968079475351</c:v>
                </c:pt>
                <c:pt idx="156">
                  <c:v>1108.2912651806644</c:v>
                </c:pt>
                <c:pt idx="157">
                  <c:v>1112.4984139660166</c:v>
                </c:pt>
                <c:pt idx="158">
                  <c:v>1116.5904083260243</c:v>
                </c:pt>
                <c:pt idx="159">
                  <c:v>1120.5681000378938</c:v>
                </c:pt>
                <c:pt idx="160">
                  <c:v>1124.432311001658</c:v>
                </c:pt>
                <c:pt idx="161">
                  <c:v>1128.1838340445643</c:v>
                </c:pt>
                <c:pt idx="162">
                  <c:v>1131.8234336915939</c:v>
                </c:pt>
                <c:pt idx="163">
                  <c:v>1135.3518469040362</c:v>
                </c:pt>
                <c:pt idx="164">
                  <c:v>1138.7697837879821</c:v>
                </c:pt>
                <c:pt idx="165">
                  <c:v>1142.0779282745702</c:v>
                </c:pt>
                <c:pt idx="166">
                  <c:v>1145.2769387737878</c:v>
                </c:pt>
                <c:pt idx="167">
                  <c:v>1148.3674488036224</c:v>
                </c:pt>
                <c:pt idx="168">
                  <c:v>1151.3500675963605</c:v>
                </c:pt>
                <c:pt idx="169">
                  <c:v>1154.2253806838569</c:v>
                </c:pt>
                <c:pt idx="170">
                  <c:v>1156.9939504636304</c:v>
                </c:pt>
                <c:pt idx="171">
                  <c:v>1159.6563167477091</c:v>
                </c:pt>
                <c:pt idx="172">
                  <c:v>1162.2129972962246</c:v>
                </c:pt>
                <c:pt idx="173">
                  <c:v>1164.6644883378669</c:v>
                </c:pt>
                <c:pt idx="174">
                  <c:v>1167.0112650794408</c:v>
                </c:pt>
                <c:pt idx="175">
                  <c:v>1169.2537822069319</c:v>
                </c:pt>
                <c:pt idx="176">
                  <c:v>1171.3924743806851</c:v>
                </c:pt>
                <c:pt idx="177">
                  <c:v>1173.427756727531</c:v>
                </c:pt>
                <c:pt idx="178">
                  <c:v>1175.3600253329564</c:v>
                </c:pt>
                <c:pt idx="179">
                  <c:v>1177.1896577367297</c:v>
                </c:pt>
                <c:pt idx="180">
                  <c:v>1178.9170134357166</c:v>
                </c:pt>
                <c:pt idx="181">
                  <c:v>1180.542434398003</c:v>
                </c:pt>
                <c:pt idx="182">
                  <c:v>1182.0662455928264</c:v>
                </c:pt>
                <c:pt idx="183">
                  <c:v>1183.4887555412233</c:v>
                </c:pt>
                <c:pt idx="184">
                  <c:v>1184.8102568926899</c:v>
                </c:pt>
                <c:pt idx="185">
                  <c:v>1186.0310270335058</c:v>
                </c:pt>
                <c:pt idx="186">
                  <c:v>1187.1513287326436</c:v>
                </c:pt>
                <c:pt idx="187">
                  <c:v>1188.1714108313329</c:v>
                </c:pt>
                <c:pt idx="188">
                  <c:v>1189.0915089823011</c:v>
                </c:pt>
                <c:pt idx="189">
                  <c:v>1189.9118464444084</c:v>
                </c:pt>
                <c:pt idx="190">
                  <c:v>1190.6326349377516</c:v>
                </c:pt>
                <c:pt idx="191">
                  <c:v>1191.2540755632692</c:v>
                </c:pt>
                <c:pt idx="192">
                  <c:v>1191.7763597893713</c:v>
                </c:pt>
                <c:pt idx="193">
                  <c:v>1192.1996705061306</c:v>
                </c:pt>
                <c:pt idx="194">
                  <c:v>1192.5241831451251</c:v>
                </c:pt>
                <c:pt idx="195">
                  <c:v>1192.7500668602081</c:v>
                </c:pt>
                <c:pt idx="196">
                  <c:v>1192.8774857614485</c:v>
                </c:pt>
                <c:pt idx="197">
                  <c:v>1192.9066001914607</c:v>
                </c:pt>
                <c:pt idx="198">
                  <c:v>1192.8375680305887</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yVal>
          <c:smooth val="0"/>
          <c:extLst>
            <c:ext xmlns:c16="http://schemas.microsoft.com/office/drawing/2014/chart" uri="{C3380CC4-5D6E-409C-BE32-E72D297353CC}">
              <c16:uniqueId val="{00000007-4C7F-469F-ADED-1B0B28F452E1}"/>
            </c:ext>
          </c:extLst>
        </c:ser>
        <c:ser>
          <c:idx val="6"/>
          <c:order val="6"/>
          <c:tx>
            <c:strRef>
              <c:f>Trajecto!$B$107</c:f>
              <c:strCache>
                <c:ptCount val="1"/>
                <c:pt idx="0">
                  <c:v>Phase ascendante</c:v>
                </c:pt>
              </c:strCache>
            </c:strRef>
          </c:tx>
          <c:spPr>
            <a:ln w="28575">
              <a:noFill/>
            </a:ln>
          </c:spPr>
          <c:marker>
            <c:symbol val="none"/>
          </c:marker>
          <c:dLbls>
            <c:spPr>
              <a:noFill/>
              <a:ln w="25400">
                <a:noFill/>
              </a:ln>
            </c:spPr>
            <c:txPr>
              <a:bodyPr/>
              <a:lstStyle/>
              <a:p>
                <a:pPr>
                  <a:defRPr sz="700" b="1" i="0" u="none" strike="noStrike" baseline="0">
                    <a:solidFill>
                      <a:srgbClr val="000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Trajecto!$B$158</c:f>
              <c:numCache>
                <c:formatCode>General</c:formatCode>
                <c:ptCount val="1"/>
                <c:pt idx="0">
                  <c:v>3.5</c:v>
                </c:pt>
              </c:numCache>
            </c:numRef>
          </c:xVal>
          <c:yVal>
            <c:numRef>
              <c:f>Trajecto!$C$158</c:f>
              <c:numCache>
                <c:formatCode>0</c:formatCode>
                <c:ptCount val="1"/>
                <c:pt idx="0">
                  <c:v>596.41878401529436</c:v>
                </c:pt>
              </c:numCache>
            </c:numRef>
          </c:yVal>
          <c:smooth val="0"/>
          <c:extLst>
            <c:ext xmlns:c16="http://schemas.microsoft.com/office/drawing/2014/chart" uri="{C3380CC4-5D6E-409C-BE32-E72D297353CC}">
              <c16:uniqueId val="{00000008-4C7F-469F-ADED-1B0B28F452E1}"/>
            </c:ext>
          </c:extLst>
        </c:ser>
        <c:ser>
          <c:idx val="7"/>
          <c:order val="7"/>
          <c:tx>
            <c:strRef>
              <c:f>Trajecto!$B$108</c:f>
              <c:strCache>
                <c:ptCount val="1"/>
                <c:pt idx="0">
                  <c:v>Descente balistique</c:v>
                </c:pt>
              </c:strCache>
            </c:strRef>
          </c:tx>
          <c:spPr>
            <a:ln w="28575">
              <a:noFill/>
            </a:ln>
          </c:spPr>
          <c:marker>
            <c:symbol val="none"/>
          </c:marker>
          <c:dLbls>
            <c:spPr>
              <a:noFill/>
              <a:ln w="25400">
                <a:noFill/>
              </a:ln>
            </c:spPr>
            <c:txPr>
              <a:bodyPr/>
              <a:lstStyle/>
              <a:p>
                <a:pPr>
                  <a:defRPr sz="700" b="1" i="0" u="none" strike="noStrike" baseline="0">
                    <a:solidFill>
                      <a:srgbClr val="808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Trajecto!$B$159</c:f>
              <c:numCache>
                <c:formatCode>General</c:formatCode>
                <c:ptCount val="1"/>
                <c:pt idx="0">
                  <c:v>23.150000000000055</c:v>
                </c:pt>
              </c:numCache>
            </c:numRef>
          </c:xVal>
          <c:yVal>
            <c:numRef>
              <c:f>Trajecto!$C$159</c:f>
              <c:numCache>
                <c:formatCode>0</c:formatCode>
                <c:ptCount val="1"/>
                <c:pt idx="0">
                  <c:v>596.43874288072425</c:v>
                </c:pt>
              </c:numCache>
            </c:numRef>
          </c:yVal>
          <c:smooth val="0"/>
          <c:extLst>
            <c:ext xmlns:c16="http://schemas.microsoft.com/office/drawing/2014/chart" uri="{C3380CC4-5D6E-409C-BE32-E72D297353CC}">
              <c16:uniqueId val="{00000009-4C7F-469F-ADED-1B0B28F452E1}"/>
            </c:ext>
          </c:extLst>
        </c:ser>
        <c:dLbls>
          <c:showLegendKey val="0"/>
          <c:showVal val="0"/>
          <c:showCatName val="0"/>
          <c:showSerName val="0"/>
          <c:showPercent val="0"/>
          <c:showBubbleSize val="0"/>
        </c:dLbls>
        <c:axId val="149275008"/>
        <c:axId val="149276928"/>
      </c:scatterChart>
      <c:valAx>
        <c:axId val="149275008"/>
        <c:scaling>
          <c:orientation val="minMax"/>
          <c:min val="0"/>
        </c:scaling>
        <c:delete val="0"/>
        <c:axPos val="b"/>
        <c:majorGridlines>
          <c:spPr>
            <a:ln w="3175">
              <a:solidFill>
                <a:srgbClr val="000000"/>
              </a:solidFill>
              <a:prstDash val="sysDash"/>
            </a:ln>
          </c:spPr>
        </c:majorGridlines>
        <c:title>
          <c:tx>
            <c:strRef>
              <c:f>Trajecto!$B$113</c:f>
              <c:strCache>
                <c:ptCount val="1"/>
                <c:pt idx="0">
                  <c:v>Temps [s]</c:v>
                </c:pt>
              </c:strCache>
            </c:strRef>
          </c:tx>
          <c:layout>
            <c:manualLayout>
              <c:xMode val="edge"/>
              <c:yMode val="edge"/>
              <c:x val="0.60555551848391842"/>
              <c:y val="0.8513930569999506"/>
            </c:manualLayout>
          </c:layout>
          <c:overlay val="0"/>
          <c:spPr>
            <a:solidFill>
              <a:srgbClr val="FFFFFF"/>
            </a:solidFill>
            <a:ln w="25400">
              <a:noFill/>
            </a:ln>
          </c:spPr>
          <c:txPr>
            <a:bodyPr/>
            <a:lstStyle/>
            <a:p>
              <a:pPr>
                <a:defRPr sz="800" b="1" i="0" u="none" strike="noStrike" baseline="0">
                  <a:solidFill>
                    <a:srgbClr val="0000FF"/>
                  </a:solidFill>
                  <a:latin typeface="Arial"/>
                  <a:ea typeface="Arial"/>
                  <a:cs typeface="Arial"/>
                </a:defRPr>
              </a:pPr>
              <a:endParaRPr lang="fr-FR"/>
            </a:p>
          </c:tx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9276928"/>
        <c:crosses val="autoZero"/>
        <c:crossBetween val="midCat"/>
      </c:valAx>
      <c:valAx>
        <c:axId val="149276928"/>
        <c:scaling>
          <c:orientation val="minMax"/>
          <c:min val="0"/>
        </c:scaling>
        <c:delete val="0"/>
        <c:axPos val="l"/>
        <c:majorGridlines>
          <c:spPr>
            <a:ln w="3175">
              <a:solidFill>
                <a:srgbClr val="000000"/>
              </a:solidFill>
              <a:prstDash val="sysDash"/>
            </a:ln>
          </c:spPr>
        </c:majorGridlines>
        <c:title>
          <c:tx>
            <c:rich>
              <a:bodyPr/>
              <a:lstStyle/>
              <a:p>
                <a:pPr>
                  <a:defRPr sz="800" b="1" i="0" u="none" strike="noStrike" baseline="0">
                    <a:solidFill>
                      <a:srgbClr val="0000FF"/>
                    </a:solidFill>
                    <a:latin typeface="Arial"/>
                    <a:ea typeface="Arial"/>
                    <a:cs typeface="Arial"/>
                  </a:defRPr>
                </a:pPr>
                <a:r>
                  <a:rPr lang="fr-FR"/>
                  <a:t>Altitude z [m]</a:t>
                </a:r>
              </a:p>
            </c:rich>
          </c:tx>
          <c:layout>
            <c:manualLayout>
              <c:xMode val="edge"/>
              <c:yMode val="edge"/>
              <c:x val="9.0000333644735087E-2"/>
              <c:y val="6.8111391736410315E-2"/>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9275008"/>
        <c:crosses val="autoZero"/>
        <c:crossBetween val="midCat"/>
      </c:valAx>
      <c:spPr>
        <a:gradFill rotWithShape="0">
          <a:gsLst>
            <a:gs pos="0">
              <a:srgbClr val="99CCFF"/>
            </a:gs>
            <a:gs pos="100000">
              <a:srgbClr val="FFFFFF"/>
            </a:gs>
          </a:gsLst>
          <a:lin ang="5400000" scaled="1"/>
        </a:gradFill>
        <a:ln w="12700">
          <a:solidFill>
            <a:srgbClr val="80808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Forces</a:t>
            </a:r>
          </a:p>
        </c:rich>
      </c:tx>
      <c:overlay val="1"/>
    </c:title>
    <c:autoTitleDeleted val="0"/>
    <c:plotArea>
      <c:layout>
        <c:manualLayout>
          <c:layoutTarget val="inner"/>
          <c:xMode val="edge"/>
          <c:yMode val="edge"/>
          <c:x val="0.11674528301886802"/>
          <c:y val="9.4771544282144501E-2"/>
          <c:w val="0.86438679245283023"/>
          <c:h val="0.74183243282920064"/>
        </c:manualLayout>
      </c:layout>
      <c:scatterChart>
        <c:scatterStyle val="lineMarker"/>
        <c:varyColors val="0"/>
        <c:ser>
          <c:idx val="1"/>
          <c:order val="0"/>
          <c:tx>
            <c:strRef>
              <c:f>Courbes!$B$134</c:f>
              <c:strCache>
                <c:ptCount val="1"/>
                <c:pt idx="0">
                  <c:v>Poussée</c:v>
                </c:pt>
              </c:strCache>
            </c:strRef>
          </c:tx>
          <c:spPr>
            <a:ln w="25400">
              <a:solidFill>
                <a:srgbClr val="008000"/>
              </a:solidFill>
              <a:prstDash val="solid"/>
            </a:ln>
          </c:spPr>
          <c:marker>
            <c:symbol val="none"/>
          </c:marker>
          <c:xVal>
            <c:numRef>
              <c:f>Calculs!$B$4:$B$1004</c:f>
              <c:numCache>
                <c:formatCode>0.00</c:formatCode>
                <c:ptCount val="1001"/>
                <c:pt idx="0">
                  <c:v>3.2</c:v>
                </c:pt>
                <c:pt idx="1">
                  <c:v>3.21</c:v>
                </c:pt>
                <c:pt idx="2">
                  <c:v>3.2199999999999998</c:v>
                </c:pt>
                <c:pt idx="3">
                  <c:v>3.2299999999999995</c:v>
                </c:pt>
                <c:pt idx="4">
                  <c:v>3.2399999999999993</c:v>
                </c:pt>
                <c:pt idx="5">
                  <c:v>3.2499999999999991</c:v>
                </c:pt>
                <c:pt idx="6">
                  <c:v>3.2599999999999989</c:v>
                </c:pt>
                <c:pt idx="7">
                  <c:v>3.2699999999999987</c:v>
                </c:pt>
                <c:pt idx="8">
                  <c:v>3.2799999999999985</c:v>
                </c:pt>
                <c:pt idx="9">
                  <c:v>3.2899999999999983</c:v>
                </c:pt>
                <c:pt idx="10">
                  <c:v>3.299999999999998</c:v>
                </c:pt>
                <c:pt idx="11">
                  <c:v>3.3099999999999978</c:v>
                </c:pt>
                <c:pt idx="12">
                  <c:v>3.3199999999999976</c:v>
                </c:pt>
                <c:pt idx="13">
                  <c:v>3.3299999999999974</c:v>
                </c:pt>
                <c:pt idx="14">
                  <c:v>3.3399999999999972</c:v>
                </c:pt>
                <c:pt idx="15">
                  <c:v>3.349999999999997</c:v>
                </c:pt>
                <c:pt idx="16">
                  <c:v>3.3599999999999968</c:v>
                </c:pt>
                <c:pt idx="17">
                  <c:v>3.3699999999999966</c:v>
                </c:pt>
                <c:pt idx="18">
                  <c:v>3.3799999999999963</c:v>
                </c:pt>
                <c:pt idx="19">
                  <c:v>3.3899999999999961</c:v>
                </c:pt>
                <c:pt idx="20">
                  <c:v>3.3999999999999959</c:v>
                </c:pt>
                <c:pt idx="21">
                  <c:v>3.4099999999999957</c:v>
                </c:pt>
                <c:pt idx="22">
                  <c:v>3.4199999999999955</c:v>
                </c:pt>
                <c:pt idx="23">
                  <c:v>3.4299999999999953</c:v>
                </c:pt>
                <c:pt idx="24">
                  <c:v>3.4399999999999951</c:v>
                </c:pt>
                <c:pt idx="25">
                  <c:v>3.4499999999999948</c:v>
                </c:pt>
                <c:pt idx="26">
                  <c:v>3.4599999999999946</c:v>
                </c:pt>
                <c:pt idx="27">
                  <c:v>3.4699999999999944</c:v>
                </c:pt>
                <c:pt idx="28">
                  <c:v>3.4799999999999942</c:v>
                </c:pt>
                <c:pt idx="29">
                  <c:v>3.489999999999994</c:v>
                </c:pt>
                <c:pt idx="30">
                  <c:v>3.4999999999999938</c:v>
                </c:pt>
                <c:pt idx="31">
                  <c:v>3.5099999999999936</c:v>
                </c:pt>
                <c:pt idx="32">
                  <c:v>3.5199999999999934</c:v>
                </c:pt>
                <c:pt idx="33">
                  <c:v>3.5299999999999931</c:v>
                </c:pt>
                <c:pt idx="34">
                  <c:v>3.5399999999999929</c:v>
                </c:pt>
                <c:pt idx="35">
                  <c:v>3.5499999999999927</c:v>
                </c:pt>
                <c:pt idx="36">
                  <c:v>3.5599999999999925</c:v>
                </c:pt>
                <c:pt idx="37">
                  <c:v>3.5699999999999923</c:v>
                </c:pt>
                <c:pt idx="38">
                  <c:v>3.5799999999999921</c:v>
                </c:pt>
                <c:pt idx="39">
                  <c:v>3.5899999999999919</c:v>
                </c:pt>
                <c:pt idx="40">
                  <c:v>3.5999999999999917</c:v>
                </c:pt>
                <c:pt idx="41">
                  <c:v>3.6099999999999914</c:v>
                </c:pt>
                <c:pt idx="42">
                  <c:v>3.6199999999999912</c:v>
                </c:pt>
                <c:pt idx="43">
                  <c:v>3.629999999999991</c:v>
                </c:pt>
                <c:pt idx="44">
                  <c:v>3.6399999999999908</c:v>
                </c:pt>
                <c:pt idx="45">
                  <c:v>3.6499999999999906</c:v>
                </c:pt>
                <c:pt idx="46">
                  <c:v>3.6599999999999904</c:v>
                </c:pt>
                <c:pt idx="47">
                  <c:v>3.6699999999999902</c:v>
                </c:pt>
                <c:pt idx="48">
                  <c:v>3.6799999999999899</c:v>
                </c:pt>
                <c:pt idx="49">
                  <c:v>3.6899999999999897</c:v>
                </c:pt>
                <c:pt idx="50">
                  <c:v>3.6999999999999895</c:v>
                </c:pt>
                <c:pt idx="51">
                  <c:v>3.7099999999999893</c:v>
                </c:pt>
                <c:pt idx="52">
                  <c:v>3.7199999999999891</c:v>
                </c:pt>
                <c:pt idx="53">
                  <c:v>3.7299999999999889</c:v>
                </c:pt>
                <c:pt idx="54">
                  <c:v>3.7399999999999887</c:v>
                </c:pt>
                <c:pt idx="55">
                  <c:v>3.7499999999999885</c:v>
                </c:pt>
                <c:pt idx="56">
                  <c:v>3.7599999999999882</c:v>
                </c:pt>
                <c:pt idx="57">
                  <c:v>3.769999999999988</c:v>
                </c:pt>
                <c:pt idx="58">
                  <c:v>3.7799999999999878</c:v>
                </c:pt>
                <c:pt idx="59">
                  <c:v>3.7899999999999876</c:v>
                </c:pt>
                <c:pt idx="60">
                  <c:v>3.7999999999999874</c:v>
                </c:pt>
                <c:pt idx="61">
                  <c:v>3.8099999999999872</c:v>
                </c:pt>
                <c:pt idx="62">
                  <c:v>3.819999999999987</c:v>
                </c:pt>
                <c:pt idx="63">
                  <c:v>3.8299999999999867</c:v>
                </c:pt>
                <c:pt idx="64">
                  <c:v>3.8399999999999865</c:v>
                </c:pt>
                <c:pt idx="65">
                  <c:v>3.8499999999999863</c:v>
                </c:pt>
                <c:pt idx="66">
                  <c:v>3.8599999999999861</c:v>
                </c:pt>
                <c:pt idx="67">
                  <c:v>3.8699999999999859</c:v>
                </c:pt>
                <c:pt idx="68">
                  <c:v>3.8799999999999857</c:v>
                </c:pt>
                <c:pt idx="69">
                  <c:v>3.8899999999999855</c:v>
                </c:pt>
                <c:pt idx="70">
                  <c:v>3.8999999999999853</c:v>
                </c:pt>
                <c:pt idx="71">
                  <c:v>3.909999999999985</c:v>
                </c:pt>
                <c:pt idx="72">
                  <c:v>3.9199999999999848</c:v>
                </c:pt>
                <c:pt idx="73">
                  <c:v>3.9299999999999846</c:v>
                </c:pt>
                <c:pt idx="74">
                  <c:v>3.9399999999999844</c:v>
                </c:pt>
                <c:pt idx="75">
                  <c:v>3.9499999999999842</c:v>
                </c:pt>
                <c:pt idx="76">
                  <c:v>3.959999999999984</c:v>
                </c:pt>
                <c:pt idx="77">
                  <c:v>3.9699999999999838</c:v>
                </c:pt>
                <c:pt idx="78">
                  <c:v>3.9799999999999836</c:v>
                </c:pt>
                <c:pt idx="79">
                  <c:v>3.9899999999999833</c:v>
                </c:pt>
                <c:pt idx="80">
                  <c:v>3.9999999999999831</c:v>
                </c:pt>
                <c:pt idx="81">
                  <c:v>4.0099999999999829</c:v>
                </c:pt>
                <c:pt idx="82">
                  <c:v>4.0199999999999827</c:v>
                </c:pt>
                <c:pt idx="83">
                  <c:v>4.0299999999999825</c:v>
                </c:pt>
                <c:pt idx="84">
                  <c:v>4.0399999999999823</c:v>
                </c:pt>
                <c:pt idx="85">
                  <c:v>4.0499999999999821</c:v>
                </c:pt>
                <c:pt idx="86">
                  <c:v>4.0599999999999818</c:v>
                </c:pt>
                <c:pt idx="87">
                  <c:v>4.0699999999999816</c:v>
                </c:pt>
                <c:pt idx="88">
                  <c:v>4.0799999999999814</c:v>
                </c:pt>
                <c:pt idx="89">
                  <c:v>4.0899999999999812</c:v>
                </c:pt>
                <c:pt idx="90">
                  <c:v>4.099999999999981</c:v>
                </c:pt>
                <c:pt idx="91">
                  <c:v>4.1099999999999808</c:v>
                </c:pt>
                <c:pt idx="92">
                  <c:v>4.1199999999999806</c:v>
                </c:pt>
                <c:pt idx="93">
                  <c:v>4.1299999999999804</c:v>
                </c:pt>
                <c:pt idx="94">
                  <c:v>4.1399999999999801</c:v>
                </c:pt>
                <c:pt idx="95">
                  <c:v>4.1499999999999799</c:v>
                </c:pt>
                <c:pt idx="96">
                  <c:v>4.1599999999999797</c:v>
                </c:pt>
                <c:pt idx="97">
                  <c:v>4.1699999999999795</c:v>
                </c:pt>
                <c:pt idx="98">
                  <c:v>4.1799999999999793</c:v>
                </c:pt>
                <c:pt idx="99">
                  <c:v>4.1899999999999791</c:v>
                </c:pt>
                <c:pt idx="100">
                  <c:v>4.1999999999999789</c:v>
                </c:pt>
                <c:pt idx="101">
                  <c:v>4.2999999999999785</c:v>
                </c:pt>
                <c:pt idx="102">
                  <c:v>4.3999999999999782</c:v>
                </c:pt>
                <c:pt idx="103">
                  <c:v>4.4999999999999778</c:v>
                </c:pt>
                <c:pt idx="104">
                  <c:v>4.5999999999999774</c:v>
                </c:pt>
                <c:pt idx="105">
                  <c:v>4.6999999999999771</c:v>
                </c:pt>
                <c:pt idx="106">
                  <c:v>4.7999999999999767</c:v>
                </c:pt>
                <c:pt idx="107">
                  <c:v>4.8999999999999764</c:v>
                </c:pt>
                <c:pt idx="108">
                  <c:v>4.999999999999976</c:v>
                </c:pt>
                <c:pt idx="109">
                  <c:v>5.0999999999999757</c:v>
                </c:pt>
                <c:pt idx="110">
                  <c:v>5.1999999999999753</c:v>
                </c:pt>
                <c:pt idx="111">
                  <c:v>5.299999999999975</c:v>
                </c:pt>
                <c:pt idx="112">
                  <c:v>5.3999999999999746</c:v>
                </c:pt>
                <c:pt idx="113">
                  <c:v>5.4999999999999742</c:v>
                </c:pt>
                <c:pt idx="114">
                  <c:v>5.5999999999999739</c:v>
                </c:pt>
                <c:pt idx="115">
                  <c:v>5.6999999999999735</c:v>
                </c:pt>
                <c:pt idx="116">
                  <c:v>5.7999999999999732</c:v>
                </c:pt>
                <c:pt idx="117">
                  <c:v>5.8999999999999728</c:v>
                </c:pt>
                <c:pt idx="118">
                  <c:v>5.9999999999999725</c:v>
                </c:pt>
                <c:pt idx="119">
                  <c:v>6.0999999999999721</c:v>
                </c:pt>
                <c:pt idx="120">
                  <c:v>6.1999999999999718</c:v>
                </c:pt>
                <c:pt idx="121">
                  <c:v>6.2999999999999714</c:v>
                </c:pt>
                <c:pt idx="122">
                  <c:v>6.399999999999971</c:v>
                </c:pt>
                <c:pt idx="123">
                  <c:v>6.4999999999999707</c:v>
                </c:pt>
                <c:pt idx="124">
                  <c:v>6.5999999999999703</c:v>
                </c:pt>
                <c:pt idx="125">
                  <c:v>6.69999999999997</c:v>
                </c:pt>
                <c:pt idx="126">
                  <c:v>6.7999999999999696</c:v>
                </c:pt>
                <c:pt idx="127">
                  <c:v>6.8999999999999693</c:v>
                </c:pt>
                <c:pt idx="128">
                  <c:v>6.9999999999999689</c:v>
                </c:pt>
                <c:pt idx="129">
                  <c:v>7.0999999999999686</c:v>
                </c:pt>
                <c:pt idx="130">
                  <c:v>7.1999999999999682</c:v>
                </c:pt>
                <c:pt idx="131">
                  <c:v>7.2999999999999678</c:v>
                </c:pt>
                <c:pt idx="132">
                  <c:v>7.3999999999999675</c:v>
                </c:pt>
                <c:pt idx="133">
                  <c:v>7.4999999999999671</c:v>
                </c:pt>
                <c:pt idx="134">
                  <c:v>7.5999999999999668</c:v>
                </c:pt>
                <c:pt idx="135">
                  <c:v>7.6999999999999664</c:v>
                </c:pt>
                <c:pt idx="136">
                  <c:v>7.7999999999999661</c:v>
                </c:pt>
                <c:pt idx="137">
                  <c:v>7.8999999999999657</c:v>
                </c:pt>
                <c:pt idx="138">
                  <c:v>7.9999999999999654</c:v>
                </c:pt>
                <c:pt idx="139">
                  <c:v>8.0999999999999659</c:v>
                </c:pt>
                <c:pt idx="140">
                  <c:v>8.1999999999999655</c:v>
                </c:pt>
                <c:pt idx="141">
                  <c:v>8.2999999999999652</c:v>
                </c:pt>
                <c:pt idx="142">
                  <c:v>8.3999999999999648</c:v>
                </c:pt>
                <c:pt idx="143">
                  <c:v>8.4999999999999645</c:v>
                </c:pt>
                <c:pt idx="144">
                  <c:v>8.5999999999999641</c:v>
                </c:pt>
                <c:pt idx="145">
                  <c:v>8.6999999999999638</c:v>
                </c:pt>
                <c:pt idx="146">
                  <c:v>8.7999999999999634</c:v>
                </c:pt>
                <c:pt idx="147">
                  <c:v>8.8999999999999631</c:v>
                </c:pt>
                <c:pt idx="148">
                  <c:v>8.9999999999999627</c:v>
                </c:pt>
                <c:pt idx="149">
                  <c:v>9.0999999999999623</c:v>
                </c:pt>
                <c:pt idx="150">
                  <c:v>9.199999999999962</c:v>
                </c:pt>
                <c:pt idx="151">
                  <c:v>9.2999999999999616</c:v>
                </c:pt>
                <c:pt idx="152">
                  <c:v>9.3999999999999613</c:v>
                </c:pt>
                <c:pt idx="153">
                  <c:v>9.4999999999999609</c:v>
                </c:pt>
                <c:pt idx="154">
                  <c:v>9.5999999999999606</c:v>
                </c:pt>
                <c:pt idx="155">
                  <c:v>9.6999999999999602</c:v>
                </c:pt>
                <c:pt idx="156">
                  <c:v>9.7999999999999599</c:v>
                </c:pt>
                <c:pt idx="157">
                  <c:v>9.8999999999999595</c:v>
                </c:pt>
                <c:pt idx="158">
                  <c:v>9.9999999999999591</c:v>
                </c:pt>
                <c:pt idx="159">
                  <c:v>10.099999999999959</c:v>
                </c:pt>
                <c:pt idx="160">
                  <c:v>10.199999999999958</c:v>
                </c:pt>
                <c:pt idx="161">
                  <c:v>10.299999999999958</c:v>
                </c:pt>
                <c:pt idx="162">
                  <c:v>10.399999999999958</c:v>
                </c:pt>
                <c:pt idx="163">
                  <c:v>10.499999999999957</c:v>
                </c:pt>
                <c:pt idx="164">
                  <c:v>10.599999999999957</c:v>
                </c:pt>
                <c:pt idx="165">
                  <c:v>10.699999999999957</c:v>
                </c:pt>
                <c:pt idx="166">
                  <c:v>10.799999999999956</c:v>
                </c:pt>
                <c:pt idx="167">
                  <c:v>10.899999999999956</c:v>
                </c:pt>
                <c:pt idx="168">
                  <c:v>10.999999999999956</c:v>
                </c:pt>
                <c:pt idx="169">
                  <c:v>11.099999999999955</c:v>
                </c:pt>
                <c:pt idx="170">
                  <c:v>11.199999999999955</c:v>
                </c:pt>
                <c:pt idx="171">
                  <c:v>11.299999999999955</c:v>
                </c:pt>
                <c:pt idx="172">
                  <c:v>11.399999999999954</c:v>
                </c:pt>
                <c:pt idx="173">
                  <c:v>11.499999999999954</c:v>
                </c:pt>
                <c:pt idx="174">
                  <c:v>11.599999999999953</c:v>
                </c:pt>
                <c:pt idx="175">
                  <c:v>11.699999999999953</c:v>
                </c:pt>
                <c:pt idx="176">
                  <c:v>11.799999999999953</c:v>
                </c:pt>
                <c:pt idx="177">
                  <c:v>11.899999999999952</c:v>
                </c:pt>
                <c:pt idx="178">
                  <c:v>11.999999999999952</c:v>
                </c:pt>
                <c:pt idx="179">
                  <c:v>12.099999999999952</c:v>
                </c:pt>
                <c:pt idx="180">
                  <c:v>12.199999999999951</c:v>
                </c:pt>
                <c:pt idx="181">
                  <c:v>12.299999999999951</c:v>
                </c:pt>
                <c:pt idx="182">
                  <c:v>12.399999999999951</c:v>
                </c:pt>
                <c:pt idx="183">
                  <c:v>12.49999999999995</c:v>
                </c:pt>
                <c:pt idx="184">
                  <c:v>12.59999999999995</c:v>
                </c:pt>
                <c:pt idx="185">
                  <c:v>12.69999999999995</c:v>
                </c:pt>
                <c:pt idx="186">
                  <c:v>12.799999999999949</c:v>
                </c:pt>
                <c:pt idx="187">
                  <c:v>12.899999999999949</c:v>
                </c:pt>
                <c:pt idx="188">
                  <c:v>12.999999999999948</c:v>
                </c:pt>
                <c:pt idx="189">
                  <c:v>13.099999999999948</c:v>
                </c:pt>
                <c:pt idx="190">
                  <c:v>13.199999999999948</c:v>
                </c:pt>
                <c:pt idx="191">
                  <c:v>13.299999999999947</c:v>
                </c:pt>
                <c:pt idx="192">
                  <c:v>13.399999999999947</c:v>
                </c:pt>
                <c:pt idx="193">
                  <c:v>13.499999999999947</c:v>
                </c:pt>
                <c:pt idx="194">
                  <c:v>13.599999999999946</c:v>
                </c:pt>
                <c:pt idx="195">
                  <c:v>13.699999999999946</c:v>
                </c:pt>
                <c:pt idx="196">
                  <c:v>13.799999999999946</c:v>
                </c:pt>
                <c:pt idx="197">
                  <c:v>13.899999999999945</c:v>
                </c:pt>
                <c:pt idx="198">
                  <c:v>13.999999999999945</c:v>
                </c:pt>
                <c:pt idx="199">
                  <c:v>14.099999999999945</c:v>
                </c:pt>
                <c:pt idx="200">
                  <c:v>14.199999999999944</c:v>
                </c:pt>
                <c:pt idx="201">
                  <c:v>14.299999999999944</c:v>
                </c:pt>
                <c:pt idx="202">
                  <c:v>14.399999999999944</c:v>
                </c:pt>
                <c:pt idx="203">
                  <c:v>14.499999999999943</c:v>
                </c:pt>
                <c:pt idx="204">
                  <c:v>14.599999999999943</c:v>
                </c:pt>
                <c:pt idx="205">
                  <c:v>14.699999999999942</c:v>
                </c:pt>
                <c:pt idx="206">
                  <c:v>14.799999999999942</c:v>
                </c:pt>
                <c:pt idx="207">
                  <c:v>14.899999999999942</c:v>
                </c:pt>
                <c:pt idx="208">
                  <c:v>14.999999999999941</c:v>
                </c:pt>
                <c:pt idx="209">
                  <c:v>15.099999999999941</c:v>
                </c:pt>
                <c:pt idx="210">
                  <c:v>15.199999999999941</c:v>
                </c:pt>
                <c:pt idx="211">
                  <c:v>15.29999999999994</c:v>
                </c:pt>
                <c:pt idx="212">
                  <c:v>15.39999999999994</c:v>
                </c:pt>
                <c:pt idx="213">
                  <c:v>15.49999999999994</c:v>
                </c:pt>
                <c:pt idx="214">
                  <c:v>15.599999999999939</c:v>
                </c:pt>
                <c:pt idx="215">
                  <c:v>15.699999999999939</c:v>
                </c:pt>
                <c:pt idx="216">
                  <c:v>15.799999999999939</c:v>
                </c:pt>
                <c:pt idx="217">
                  <c:v>15.899999999999938</c:v>
                </c:pt>
                <c:pt idx="218">
                  <c:v>15.999999999999938</c:v>
                </c:pt>
                <c:pt idx="219">
                  <c:v>16.099999999999937</c:v>
                </c:pt>
                <c:pt idx="220">
                  <c:v>16.199999999999939</c:v>
                </c:pt>
                <c:pt idx="221">
                  <c:v>16.29999999999994</c:v>
                </c:pt>
                <c:pt idx="222">
                  <c:v>16.399999999999942</c:v>
                </c:pt>
                <c:pt idx="223">
                  <c:v>16.499999999999943</c:v>
                </c:pt>
                <c:pt idx="224">
                  <c:v>16.599999999999945</c:v>
                </c:pt>
                <c:pt idx="225">
                  <c:v>16.699999999999946</c:v>
                </c:pt>
                <c:pt idx="226">
                  <c:v>16.799999999999947</c:v>
                </c:pt>
                <c:pt idx="227">
                  <c:v>16.899999999999949</c:v>
                </c:pt>
                <c:pt idx="228">
                  <c:v>16.99999999999995</c:v>
                </c:pt>
                <c:pt idx="229">
                  <c:v>17.099999999999952</c:v>
                </c:pt>
                <c:pt idx="230">
                  <c:v>17.199999999999953</c:v>
                </c:pt>
                <c:pt idx="231">
                  <c:v>17.299999999999955</c:v>
                </c:pt>
                <c:pt idx="232">
                  <c:v>17.399999999999956</c:v>
                </c:pt>
                <c:pt idx="233">
                  <c:v>17.499999999999957</c:v>
                </c:pt>
                <c:pt idx="234">
                  <c:v>17.599999999999959</c:v>
                </c:pt>
                <c:pt idx="235">
                  <c:v>17.69999999999996</c:v>
                </c:pt>
                <c:pt idx="236">
                  <c:v>17.799999999999962</c:v>
                </c:pt>
                <c:pt idx="237">
                  <c:v>17.899999999999963</c:v>
                </c:pt>
                <c:pt idx="238">
                  <c:v>17.999999999999964</c:v>
                </c:pt>
                <c:pt idx="239">
                  <c:v>18.099999999999966</c:v>
                </c:pt>
                <c:pt idx="240">
                  <c:v>18.199999999999967</c:v>
                </c:pt>
                <c:pt idx="241">
                  <c:v>18.299999999999969</c:v>
                </c:pt>
                <c:pt idx="242">
                  <c:v>18.39999999999997</c:v>
                </c:pt>
                <c:pt idx="243">
                  <c:v>18.499999999999972</c:v>
                </c:pt>
                <c:pt idx="244">
                  <c:v>18.599999999999973</c:v>
                </c:pt>
                <c:pt idx="245">
                  <c:v>18.699999999999974</c:v>
                </c:pt>
                <c:pt idx="246">
                  <c:v>18.799999999999976</c:v>
                </c:pt>
                <c:pt idx="247">
                  <c:v>18.899999999999977</c:v>
                </c:pt>
                <c:pt idx="248">
                  <c:v>18.999999999999979</c:v>
                </c:pt>
                <c:pt idx="249">
                  <c:v>19.09999999999998</c:v>
                </c:pt>
                <c:pt idx="250">
                  <c:v>19.199999999999982</c:v>
                </c:pt>
                <c:pt idx="251">
                  <c:v>19.299999999999983</c:v>
                </c:pt>
                <c:pt idx="252">
                  <c:v>19.399999999999984</c:v>
                </c:pt>
                <c:pt idx="253">
                  <c:v>19.499999999999986</c:v>
                </c:pt>
                <c:pt idx="254">
                  <c:v>19.599999999999987</c:v>
                </c:pt>
                <c:pt idx="255">
                  <c:v>19.699999999999989</c:v>
                </c:pt>
                <c:pt idx="256">
                  <c:v>19.79999999999999</c:v>
                </c:pt>
                <c:pt idx="257">
                  <c:v>19.899999999999991</c:v>
                </c:pt>
                <c:pt idx="258">
                  <c:v>19.999999999999993</c:v>
                </c:pt>
                <c:pt idx="259">
                  <c:v>20.099999999999994</c:v>
                </c:pt>
                <c:pt idx="260">
                  <c:v>20.199999999999996</c:v>
                </c:pt>
                <c:pt idx="261">
                  <c:v>20.299999999999997</c:v>
                </c:pt>
                <c:pt idx="262">
                  <c:v>20.399999999999999</c:v>
                </c:pt>
                <c:pt idx="263">
                  <c:v>20.5</c:v>
                </c:pt>
                <c:pt idx="264">
                  <c:v>20.6</c:v>
                </c:pt>
                <c:pt idx="265">
                  <c:v>20.700000000000003</c:v>
                </c:pt>
                <c:pt idx="266">
                  <c:v>20.800000000000004</c:v>
                </c:pt>
                <c:pt idx="267">
                  <c:v>20.900000000000006</c:v>
                </c:pt>
                <c:pt idx="268">
                  <c:v>21.000000000000007</c:v>
                </c:pt>
                <c:pt idx="269">
                  <c:v>21.100000000000009</c:v>
                </c:pt>
                <c:pt idx="270">
                  <c:v>21.20000000000001</c:v>
                </c:pt>
                <c:pt idx="271">
                  <c:v>21.300000000000011</c:v>
                </c:pt>
                <c:pt idx="272">
                  <c:v>21.400000000000013</c:v>
                </c:pt>
                <c:pt idx="273">
                  <c:v>21.500000000000014</c:v>
                </c:pt>
                <c:pt idx="274">
                  <c:v>21.600000000000016</c:v>
                </c:pt>
                <c:pt idx="275">
                  <c:v>21.700000000000017</c:v>
                </c:pt>
                <c:pt idx="276">
                  <c:v>21.800000000000018</c:v>
                </c:pt>
                <c:pt idx="277">
                  <c:v>21.90000000000002</c:v>
                </c:pt>
                <c:pt idx="278">
                  <c:v>22.000000000000021</c:v>
                </c:pt>
                <c:pt idx="279">
                  <c:v>22.100000000000023</c:v>
                </c:pt>
                <c:pt idx="280">
                  <c:v>22.200000000000024</c:v>
                </c:pt>
                <c:pt idx="281">
                  <c:v>22.300000000000026</c:v>
                </c:pt>
                <c:pt idx="282">
                  <c:v>22.400000000000027</c:v>
                </c:pt>
                <c:pt idx="283">
                  <c:v>22.500000000000028</c:v>
                </c:pt>
                <c:pt idx="284">
                  <c:v>22.60000000000003</c:v>
                </c:pt>
                <c:pt idx="285">
                  <c:v>22.700000000000031</c:v>
                </c:pt>
                <c:pt idx="286">
                  <c:v>22.800000000000033</c:v>
                </c:pt>
                <c:pt idx="287">
                  <c:v>22.900000000000034</c:v>
                </c:pt>
                <c:pt idx="288">
                  <c:v>23.000000000000036</c:v>
                </c:pt>
                <c:pt idx="289">
                  <c:v>23.100000000000037</c:v>
                </c:pt>
                <c:pt idx="290">
                  <c:v>23.200000000000038</c:v>
                </c:pt>
                <c:pt idx="291">
                  <c:v>23.30000000000004</c:v>
                </c:pt>
                <c:pt idx="292">
                  <c:v>23.400000000000041</c:v>
                </c:pt>
                <c:pt idx="293">
                  <c:v>23.500000000000043</c:v>
                </c:pt>
                <c:pt idx="294">
                  <c:v>23.600000000000044</c:v>
                </c:pt>
                <c:pt idx="295">
                  <c:v>23.700000000000045</c:v>
                </c:pt>
                <c:pt idx="296">
                  <c:v>23.800000000000047</c:v>
                </c:pt>
                <c:pt idx="297">
                  <c:v>23.900000000000048</c:v>
                </c:pt>
                <c:pt idx="298">
                  <c:v>24.00000000000005</c:v>
                </c:pt>
                <c:pt idx="299">
                  <c:v>24.100000000000051</c:v>
                </c:pt>
                <c:pt idx="300">
                  <c:v>24.200000000000053</c:v>
                </c:pt>
                <c:pt idx="301">
                  <c:v>24.300000000000054</c:v>
                </c:pt>
                <c:pt idx="302">
                  <c:v>24.400000000000055</c:v>
                </c:pt>
                <c:pt idx="303">
                  <c:v>24.500000000000057</c:v>
                </c:pt>
                <c:pt idx="304">
                  <c:v>24.600000000000058</c:v>
                </c:pt>
                <c:pt idx="305">
                  <c:v>24.70000000000006</c:v>
                </c:pt>
                <c:pt idx="306">
                  <c:v>24.800000000000061</c:v>
                </c:pt>
                <c:pt idx="307">
                  <c:v>24.900000000000063</c:v>
                </c:pt>
                <c:pt idx="308">
                  <c:v>25.000000000000064</c:v>
                </c:pt>
                <c:pt idx="309">
                  <c:v>25.100000000000065</c:v>
                </c:pt>
                <c:pt idx="310">
                  <c:v>25.200000000000067</c:v>
                </c:pt>
                <c:pt idx="311">
                  <c:v>25.300000000000068</c:v>
                </c:pt>
                <c:pt idx="312">
                  <c:v>25.40000000000007</c:v>
                </c:pt>
                <c:pt idx="313">
                  <c:v>25.500000000000071</c:v>
                </c:pt>
                <c:pt idx="314">
                  <c:v>25.600000000000072</c:v>
                </c:pt>
                <c:pt idx="315">
                  <c:v>25.700000000000074</c:v>
                </c:pt>
                <c:pt idx="316">
                  <c:v>25.800000000000075</c:v>
                </c:pt>
                <c:pt idx="317">
                  <c:v>25.900000000000077</c:v>
                </c:pt>
                <c:pt idx="318">
                  <c:v>26.000000000000078</c:v>
                </c:pt>
                <c:pt idx="319">
                  <c:v>26.10000000000008</c:v>
                </c:pt>
                <c:pt idx="320">
                  <c:v>26.200000000000081</c:v>
                </c:pt>
                <c:pt idx="321">
                  <c:v>26.300000000000082</c:v>
                </c:pt>
                <c:pt idx="322">
                  <c:v>26.400000000000084</c:v>
                </c:pt>
                <c:pt idx="323">
                  <c:v>26.500000000000085</c:v>
                </c:pt>
                <c:pt idx="324">
                  <c:v>26.600000000000087</c:v>
                </c:pt>
                <c:pt idx="325">
                  <c:v>26.700000000000088</c:v>
                </c:pt>
                <c:pt idx="326">
                  <c:v>26.80000000000009</c:v>
                </c:pt>
                <c:pt idx="327">
                  <c:v>26.900000000000091</c:v>
                </c:pt>
                <c:pt idx="328">
                  <c:v>27.000000000000092</c:v>
                </c:pt>
                <c:pt idx="329">
                  <c:v>27.100000000000094</c:v>
                </c:pt>
                <c:pt idx="330">
                  <c:v>27.200000000000095</c:v>
                </c:pt>
                <c:pt idx="331">
                  <c:v>27.300000000000097</c:v>
                </c:pt>
                <c:pt idx="332">
                  <c:v>27.400000000000098</c:v>
                </c:pt>
                <c:pt idx="333">
                  <c:v>27.500000000000099</c:v>
                </c:pt>
                <c:pt idx="334">
                  <c:v>27.600000000000101</c:v>
                </c:pt>
                <c:pt idx="335">
                  <c:v>27.700000000000102</c:v>
                </c:pt>
                <c:pt idx="336">
                  <c:v>27.800000000000104</c:v>
                </c:pt>
                <c:pt idx="337">
                  <c:v>27.900000000000105</c:v>
                </c:pt>
                <c:pt idx="338">
                  <c:v>28.000000000000107</c:v>
                </c:pt>
                <c:pt idx="339">
                  <c:v>28.100000000000108</c:v>
                </c:pt>
                <c:pt idx="340">
                  <c:v>28.200000000000109</c:v>
                </c:pt>
                <c:pt idx="341">
                  <c:v>28.300000000000111</c:v>
                </c:pt>
                <c:pt idx="342">
                  <c:v>28.400000000000112</c:v>
                </c:pt>
                <c:pt idx="343">
                  <c:v>28.500000000000114</c:v>
                </c:pt>
                <c:pt idx="344">
                  <c:v>28.600000000000115</c:v>
                </c:pt>
                <c:pt idx="345">
                  <c:v>28.700000000000117</c:v>
                </c:pt>
                <c:pt idx="346">
                  <c:v>28.800000000000118</c:v>
                </c:pt>
                <c:pt idx="347">
                  <c:v>28.900000000000119</c:v>
                </c:pt>
                <c:pt idx="348">
                  <c:v>29.000000000000121</c:v>
                </c:pt>
                <c:pt idx="349">
                  <c:v>29.100000000000122</c:v>
                </c:pt>
                <c:pt idx="350">
                  <c:v>29.200000000000124</c:v>
                </c:pt>
                <c:pt idx="351">
                  <c:v>29.300000000000125</c:v>
                </c:pt>
                <c:pt idx="352">
                  <c:v>29.400000000000126</c:v>
                </c:pt>
                <c:pt idx="353">
                  <c:v>29.500000000000128</c:v>
                </c:pt>
                <c:pt idx="354">
                  <c:v>29.600000000000129</c:v>
                </c:pt>
                <c:pt idx="355">
                  <c:v>29.700000000000131</c:v>
                </c:pt>
                <c:pt idx="356">
                  <c:v>29.800000000000132</c:v>
                </c:pt>
                <c:pt idx="357">
                  <c:v>29.900000000000134</c:v>
                </c:pt>
                <c:pt idx="358">
                  <c:v>30.000000000000135</c:v>
                </c:pt>
                <c:pt idx="359">
                  <c:v>30.100000000000136</c:v>
                </c:pt>
                <c:pt idx="360">
                  <c:v>30.200000000000138</c:v>
                </c:pt>
                <c:pt idx="361">
                  <c:v>30.300000000000139</c:v>
                </c:pt>
                <c:pt idx="362">
                  <c:v>30.400000000000141</c:v>
                </c:pt>
                <c:pt idx="363">
                  <c:v>30.500000000000142</c:v>
                </c:pt>
                <c:pt idx="364">
                  <c:v>30.600000000000144</c:v>
                </c:pt>
                <c:pt idx="365">
                  <c:v>30.700000000000145</c:v>
                </c:pt>
                <c:pt idx="366">
                  <c:v>30.800000000000146</c:v>
                </c:pt>
                <c:pt idx="367">
                  <c:v>30.900000000000148</c:v>
                </c:pt>
                <c:pt idx="368">
                  <c:v>31.000000000000149</c:v>
                </c:pt>
                <c:pt idx="369">
                  <c:v>31.100000000000151</c:v>
                </c:pt>
                <c:pt idx="370">
                  <c:v>31.200000000000152</c:v>
                </c:pt>
                <c:pt idx="371">
                  <c:v>31.300000000000153</c:v>
                </c:pt>
                <c:pt idx="372">
                  <c:v>31.400000000000155</c:v>
                </c:pt>
                <c:pt idx="373">
                  <c:v>31.500000000000156</c:v>
                </c:pt>
                <c:pt idx="374">
                  <c:v>31.600000000000158</c:v>
                </c:pt>
                <c:pt idx="375">
                  <c:v>31.700000000000159</c:v>
                </c:pt>
                <c:pt idx="376">
                  <c:v>31.800000000000161</c:v>
                </c:pt>
                <c:pt idx="377">
                  <c:v>31.900000000000162</c:v>
                </c:pt>
                <c:pt idx="378">
                  <c:v>32.000000000000163</c:v>
                </c:pt>
                <c:pt idx="379">
                  <c:v>32.100000000000165</c:v>
                </c:pt>
                <c:pt idx="380">
                  <c:v>32.200000000000166</c:v>
                </c:pt>
                <c:pt idx="381">
                  <c:v>32.300000000000168</c:v>
                </c:pt>
                <c:pt idx="382">
                  <c:v>32.400000000000169</c:v>
                </c:pt>
                <c:pt idx="383">
                  <c:v>32.500000000000171</c:v>
                </c:pt>
                <c:pt idx="384">
                  <c:v>32.500100000000174</c:v>
                </c:pt>
                <c:pt idx="385">
                  <c:v>32.500200000000177</c:v>
                </c:pt>
                <c:pt idx="386">
                  <c:v>32.50030000000018</c:v>
                </c:pt>
                <c:pt idx="387">
                  <c:v>32.500400000000184</c:v>
                </c:pt>
                <c:pt idx="388">
                  <c:v>32.500500000000187</c:v>
                </c:pt>
                <c:pt idx="389">
                  <c:v>32.50060000000019</c:v>
                </c:pt>
                <c:pt idx="390">
                  <c:v>32.500700000000194</c:v>
                </c:pt>
                <c:pt idx="391">
                  <c:v>32.500800000000197</c:v>
                </c:pt>
                <c:pt idx="392">
                  <c:v>32.5009000000002</c:v>
                </c:pt>
                <c:pt idx="393">
                  <c:v>32.501000000000204</c:v>
                </c:pt>
                <c:pt idx="394">
                  <c:v>32.501100000000207</c:v>
                </c:pt>
                <c:pt idx="395">
                  <c:v>32.50120000000021</c:v>
                </c:pt>
                <c:pt idx="396">
                  <c:v>32.501300000000214</c:v>
                </c:pt>
                <c:pt idx="397">
                  <c:v>32.501400000000217</c:v>
                </c:pt>
                <c:pt idx="398">
                  <c:v>32.50150000000022</c:v>
                </c:pt>
                <c:pt idx="399">
                  <c:v>32.501600000000224</c:v>
                </c:pt>
                <c:pt idx="400">
                  <c:v>32.501700000000227</c:v>
                </c:pt>
                <c:pt idx="401">
                  <c:v>32.50180000000023</c:v>
                </c:pt>
                <c:pt idx="402">
                  <c:v>32.501900000000234</c:v>
                </c:pt>
                <c:pt idx="403">
                  <c:v>32.502000000000237</c:v>
                </c:pt>
                <c:pt idx="404">
                  <c:v>32.50210000000024</c:v>
                </c:pt>
                <c:pt idx="405">
                  <c:v>32.502200000000244</c:v>
                </c:pt>
                <c:pt idx="406">
                  <c:v>32.502300000000247</c:v>
                </c:pt>
                <c:pt idx="407">
                  <c:v>32.50240000000025</c:v>
                </c:pt>
                <c:pt idx="408">
                  <c:v>32.502500000000254</c:v>
                </c:pt>
                <c:pt idx="409">
                  <c:v>32.502600000000257</c:v>
                </c:pt>
                <c:pt idx="410">
                  <c:v>32.50270000000026</c:v>
                </c:pt>
                <c:pt idx="411">
                  <c:v>32.502800000000263</c:v>
                </c:pt>
                <c:pt idx="412">
                  <c:v>32.502900000000267</c:v>
                </c:pt>
                <c:pt idx="413">
                  <c:v>32.50300000000027</c:v>
                </c:pt>
                <c:pt idx="414">
                  <c:v>32.503100000000273</c:v>
                </c:pt>
                <c:pt idx="415">
                  <c:v>32.503200000000277</c:v>
                </c:pt>
                <c:pt idx="416">
                  <c:v>32.50330000000028</c:v>
                </c:pt>
                <c:pt idx="417">
                  <c:v>32.503400000000283</c:v>
                </c:pt>
                <c:pt idx="418">
                  <c:v>32.503500000000287</c:v>
                </c:pt>
                <c:pt idx="419">
                  <c:v>32.50360000000029</c:v>
                </c:pt>
                <c:pt idx="420">
                  <c:v>32.503700000000293</c:v>
                </c:pt>
                <c:pt idx="421">
                  <c:v>32.503800000000297</c:v>
                </c:pt>
                <c:pt idx="422">
                  <c:v>32.5039000000003</c:v>
                </c:pt>
                <c:pt idx="423">
                  <c:v>32.504000000000303</c:v>
                </c:pt>
                <c:pt idx="424">
                  <c:v>32.504100000000307</c:v>
                </c:pt>
                <c:pt idx="425">
                  <c:v>32.50420000000031</c:v>
                </c:pt>
                <c:pt idx="426">
                  <c:v>32.504300000000313</c:v>
                </c:pt>
                <c:pt idx="427">
                  <c:v>32.504400000000317</c:v>
                </c:pt>
                <c:pt idx="428">
                  <c:v>32.50450000000032</c:v>
                </c:pt>
                <c:pt idx="429">
                  <c:v>32.504600000000323</c:v>
                </c:pt>
                <c:pt idx="430">
                  <c:v>32.504700000000327</c:v>
                </c:pt>
                <c:pt idx="431">
                  <c:v>32.50480000000033</c:v>
                </c:pt>
                <c:pt idx="432">
                  <c:v>32.504900000000333</c:v>
                </c:pt>
                <c:pt idx="433">
                  <c:v>32.505000000000337</c:v>
                </c:pt>
                <c:pt idx="434">
                  <c:v>32.50510000000034</c:v>
                </c:pt>
                <c:pt idx="435">
                  <c:v>32.505200000000343</c:v>
                </c:pt>
                <c:pt idx="436">
                  <c:v>32.505300000000346</c:v>
                </c:pt>
                <c:pt idx="437">
                  <c:v>32.50540000000035</c:v>
                </c:pt>
                <c:pt idx="438">
                  <c:v>32.505500000000353</c:v>
                </c:pt>
                <c:pt idx="439">
                  <c:v>32.505600000000356</c:v>
                </c:pt>
                <c:pt idx="440">
                  <c:v>32.50570000000036</c:v>
                </c:pt>
                <c:pt idx="441">
                  <c:v>32.505800000000363</c:v>
                </c:pt>
                <c:pt idx="442">
                  <c:v>32.505900000000366</c:v>
                </c:pt>
                <c:pt idx="443">
                  <c:v>32.50600000000037</c:v>
                </c:pt>
                <c:pt idx="444">
                  <c:v>32.506100000000373</c:v>
                </c:pt>
                <c:pt idx="445">
                  <c:v>32.506200000000376</c:v>
                </c:pt>
                <c:pt idx="446">
                  <c:v>32.50630000000038</c:v>
                </c:pt>
                <c:pt idx="447">
                  <c:v>32.506400000000383</c:v>
                </c:pt>
                <c:pt idx="448">
                  <c:v>32.506500000000386</c:v>
                </c:pt>
                <c:pt idx="449">
                  <c:v>32.50660000000039</c:v>
                </c:pt>
                <c:pt idx="450">
                  <c:v>32.506700000000393</c:v>
                </c:pt>
                <c:pt idx="451">
                  <c:v>32.506800000000396</c:v>
                </c:pt>
                <c:pt idx="452">
                  <c:v>32.5069000000004</c:v>
                </c:pt>
                <c:pt idx="453">
                  <c:v>32.507000000000403</c:v>
                </c:pt>
                <c:pt idx="454">
                  <c:v>32.507100000000406</c:v>
                </c:pt>
                <c:pt idx="455">
                  <c:v>32.50720000000041</c:v>
                </c:pt>
                <c:pt idx="456">
                  <c:v>32.507300000000413</c:v>
                </c:pt>
                <c:pt idx="457">
                  <c:v>32.507400000000416</c:v>
                </c:pt>
                <c:pt idx="458">
                  <c:v>32.50750000000042</c:v>
                </c:pt>
                <c:pt idx="459">
                  <c:v>32.507600000000423</c:v>
                </c:pt>
                <c:pt idx="460">
                  <c:v>32.507700000000426</c:v>
                </c:pt>
                <c:pt idx="461">
                  <c:v>32.507800000000429</c:v>
                </c:pt>
                <c:pt idx="462">
                  <c:v>32.507900000000433</c:v>
                </c:pt>
                <c:pt idx="463">
                  <c:v>32.508000000000436</c:v>
                </c:pt>
                <c:pt idx="464">
                  <c:v>32.508100000000439</c:v>
                </c:pt>
                <c:pt idx="465">
                  <c:v>32.508200000000443</c:v>
                </c:pt>
                <c:pt idx="466">
                  <c:v>32.508300000000446</c:v>
                </c:pt>
                <c:pt idx="467">
                  <c:v>32.508400000000449</c:v>
                </c:pt>
                <c:pt idx="468">
                  <c:v>32.508500000000453</c:v>
                </c:pt>
                <c:pt idx="469">
                  <c:v>32.508600000000456</c:v>
                </c:pt>
                <c:pt idx="470">
                  <c:v>32.508700000000459</c:v>
                </c:pt>
                <c:pt idx="471">
                  <c:v>32.508800000000463</c:v>
                </c:pt>
                <c:pt idx="472">
                  <c:v>32.508900000000466</c:v>
                </c:pt>
                <c:pt idx="473">
                  <c:v>32.509000000000469</c:v>
                </c:pt>
                <c:pt idx="474">
                  <c:v>32.509100000000473</c:v>
                </c:pt>
                <c:pt idx="475">
                  <c:v>32.509200000000476</c:v>
                </c:pt>
                <c:pt idx="476">
                  <c:v>32.509300000000479</c:v>
                </c:pt>
                <c:pt idx="477">
                  <c:v>32.509400000000483</c:v>
                </c:pt>
                <c:pt idx="478">
                  <c:v>32.509500000000486</c:v>
                </c:pt>
                <c:pt idx="479">
                  <c:v>32.509600000000489</c:v>
                </c:pt>
                <c:pt idx="480">
                  <c:v>32.509700000000493</c:v>
                </c:pt>
                <c:pt idx="481">
                  <c:v>32.509800000000496</c:v>
                </c:pt>
                <c:pt idx="482">
                  <c:v>32.509900000000499</c:v>
                </c:pt>
                <c:pt idx="483">
                  <c:v>32.510000000000502</c:v>
                </c:pt>
                <c:pt idx="484">
                  <c:v>32.510100000000506</c:v>
                </c:pt>
                <c:pt idx="485">
                  <c:v>32.510200000000509</c:v>
                </c:pt>
                <c:pt idx="486">
                  <c:v>32.510300000000512</c:v>
                </c:pt>
                <c:pt idx="487">
                  <c:v>32.510400000000516</c:v>
                </c:pt>
                <c:pt idx="488">
                  <c:v>32.510500000000519</c:v>
                </c:pt>
                <c:pt idx="489">
                  <c:v>32.510600000000522</c:v>
                </c:pt>
                <c:pt idx="490">
                  <c:v>32.510700000000526</c:v>
                </c:pt>
                <c:pt idx="491">
                  <c:v>32.510800000000529</c:v>
                </c:pt>
                <c:pt idx="492">
                  <c:v>32.510900000000532</c:v>
                </c:pt>
                <c:pt idx="493">
                  <c:v>32.511000000000536</c:v>
                </c:pt>
                <c:pt idx="494">
                  <c:v>32.511100000000539</c:v>
                </c:pt>
                <c:pt idx="495">
                  <c:v>32.511200000000542</c:v>
                </c:pt>
                <c:pt idx="496">
                  <c:v>32.511300000000546</c:v>
                </c:pt>
                <c:pt idx="497">
                  <c:v>32.511400000000549</c:v>
                </c:pt>
                <c:pt idx="498">
                  <c:v>32.511500000000552</c:v>
                </c:pt>
                <c:pt idx="499">
                  <c:v>32.511600000000556</c:v>
                </c:pt>
                <c:pt idx="500">
                  <c:v>32.511700000000559</c:v>
                </c:pt>
                <c:pt idx="501">
                  <c:v>32.511800000000562</c:v>
                </c:pt>
                <c:pt idx="502">
                  <c:v>32.511900000000566</c:v>
                </c:pt>
                <c:pt idx="503">
                  <c:v>32.512000000000569</c:v>
                </c:pt>
                <c:pt idx="504">
                  <c:v>32.512100000000572</c:v>
                </c:pt>
                <c:pt idx="505">
                  <c:v>32.512200000000576</c:v>
                </c:pt>
                <c:pt idx="506">
                  <c:v>32.512300000000579</c:v>
                </c:pt>
                <c:pt idx="507">
                  <c:v>32.512400000000582</c:v>
                </c:pt>
                <c:pt idx="508">
                  <c:v>32.512500000000585</c:v>
                </c:pt>
                <c:pt idx="509">
                  <c:v>32.512600000000589</c:v>
                </c:pt>
                <c:pt idx="510">
                  <c:v>32.512700000000592</c:v>
                </c:pt>
                <c:pt idx="511">
                  <c:v>32.512800000000595</c:v>
                </c:pt>
                <c:pt idx="512">
                  <c:v>32.512900000000599</c:v>
                </c:pt>
                <c:pt idx="513">
                  <c:v>32.513000000000602</c:v>
                </c:pt>
                <c:pt idx="514">
                  <c:v>32.513100000000605</c:v>
                </c:pt>
                <c:pt idx="515">
                  <c:v>32.513200000000609</c:v>
                </c:pt>
                <c:pt idx="516">
                  <c:v>32.513300000000612</c:v>
                </c:pt>
                <c:pt idx="517">
                  <c:v>32.513400000000615</c:v>
                </c:pt>
                <c:pt idx="518">
                  <c:v>32.513500000000619</c:v>
                </c:pt>
                <c:pt idx="519">
                  <c:v>32.513600000000622</c:v>
                </c:pt>
                <c:pt idx="520">
                  <c:v>32.513700000000625</c:v>
                </c:pt>
                <c:pt idx="521">
                  <c:v>32.513800000000629</c:v>
                </c:pt>
                <c:pt idx="522">
                  <c:v>32.513900000000632</c:v>
                </c:pt>
                <c:pt idx="523">
                  <c:v>32.514000000000635</c:v>
                </c:pt>
                <c:pt idx="524">
                  <c:v>32.514100000000639</c:v>
                </c:pt>
                <c:pt idx="525">
                  <c:v>32.514200000000642</c:v>
                </c:pt>
                <c:pt idx="526">
                  <c:v>32.514300000000645</c:v>
                </c:pt>
                <c:pt idx="527">
                  <c:v>32.514400000000649</c:v>
                </c:pt>
                <c:pt idx="528">
                  <c:v>32.514500000000652</c:v>
                </c:pt>
                <c:pt idx="529">
                  <c:v>32.514600000000655</c:v>
                </c:pt>
                <c:pt idx="530">
                  <c:v>32.514700000000659</c:v>
                </c:pt>
                <c:pt idx="531">
                  <c:v>32.514800000000662</c:v>
                </c:pt>
                <c:pt idx="532">
                  <c:v>32.514900000000665</c:v>
                </c:pt>
                <c:pt idx="533">
                  <c:v>32.515000000000668</c:v>
                </c:pt>
                <c:pt idx="534">
                  <c:v>32.515100000000672</c:v>
                </c:pt>
                <c:pt idx="535">
                  <c:v>32.515200000000675</c:v>
                </c:pt>
                <c:pt idx="536">
                  <c:v>32.515300000000678</c:v>
                </c:pt>
                <c:pt idx="537">
                  <c:v>32.515400000000682</c:v>
                </c:pt>
                <c:pt idx="538">
                  <c:v>32.515500000000685</c:v>
                </c:pt>
                <c:pt idx="539">
                  <c:v>32.515600000000688</c:v>
                </c:pt>
                <c:pt idx="540">
                  <c:v>32.515700000000692</c:v>
                </c:pt>
                <c:pt idx="541">
                  <c:v>32.515800000000695</c:v>
                </c:pt>
                <c:pt idx="542">
                  <c:v>32.515900000000698</c:v>
                </c:pt>
                <c:pt idx="543">
                  <c:v>32.516000000000702</c:v>
                </c:pt>
                <c:pt idx="544">
                  <c:v>32.516100000000705</c:v>
                </c:pt>
                <c:pt idx="545">
                  <c:v>32.516200000000708</c:v>
                </c:pt>
                <c:pt idx="546">
                  <c:v>32.516300000000712</c:v>
                </c:pt>
                <c:pt idx="547">
                  <c:v>32.516400000000715</c:v>
                </c:pt>
                <c:pt idx="548">
                  <c:v>32.516500000000718</c:v>
                </c:pt>
                <c:pt idx="549">
                  <c:v>32.516600000000722</c:v>
                </c:pt>
                <c:pt idx="550">
                  <c:v>32.516700000000725</c:v>
                </c:pt>
                <c:pt idx="551">
                  <c:v>32.516800000000728</c:v>
                </c:pt>
                <c:pt idx="552">
                  <c:v>32.516900000000732</c:v>
                </c:pt>
                <c:pt idx="553">
                  <c:v>32.517000000000735</c:v>
                </c:pt>
                <c:pt idx="554">
                  <c:v>32.517100000000738</c:v>
                </c:pt>
                <c:pt idx="555">
                  <c:v>32.517200000000742</c:v>
                </c:pt>
                <c:pt idx="556">
                  <c:v>32.517300000000745</c:v>
                </c:pt>
                <c:pt idx="557">
                  <c:v>32.517400000000748</c:v>
                </c:pt>
                <c:pt idx="558">
                  <c:v>32.517500000000751</c:v>
                </c:pt>
                <c:pt idx="559">
                  <c:v>32.517600000000755</c:v>
                </c:pt>
                <c:pt idx="560">
                  <c:v>32.517700000000758</c:v>
                </c:pt>
                <c:pt idx="561">
                  <c:v>32.517800000000761</c:v>
                </c:pt>
                <c:pt idx="562">
                  <c:v>32.517900000000765</c:v>
                </c:pt>
                <c:pt idx="563">
                  <c:v>32.518000000000768</c:v>
                </c:pt>
                <c:pt idx="564">
                  <c:v>32.518100000000771</c:v>
                </c:pt>
                <c:pt idx="565">
                  <c:v>32.518200000000775</c:v>
                </c:pt>
                <c:pt idx="566">
                  <c:v>32.518300000000778</c:v>
                </c:pt>
                <c:pt idx="567">
                  <c:v>32.518400000000781</c:v>
                </c:pt>
                <c:pt idx="568">
                  <c:v>32.518500000000785</c:v>
                </c:pt>
                <c:pt idx="569">
                  <c:v>32.518600000000788</c:v>
                </c:pt>
                <c:pt idx="570">
                  <c:v>32.518700000000791</c:v>
                </c:pt>
                <c:pt idx="571">
                  <c:v>32.518800000000795</c:v>
                </c:pt>
                <c:pt idx="572">
                  <c:v>32.518900000000798</c:v>
                </c:pt>
                <c:pt idx="573">
                  <c:v>32.519000000000801</c:v>
                </c:pt>
                <c:pt idx="574">
                  <c:v>32.519100000000805</c:v>
                </c:pt>
                <c:pt idx="575">
                  <c:v>32.519200000000808</c:v>
                </c:pt>
                <c:pt idx="576">
                  <c:v>32.519300000000811</c:v>
                </c:pt>
                <c:pt idx="577">
                  <c:v>32.519400000000815</c:v>
                </c:pt>
                <c:pt idx="578">
                  <c:v>32.519500000000818</c:v>
                </c:pt>
                <c:pt idx="579">
                  <c:v>32.519600000000821</c:v>
                </c:pt>
                <c:pt idx="580">
                  <c:v>32.519700000000825</c:v>
                </c:pt>
                <c:pt idx="581">
                  <c:v>32.519800000000828</c:v>
                </c:pt>
                <c:pt idx="582">
                  <c:v>32.519900000000831</c:v>
                </c:pt>
                <c:pt idx="583">
                  <c:v>32.520000000000834</c:v>
                </c:pt>
                <c:pt idx="584">
                  <c:v>32.520100000000838</c:v>
                </c:pt>
                <c:pt idx="585">
                  <c:v>32.520200000000841</c:v>
                </c:pt>
                <c:pt idx="586">
                  <c:v>32.520300000000844</c:v>
                </c:pt>
                <c:pt idx="587">
                  <c:v>32.520400000000848</c:v>
                </c:pt>
                <c:pt idx="588">
                  <c:v>32.520500000000851</c:v>
                </c:pt>
                <c:pt idx="589">
                  <c:v>32.520600000000854</c:v>
                </c:pt>
                <c:pt idx="590">
                  <c:v>32.520700000000858</c:v>
                </c:pt>
                <c:pt idx="591">
                  <c:v>32.520800000000861</c:v>
                </c:pt>
                <c:pt idx="592">
                  <c:v>32.520900000000864</c:v>
                </c:pt>
                <c:pt idx="593">
                  <c:v>32.521000000000868</c:v>
                </c:pt>
                <c:pt idx="594">
                  <c:v>32.521100000000871</c:v>
                </c:pt>
                <c:pt idx="595">
                  <c:v>32.521200000000874</c:v>
                </c:pt>
                <c:pt idx="596">
                  <c:v>32.521300000000878</c:v>
                </c:pt>
                <c:pt idx="597">
                  <c:v>32.521400000000881</c:v>
                </c:pt>
                <c:pt idx="598">
                  <c:v>32.521500000000884</c:v>
                </c:pt>
                <c:pt idx="599">
                  <c:v>32.521600000000888</c:v>
                </c:pt>
                <c:pt idx="600">
                  <c:v>32.521700000000891</c:v>
                </c:pt>
                <c:pt idx="601">
                  <c:v>32.521800000000894</c:v>
                </c:pt>
                <c:pt idx="602">
                  <c:v>32.521900000000898</c:v>
                </c:pt>
                <c:pt idx="603">
                  <c:v>32.522000000000901</c:v>
                </c:pt>
                <c:pt idx="604">
                  <c:v>32.522100000000904</c:v>
                </c:pt>
                <c:pt idx="605">
                  <c:v>32.522200000000907</c:v>
                </c:pt>
                <c:pt idx="606">
                  <c:v>32.522300000000911</c:v>
                </c:pt>
                <c:pt idx="607">
                  <c:v>32.522400000000914</c:v>
                </c:pt>
                <c:pt idx="608">
                  <c:v>32.522500000000917</c:v>
                </c:pt>
                <c:pt idx="609">
                  <c:v>32.522600000000921</c:v>
                </c:pt>
                <c:pt idx="610">
                  <c:v>32.522700000000924</c:v>
                </c:pt>
                <c:pt idx="611">
                  <c:v>32.522800000000927</c:v>
                </c:pt>
                <c:pt idx="612">
                  <c:v>32.522900000000931</c:v>
                </c:pt>
                <c:pt idx="613">
                  <c:v>32.523000000000934</c:v>
                </c:pt>
                <c:pt idx="614">
                  <c:v>32.523100000000937</c:v>
                </c:pt>
                <c:pt idx="615">
                  <c:v>32.523200000000941</c:v>
                </c:pt>
                <c:pt idx="616">
                  <c:v>32.523300000000944</c:v>
                </c:pt>
                <c:pt idx="617">
                  <c:v>32.523400000000947</c:v>
                </c:pt>
                <c:pt idx="618">
                  <c:v>32.523500000000951</c:v>
                </c:pt>
                <c:pt idx="619">
                  <c:v>32.523600000000954</c:v>
                </c:pt>
                <c:pt idx="620">
                  <c:v>32.523700000000957</c:v>
                </c:pt>
                <c:pt idx="621">
                  <c:v>32.523800000000961</c:v>
                </c:pt>
                <c:pt idx="622">
                  <c:v>32.523900000000964</c:v>
                </c:pt>
                <c:pt idx="623">
                  <c:v>32.524000000000967</c:v>
                </c:pt>
                <c:pt idx="624">
                  <c:v>32.524100000000971</c:v>
                </c:pt>
                <c:pt idx="625">
                  <c:v>32.524200000000974</c:v>
                </c:pt>
                <c:pt idx="626">
                  <c:v>32.524300000000977</c:v>
                </c:pt>
                <c:pt idx="627">
                  <c:v>32.524400000000981</c:v>
                </c:pt>
                <c:pt idx="628">
                  <c:v>32.524500000000984</c:v>
                </c:pt>
                <c:pt idx="629">
                  <c:v>32.524600000000987</c:v>
                </c:pt>
                <c:pt idx="630">
                  <c:v>32.52470000000099</c:v>
                </c:pt>
                <c:pt idx="631">
                  <c:v>32.524800000000994</c:v>
                </c:pt>
                <c:pt idx="632">
                  <c:v>32.524900000000997</c:v>
                </c:pt>
                <c:pt idx="633">
                  <c:v>32.525000000001</c:v>
                </c:pt>
                <c:pt idx="634">
                  <c:v>32.525100000001004</c:v>
                </c:pt>
                <c:pt idx="635">
                  <c:v>32.525200000001007</c:v>
                </c:pt>
                <c:pt idx="636">
                  <c:v>32.52530000000101</c:v>
                </c:pt>
                <c:pt idx="637">
                  <c:v>32.525400000001014</c:v>
                </c:pt>
                <c:pt idx="638">
                  <c:v>32.525500000001017</c:v>
                </c:pt>
                <c:pt idx="639">
                  <c:v>32.52560000000102</c:v>
                </c:pt>
                <c:pt idx="640">
                  <c:v>32.525700000001024</c:v>
                </c:pt>
                <c:pt idx="641">
                  <c:v>32.525800000001027</c:v>
                </c:pt>
                <c:pt idx="642">
                  <c:v>32.52590000000103</c:v>
                </c:pt>
                <c:pt idx="643">
                  <c:v>32.526000000001034</c:v>
                </c:pt>
                <c:pt idx="644">
                  <c:v>32.526100000001037</c:v>
                </c:pt>
                <c:pt idx="645">
                  <c:v>32.52620000000104</c:v>
                </c:pt>
                <c:pt idx="646">
                  <c:v>32.526300000001044</c:v>
                </c:pt>
                <c:pt idx="647">
                  <c:v>32.526400000001047</c:v>
                </c:pt>
                <c:pt idx="648">
                  <c:v>32.52650000000105</c:v>
                </c:pt>
                <c:pt idx="649">
                  <c:v>32.526600000001054</c:v>
                </c:pt>
                <c:pt idx="650">
                  <c:v>32.526700000001057</c:v>
                </c:pt>
                <c:pt idx="651">
                  <c:v>32.52680000000106</c:v>
                </c:pt>
                <c:pt idx="652">
                  <c:v>32.526900000001064</c:v>
                </c:pt>
                <c:pt idx="653">
                  <c:v>32.527000000001067</c:v>
                </c:pt>
                <c:pt idx="654">
                  <c:v>32.52710000000107</c:v>
                </c:pt>
                <c:pt idx="655">
                  <c:v>32.527200000001073</c:v>
                </c:pt>
                <c:pt idx="656">
                  <c:v>32.527300000001077</c:v>
                </c:pt>
                <c:pt idx="657">
                  <c:v>32.52740000000108</c:v>
                </c:pt>
                <c:pt idx="658">
                  <c:v>32.527500000001083</c:v>
                </c:pt>
                <c:pt idx="659">
                  <c:v>32.527600000001087</c:v>
                </c:pt>
                <c:pt idx="660">
                  <c:v>32.52770000000109</c:v>
                </c:pt>
                <c:pt idx="661">
                  <c:v>32.527800000001093</c:v>
                </c:pt>
                <c:pt idx="662">
                  <c:v>32.527900000001097</c:v>
                </c:pt>
                <c:pt idx="663">
                  <c:v>32.5280000000011</c:v>
                </c:pt>
                <c:pt idx="664">
                  <c:v>32.528100000001103</c:v>
                </c:pt>
                <c:pt idx="665">
                  <c:v>32.528200000001107</c:v>
                </c:pt>
                <c:pt idx="666">
                  <c:v>32.52830000000111</c:v>
                </c:pt>
                <c:pt idx="667">
                  <c:v>32.528400000001113</c:v>
                </c:pt>
                <c:pt idx="668">
                  <c:v>32.528500000001117</c:v>
                </c:pt>
                <c:pt idx="669">
                  <c:v>32.52860000000112</c:v>
                </c:pt>
                <c:pt idx="670">
                  <c:v>32.528700000001123</c:v>
                </c:pt>
                <c:pt idx="671">
                  <c:v>32.528800000001127</c:v>
                </c:pt>
                <c:pt idx="672">
                  <c:v>32.52890000000113</c:v>
                </c:pt>
                <c:pt idx="673">
                  <c:v>32.529000000001133</c:v>
                </c:pt>
                <c:pt idx="674">
                  <c:v>32.529100000001137</c:v>
                </c:pt>
                <c:pt idx="675">
                  <c:v>32.52920000000114</c:v>
                </c:pt>
                <c:pt idx="676">
                  <c:v>32.529300000001143</c:v>
                </c:pt>
                <c:pt idx="677">
                  <c:v>32.529400000001147</c:v>
                </c:pt>
                <c:pt idx="678">
                  <c:v>32.52950000000115</c:v>
                </c:pt>
                <c:pt idx="679">
                  <c:v>32.529600000001153</c:v>
                </c:pt>
                <c:pt idx="680">
                  <c:v>32.529700000001156</c:v>
                </c:pt>
                <c:pt idx="681">
                  <c:v>32.52980000000116</c:v>
                </c:pt>
                <c:pt idx="682">
                  <c:v>32.529900000001163</c:v>
                </c:pt>
                <c:pt idx="683">
                  <c:v>32.530000000001166</c:v>
                </c:pt>
                <c:pt idx="684">
                  <c:v>32.53010000000117</c:v>
                </c:pt>
                <c:pt idx="685">
                  <c:v>32.530200000001173</c:v>
                </c:pt>
                <c:pt idx="686">
                  <c:v>32.530300000001176</c:v>
                </c:pt>
                <c:pt idx="687">
                  <c:v>32.53040000000118</c:v>
                </c:pt>
                <c:pt idx="688">
                  <c:v>32.530500000001183</c:v>
                </c:pt>
                <c:pt idx="689">
                  <c:v>32.530600000001186</c:v>
                </c:pt>
                <c:pt idx="690">
                  <c:v>32.53070000000119</c:v>
                </c:pt>
                <c:pt idx="691">
                  <c:v>32.530800000001193</c:v>
                </c:pt>
                <c:pt idx="692">
                  <c:v>32.530900000001196</c:v>
                </c:pt>
                <c:pt idx="693">
                  <c:v>32.5310000000012</c:v>
                </c:pt>
                <c:pt idx="694">
                  <c:v>32.531100000001203</c:v>
                </c:pt>
                <c:pt idx="695">
                  <c:v>32.531200000001206</c:v>
                </c:pt>
                <c:pt idx="696">
                  <c:v>32.53130000000121</c:v>
                </c:pt>
                <c:pt idx="697">
                  <c:v>32.531400000001213</c:v>
                </c:pt>
                <c:pt idx="698">
                  <c:v>32.531500000001216</c:v>
                </c:pt>
                <c:pt idx="699">
                  <c:v>32.53160000000122</c:v>
                </c:pt>
                <c:pt idx="700">
                  <c:v>32.531700000001223</c:v>
                </c:pt>
                <c:pt idx="701">
                  <c:v>32.531800000001226</c:v>
                </c:pt>
                <c:pt idx="702">
                  <c:v>32.53190000000123</c:v>
                </c:pt>
                <c:pt idx="703">
                  <c:v>32.532000000001233</c:v>
                </c:pt>
                <c:pt idx="704">
                  <c:v>32.532100000001236</c:v>
                </c:pt>
                <c:pt idx="705">
                  <c:v>32.532200000001239</c:v>
                </c:pt>
                <c:pt idx="706">
                  <c:v>32.532300000001243</c:v>
                </c:pt>
                <c:pt idx="707">
                  <c:v>32.532400000001246</c:v>
                </c:pt>
                <c:pt idx="708">
                  <c:v>32.532500000001249</c:v>
                </c:pt>
                <c:pt idx="709">
                  <c:v>32.532600000001253</c:v>
                </c:pt>
                <c:pt idx="710">
                  <c:v>32.532700000001256</c:v>
                </c:pt>
                <c:pt idx="711">
                  <c:v>32.532800000001259</c:v>
                </c:pt>
                <c:pt idx="712">
                  <c:v>32.532900000001263</c:v>
                </c:pt>
                <c:pt idx="713">
                  <c:v>32.533000000001266</c:v>
                </c:pt>
                <c:pt idx="714">
                  <c:v>32.533100000001269</c:v>
                </c:pt>
                <c:pt idx="715">
                  <c:v>32.533200000001273</c:v>
                </c:pt>
                <c:pt idx="716">
                  <c:v>32.533300000001276</c:v>
                </c:pt>
                <c:pt idx="717">
                  <c:v>32.533400000001279</c:v>
                </c:pt>
                <c:pt idx="718">
                  <c:v>32.533500000001283</c:v>
                </c:pt>
                <c:pt idx="719">
                  <c:v>32.533600000001286</c:v>
                </c:pt>
                <c:pt idx="720">
                  <c:v>32.533700000001289</c:v>
                </c:pt>
                <c:pt idx="721">
                  <c:v>32.533800000001293</c:v>
                </c:pt>
                <c:pt idx="722">
                  <c:v>32.533900000001296</c:v>
                </c:pt>
                <c:pt idx="723">
                  <c:v>32.534000000001299</c:v>
                </c:pt>
                <c:pt idx="724">
                  <c:v>32.534100000001303</c:v>
                </c:pt>
                <c:pt idx="725">
                  <c:v>32.534200000001306</c:v>
                </c:pt>
                <c:pt idx="726">
                  <c:v>32.534300000001309</c:v>
                </c:pt>
                <c:pt idx="727">
                  <c:v>32.534400000001312</c:v>
                </c:pt>
                <c:pt idx="728">
                  <c:v>32.534500000001316</c:v>
                </c:pt>
                <c:pt idx="729">
                  <c:v>32.534600000001319</c:v>
                </c:pt>
                <c:pt idx="730">
                  <c:v>32.534700000001322</c:v>
                </c:pt>
                <c:pt idx="731">
                  <c:v>32.534800000001326</c:v>
                </c:pt>
                <c:pt idx="732">
                  <c:v>32.534900000001329</c:v>
                </c:pt>
                <c:pt idx="733">
                  <c:v>32.535000000001332</c:v>
                </c:pt>
                <c:pt idx="734">
                  <c:v>32.535100000001336</c:v>
                </c:pt>
                <c:pt idx="735">
                  <c:v>32.535200000001339</c:v>
                </c:pt>
                <c:pt idx="736">
                  <c:v>32.535300000001342</c:v>
                </c:pt>
                <c:pt idx="737">
                  <c:v>32.535400000001346</c:v>
                </c:pt>
                <c:pt idx="738">
                  <c:v>32.535500000001349</c:v>
                </c:pt>
                <c:pt idx="739">
                  <c:v>32.535600000001352</c:v>
                </c:pt>
                <c:pt idx="740">
                  <c:v>32.535700000001356</c:v>
                </c:pt>
                <c:pt idx="741">
                  <c:v>32.535800000001359</c:v>
                </c:pt>
                <c:pt idx="742">
                  <c:v>32.535900000001362</c:v>
                </c:pt>
                <c:pt idx="743">
                  <c:v>32.536000000001366</c:v>
                </c:pt>
                <c:pt idx="744">
                  <c:v>32.536100000001369</c:v>
                </c:pt>
                <c:pt idx="745">
                  <c:v>32.536200000001372</c:v>
                </c:pt>
                <c:pt idx="746">
                  <c:v>32.536300000001376</c:v>
                </c:pt>
                <c:pt idx="747">
                  <c:v>32.536400000001379</c:v>
                </c:pt>
                <c:pt idx="748">
                  <c:v>32.536500000001382</c:v>
                </c:pt>
                <c:pt idx="749">
                  <c:v>32.536600000001386</c:v>
                </c:pt>
                <c:pt idx="750">
                  <c:v>32.536700000001389</c:v>
                </c:pt>
                <c:pt idx="751">
                  <c:v>32.536800000001392</c:v>
                </c:pt>
                <c:pt idx="752">
                  <c:v>32.536900000001395</c:v>
                </c:pt>
                <c:pt idx="753">
                  <c:v>32.537000000001399</c:v>
                </c:pt>
                <c:pt idx="754">
                  <c:v>32.537100000001402</c:v>
                </c:pt>
                <c:pt idx="755">
                  <c:v>32.537200000001405</c:v>
                </c:pt>
                <c:pt idx="756">
                  <c:v>32.537300000001409</c:v>
                </c:pt>
                <c:pt idx="757">
                  <c:v>32.537400000001412</c:v>
                </c:pt>
                <c:pt idx="758">
                  <c:v>32.537500000001415</c:v>
                </c:pt>
                <c:pt idx="759">
                  <c:v>32.537600000001419</c:v>
                </c:pt>
                <c:pt idx="760">
                  <c:v>32.537700000001422</c:v>
                </c:pt>
                <c:pt idx="761">
                  <c:v>32.537800000001425</c:v>
                </c:pt>
                <c:pt idx="762">
                  <c:v>32.537900000001429</c:v>
                </c:pt>
                <c:pt idx="763">
                  <c:v>32.538000000001432</c:v>
                </c:pt>
                <c:pt idx="764">
                  <c:v>32.538100000001435</c:v>
                </c:pt>
                <c:pt idx="765">
                  <c:v>32.538200000001439</c:v>
                </c:pt>
                <c:pt idx="766">
                  <c:v>32.538300000001442</c:v>
                </c:pt>
                <c:pt idx="767">
                  <c:v>32.538400000001445</c:v>
                </c:pt>
                <c:pt idx="768">
                  <c:v>32.538500000001449</c:v>
                </c:pt>
                <c:pt idx="769">
                  <c:v>32.538600000001452</c:v>
                </c:pt>
                <c:pt idx="770">
                  <c:v>32.538700000001455</c:v>
                </c:pt>
                <c:pt idx="771">
                  <c:v>32.538800000001459</c:v>
                </c:pt>
                <c:pt idx="772">
                  <c:v>32.538900000001462</c:v>
                </c:pt>
                <c:pt idx="773">
                  <c:v>32.539000000001465</c:v>
                </c:pt>
                <c:pt idx="774">
                  <c:v>32.539100000001469</c:v>
                </c:pt>
                <c:pt idx="775">
                  <c:v>32.539200000001472</c:v>
                </c:pt>
                <c:pt idx="776">
                  <c:v>32.539300000001475</c:v>
                </c:pt>
                <c:pt idx="777">
                  <c:v>32.539400000001478</c:v>
                </c:pt>
                <c:pt idx="778">
                  <c:v>32.539500000001482</c:v>
                </c:pt>
                <c:pt idx="779">
                  <c:v>32.539600000001485</c:v>
                </c:pt>
                <c:pt idx="780">
                  <c:v>32.539700000001488</c:v>
                </c:pt>
                <c:pt idx="781">
                  <c:v>32.539800000001492</c:v>
                </c:pt>
                <c:pt idx="782">
                  <c:v>32.539900000001495</c:v>
                </c:pt>
                <c:pt idx="783">
                  <c:v>32.540000000001498</c:v>
                </c:pt>
                <c:pt idx="784">
                  <c:v>32.540100000001502</c:v>
                </c:pt>
                <c:pt idx="785">
                  <c:v>32.540200000001505</c:v>
                </c:pt>
                <c:pt idx="786">
                  <c:v>32.540300000001508</c:v>
                </c:pt>
                <c:pt idx="787">
                  <c:v>32.540400000001512</c:v>
                </c:pt>
                <c:pt idx="788">
                  <c:v>32.540500000001515</c:v>
                </c:pt>
                <c:pt idx="789">
                  <c:v>32.540600000001518</c:v>
                </c:pt>
                <c:pt idx="790">
                  <c:v>32.540700000001522</c:v>
                </c:pt>
                <c:pt idx="791">
                  <c:v>32.540800000001525</c:v>
                </c:pt>
                <c:pt idx="792">
                  <c:v>32.540900000001528</c:v>
                </c:pt>
                <c:pt idx="793">
                  <c:v>32.541000000001532</c:v>
                </c:pt>
                <c:pt idx="794">
                  <c:v>32.541100000001535</c:v>
                </c:pt>
                <c:pt idx="795">
                  <c:v>32.541200000001538</c:v>
                </c:pt>
                <c:pt idx="796">
                  <c:v>32.541300000001542</c:v>
                </c:pt>
                <c:pt idx="797">
                  <c:v>32.541400000001545</c:v>
                </c:pt>
                <c:pt idx="798">
                  <c:v>32.541500000001548</c:v>
                </c:pt>
                <c:pt idx="799">
                  <c:v>32.541600000001552</c:v>
                </c:pt>
                <c:pt idx="800">
                  <c:v>32.541700000001555</c:v>
                </c:pt>
                <c:pt idx="801">
                  <c:v>32.541800000001558</c:v>
                </c:pt>
                <c:pt idx="802">
                  <c:v>32.541900000001561</c:v>
                </c:pt>
                <c:pt idx="803">
                  <c:v>32.542000000001565</c:v>
                </c:pt>
                <c:pt idx="804">
                  <c:v>32.542100000001568</c:v>
                </c:pt>
                <c:pt idx="805">
                  <c:v>32.542200000001571</c:v>
                </c:pt>
                <c:pt idx="806">
                  <c:v>32.542300000001575</c:v>
                </c:pt>
                <c:pt idx="807">
                  <c:v>32.542400000001578</c:v>
                </c:pt>
                <c:pt idx="808">
                  <c:v>32.542500000001581</c:v>
                </c:pt>
                <c:pt idx="809">
                  <c:v>32.542600000001585</c:v>
                </c:pt>
                <c:pt idx="810">
                  <c:v>32.542700000001588</c:v>
                </c:pt>
                <c:pt idx="811">
                  <c:v>32.542800000001591</c:v>
                </c:pt>
                <c:pt idx="812">
                  <c:v>32.542900000001595</c:v>
                </c:pt>
                <c:pt idx="813">
                  <c:v>32.543000000001598</c:v>
                </c:pt>
                <c:pt idx="814">
                  <c:v>32.543100000001601</c:v>
                </c:pt>
                <c:pt idx="815">
                  <c:v>32.543200000001605</c:v>
                </c:pt>
                <c:pt idx="816">
                  <c:v>32.543300000001608</c:v>
                </c:pt>
                <c:pt idx="817">
                  <c:v>32.543400000001611</c:v>
                </c:pt>
                <c:pt idx="818">
                  <c:v>32.543500000001615</c:v>
                </c:pt>
                <c:pt idx="819">
                  <c:v>32.543600000001618</c:v>
                </c:pt>
                <c:pt idx="820">
                  <c:v>32.543700000001621</c:v>
                </c:pt>
                <c:pt idx="821">
                  <c:v>32.543800000001625</c:v>
                </c:pt>
                <c:pt idx="822">
                  <c:v>32.543900000001628</c:v>
                </c:pt>
                <c:pt idx="823">
                  <c:v>32.544000000001631</c:v>
                </c:pt>
                <c:pt idx="824">
                  <c:v>32.544100000001634</c:v>
                </c:pt>
                <c:pt idx="825">
                  <c:v>32.544200000001638</c:v>
                </c:pt>
                <c:pt idx="826">
                  <c:v>32.544300000001641</c:v>
                </c:pt>
                <c:pt idx="827">
                  <c:v>32.544400000001644</c:v>
                </c:pt>
                <c:pt idx="828">
                  <c:v>32.544500000001648</c:v>
                </c:pt>
                <c:pt idx="829">
                  <c:v>32.544600000001651</c:v>
                </c:pt>
                <c:pt idx="830">
                  <c:v>32.544700000001654</c:v>
                </c:pt>
                <c:pt idx="831">
                  <c:v>32.544800000001658</c:v>
                </c:pt>
                <c:pt idx="832">
                  <c:v>32.544900000001661</c:v>
                </c:pt>
                <c:pt idx="833">
                  <c:v>32.545000000001664</c:v>
                </c:pt>
                <c:pt idx="834">
                  <c:v>32.545100000001668</c:v>
                </c:pt>
                <c:pt idx="835">
                  <c:v>32.545200000001671</c:v>
                </c:pt>
                <c:pt idx="836">
                  <c:v>32.545300000001674</c:v>
                </c:pt>
                <c:pt idx="837">
                  <c:v>32.545400000001678</c:v>
                </c:pt>
                <c:pt idx="838">
                  <c:v>32.545500000001681</c:v>
                </c:pt>
                <c:pt idx="839">
                  <c:v>32.545600000001684</c:v>
                </c:pt>
                <c:pt idx="840">
                  <c:v>32.545700000001688</c:v>
                </c:pt>
                <c:pt idx="841">
                  <c:v>32.545800000001691</c:v>
                </c:pt>
                <c:pt idx="842">
                  <c:v>32.545900000001694</c:v>
                </c:pt>
                <c:pt idx="843">
                  <c:v>32.546000000001698</c:v>
                </c:pt>
                <c:pt idx="844">
                  <c:v>32.546100000001701</c:v>
                </c:pt>
                <c:pt idx="845">
                  <c:v>32.546200000001704</c:v>
                </c:pt>
                <c:pt idx="846">
                  <c:v>32.546300000001708</c:v>
                </c:pt>
                <c:pt idx="847">
                  <c:v>32.546400000001711</c:v>
                </c:pt>
                <c:pt idx="848">
                  <c:v>32.546500000001714</c:v>
                </c:pt>
                <c:pt idx="849">
                  <c:v>32.546600000001717</c:v>
                </c:pt>
                <c:pt idx="850">
                  <c:v>32.546700000001721</c:v>
                </c:pt>
                <c:pt idx="851">
                  <c:v>32.546800000001724</c:v>
                </c:pt>
                <c:pt idx="852">
                  <c:v>32.546900000001727</c:v>
                </c:pt>
                <c:pt idx="853">
                  <c:v>32.547000000001731</c:v>
                </c:pt>
                <c:pt idx="854">
                  <c:v>32.547100000001734</c:v>
                </c:pt>
                <c:pt idx="855">
                  <c:v>32.547200000001737</c:v>
                </c:pt>
                <c:pt idx="856">
                  <c:v>32.547300000001741</c:v>
                </c:pt>
                <c:pt idx="857">
                  <c:v>32.547400000001744</c:v>
                </c:pt>
                <c:pt idx="858">
                  <c:v>32.547500000001747</c:v>
                </c:pt>
                <c:pt idx="859">
                  <c:v>32.547600000001751</c:v>
                </c:pt>
                <c:pt idx="860">
                  <c:v>32.547700000001754</c:v>
                </c:pt>
                <c:pt idx="861">
                  <c:v>32.547800000001757</c:v>
                </c:pt>
                <c:pt idx="862">
                  <c:v>32.547900000001761</c:v>
                </c:pt>
                <c:pt idx="863">
                  <c:v>32.548000000001764</c:v>
                </c:pt>
                <c:pt idx="864">
                  <c:v>32.548100000001767</c:v>
                </c:pt>
                <c:pt idx="865">
                  <c:v>32.548200000001771</c:v>
                </c:pt>
                <c:pt idx="866">
                  <c:v>32.548300000001774</c:v>
                </c:pt>
                <c:pt idx="867">
                  <c:v>32.548400000001777</c:v>
                </c:pt>
                <c:pt idx="868">
                  <c:v>32.548500000001781</c:v>
                </c:pt>
                <c:pt idx="869">
                  <c:v>32.548600000001784</c:v>
                </c:pt>
                <c:pt idx="870">
                  <c:v>32.548700000001787</c:v>
                </c:pt>
                <c:pt idx="871">
                  <c:v>32.548800000001791</c:v>
                </c:pt>
                <c:pt idx="872">
                  <c:v>32.548900000001794</c:v>
                </c:pt>
                <c:pt idx="873">
                  <c:v>32.549000000001797</c:v>
                </c:pt>
                <c:pt idx="874">
                  <c:v>32.5491000000018</c:v>
                </c:pt>
                <c:pt idx="875">
                  <c:v>32.549200000001804</c:v>
                </c:pt>
                <c:pt idx="876">
                  <c:v>32.549300000001807</c:v>
                </c:pt>
                <c:pt idx="877">
                  <c:v>32.54940000000181</c:v>
                </c:pt>
                <c:pt idx="878">
                  <c:v>32.549500000001814</c:v>
                </c:pt>
                <c:pt idx="879">
                  <c:v>32.549600000001817</c:v>
                </c:pt>
                <c:pt idx="880">
                  <c:v>32.54970000000182</c:v>
                </c:pt>
                <c:pt idx="881">
                  <c:v>32.549800000001824</c:v>
                </c:pt>
                <c:pt idx="882">
                  <c:v>32.549900000001827</c:v>
                </c:pt>
                <c:pt idx="883">
                  <c:v>32.55000000000183</c:v>
                </c:pt>
                <c:pt idx="884">
                  <c:v>32.550100000001834</c:v>
                </c:pt>
                <c:pt idx="885">
                  <c:v>32.550200000001837</c:v>
                </c:pt>
                <c:pt idx="886">
                  <c:v>32.55030000000184</c:v>
                </c:pt>
                <c:pt idx="887">
                  <c:v>32.550400000001844</c:v>
                </c:pt>
                <c:pt idx="888">
                  <c:v>32.550500000001847</c:v>
                </c:pt>
                <c:pt idx="889">
                  <c:v>32.55060000000185</c:v>
                </c:pt>
                <c:pt idx="890">
                  <c:v>32.550700000001854</c:v>
                </c:pt>
                <c:pt idx="891">
                  <c:v>32.550800000001857</c:v>
                </c:pt>
                <c:pt idx="892">
                  <c:v>32.55090000000186</c:v>
                </c:pt>
                <c:pt idx="893">
                  <c:v>32.551000000001864</c:v>
                </c:pt>
                <c:pt idx="894">
                  <c:v>32.551100000001867</c:v>
                </c:pt>
                <c:pt idx="895">
                  <c:v>32.55120000000187</c:v>
                </c:pt>
                <c:pt idx="896">
                  <c:v>32.551300000001874</c:v>
                </c:pt>
                <c:pt idx="897">
                  <c:v>32.551400000001877</c:v>
                </c:pt>
                <c:pt idx="898">
                  <c:v>32.55150000000188</c:v>
                </c:pt>
                <c:pt idx="899">
                  <c:v>32.551600000001883</c:v>
                </c:pt>
                <c:pt idx="900">
                  <c:v>32.551700000001887</c:v>
                </c:pt>
                <c:pt idx="901">
                  <c:v>32.55180000000189</c:v>
                </c:pt>
                <c:pt idx="902">
                  <c:v>32.551900000001893</c:v>
                </c:pt>
                <c:pt idx="903">
                  <c:v>32.552000000001897</c:v>
                </c:pt>
                <c:pt idx="904">
                  <c:v>32.5521000000019</c:v>
                </c:pt>
                <c:pt idx="905">
                  <c:v>32.552200000001903</c:v>
                </c:pt>
                <c:pt idx="906">
                  <c:v>32.552300000001907</c:v>
                </c:pt>
                <c:pt idx="907">
                  <c:v>32.55240000000191</c:v>
                </c:pt>
                <c:pt idx="908">
                  <c:v>32.552500000001913</c:v>
                </c:pt>
                <c:pt idx="909">
                  <c:v>32.552600000001917</c:v>
                </c:pt>
                <c:pt idx="910">
                  <c:v>32.55270000000192</c:v>
                </c:pt>
                <c:pt idx="911">
                  <c:v>32.552800000001923</c:v>
                </c:pt>
                <c:pt idx="912">
                  <c:v>32.552900000001927</c:v>
                </c:pt>
                <c:pt idx="913">
                  <c:v>32.55300000000193</c:v>
                </c:pt>
                <c:pt idx="914">
                  <c:v>32.553100000001933</c:v>
                </c:pt>
                <c:pt idx="915">
                  <c:v>32.553200000001937</c:v>
                </c:pt>
                <c:pt idx="916">
                  <c:v>32.55330000000194</c:v>
                </c:pt>
                <c:pt idx="917">
                  <c:v>32.553400000001943</c:v>
                </c:pt>
                <c:pt idx="918">
                  <c:v>32.553500000001947</c:v>
                </c:pt>
                <c:pt idx="919">
                  <c:v>32.55360000000195</c:v>
                </c:pt>
                <c:pt idx="920">
                  <c:v>32.553700000001953</c:v>
                </c:pt>
                <c:pt idx="921">
                  <c:v>32.553800000001957</c:v>
                </c:pt>
                <c:pt idx="922">
                  <c:v>32.55390000000196</c:v>
                </c:pt>
                <c:pt idx="923">
                  <c:v>32.554000000001963</c:v>
                </c:pt>
                <c:pt idx="924">
                  <c:v>32.554100000001966</c:v>
                </c:pt>
                <c:pt idx="925">
                  <c:v>32.55420000000197</c:v>
                </c:pt>
                <c:pt idx="926">
                  <c:v>32.554300000001973</c:v>
                </c:pt>
                <c:pt idx="927">
                  <c:v>32.554400000001976</c:v>
                </c:pt>
                <c:pt idx="928">
                  <c:v>32.55450000000198</c:v>
                </c:pt>
                <c:pt idx="929">
                  <c:v>32.554600000001983</c:v>
                </c:pt>
                <c:pt idx="930">
                  <c:v>32.554700000001986</c:v>
                </c:pt>
                <c:pt idx="931">
                  <c:v>32.55480000000199</c:v>
                </c:pt>
                <c:pt idx="932">
                  <c:v>32.554900000001993</c:v>
                </c:pt>
                <c:pt idx="933">
                  <c:v>32.555000000001996</c:v>
                </c:pt>
                <c:pt idx="934">
                  <c:v>32.555100000002</c:v>
                </c:pt>
                <c:pt idx="935">
                  <c:v>32.555200000002003</c:v>
                </c:pt>
                <c:pt idx="936">
                  <c:v>32.555300000002006</c:v>
                </c:pt>
                <c:pt idx="937">
                  <c:v>32.55540000000201</c:v>
                </c:pt>
                <c:pt idx="938">
                  <c:v>32.555500000002013</c:v>
                </c:pt>
                <c:pt idx="939">
                  <c:v>32.555600000002016</c:v>
                </c:pt>
                <c:pt idx="940">
                  <c:v>32.55570000000202</c:v>
                </c:pt>
                <c:pt idx="941">
                  <c:v>32.555800000002023</c:v>
                </c:pt>
                <c:pt idx="942">
                  <c:v>32.555900000002026</c:v>
                </c:pt>
                <c:pt idx="943">
                  <c:v>32.55600000000203</c:v>
                </c:pt>
                <c:pt idx="944">
                  <c:v>32.556100000002033</c:v>
                </c:pt>
                <c:pt idx="945">
                  <c:v>32.556200000002036</c:v>
                </c:pt>
                <c:pt idx="946">
                  <c:v>32.556300000002039</c:v>
                </c:pt>
                <c:pt idx="947">
                  <c:v>32.556400000002043</c:v>
                </c:pt>
                <c:pt idx="948">
                  <c:v>32.556500000002046</c:v>
                </c:pt>
                <c:pt idx="949">
                  <c:v>32.556600000002049</c:v>
                </c:pt>
                <c:pt idx="950">
                  <c:v>32.556700000002053</c:v>
                </c:pt>
                <c:pt idx="951">
                  <c:v>32.556800000002056</c:v>
                </c:pt>
                <c:pt idx="952">
                  <c:v>32.556900000002059</c:v>
                </c:pt>
                <c:pt idx="953">
                  <c:v>32.557000000002063</c:v>
                </c:pt>
                <c:pt idx="954">
                  <c:v>32.557100000002066</c:v>
                </c:pt>
                <c:pt idx="955">
                  <c:v>32.557200000002069</c:v>
                </c:pt>
                <c:pt idx="956">
                  <c:v>32.557300000002073</c:v>
                </c:pt>
                <c:pt idx="957">
                  <c:v>32.557400000002076</c:v>
                </c:pt>
                <c:pt idx="958">
                  <c:v>32.557500000002079</c:v>
                </c:pt>
                <c:pt idx="959">
                  <c:v>32.557600000002083</c:v>
                </c:pt>
                <c:pt idx="960">
                  <c:v>32.557700000002086</c:v>
                </c:pt>
                <c:pt idx="961">
                  <c:v>32.557800000002089</c:v>
                </c:pt>
                <c:pt idx="962">
                  <c:v>32.557900000002093</c:v>
                </c:pt>
                <c:pt idx="963">
                  <c:v>32.558000000002096</c:v>
                </c:pt>
                <c:pt idx="964">
                  <c:v>32.558100000002099</c:v>
                </c:pt>
                <c:pt idx="965">
                  <c:v>32.558200000002103</c:v>
                </c:pt>
                <c:pt idx="966">
                  <c:v>32.558300000002106</c:v>
                </c:pt>
                <c:pt idx="967">
                  <c:v>32.558400000002109</c:v>
                </c:pt>
                <c:pt idx="968">
                  <c:v>32.558500000002113</c:v>
                </c:pt>
                <c:pt idx="969">
                  <c:v>32.558600000002116</c:v>
                </c:pt>
                <c:pt idx="970">
                  <c:v>32.558700000002119</c:v>
                </c:pt>
                <c:pt idx="971">
                  <c:v>32.558800000002122</c:v>
                </c:pt>
                <c:pt idx="972">
                  <c:v>32.558900000002126</c:v>
                </c:pt>
                <c:pt idx="973">
                  <c:v>32.559000000002129</c:v>
                </c:pt>
                <c:pt idx="974">
                  <c:v>32.559100000002132</c:v>
                </c:pt>
                <c:pt idx="975">
                  <c:v>32.559200000002136</c:v>
                </c:pt>
                <c:pt idx="976">
                  <c:v>32.559300000002139</c:v>
                </c:pt>
                <c:pt idx="977">
                  <c:v>32.559400000002142</c:v>
                </c:pt>
                <c:pt idx="978">
                  <c:v>32.559500000002146</c:v>
                </c:pt>
                <c:pt idx="979">
                  <c:v>32.559600000002149</c:v>
                </c:pt>
                <c:pt idx="980">
                  <c:v>32.559700000002152</c:v>
                </c:pt>
                <c:pt idx="981">
                  <c:v>32.559800000002156</c:v>
                </c:pt>
                <c:pt idx="982">
                  <c:v>32.559900000002159</c:v>
                </c:pt>
                <c:pt idx="983">
                  <c:v>32.560000000002162</c:v>
                </c:pt>
                <c:pt idx="984">
                  <c:v>32.560100000002166</c:v>
                </c:pt>
                <c:pt idx="985">
                  <c:v>32.560200000002169</c:v>
                </c:pt>
                <c:pt idx="986">
                  <c:v>32.560300000002172</c:v>
                </c:pt>
                <c:pt idx="987">
                  <c:v>32.560400000002176</c:v>
                </c:pt>
                <c:pt idx="988">
                  <c:v>32.560500000002179</c:v>
                </c:pt>
                <c:pt idx="989">
                  <c:v>32.560600000002182</c:v>
                </c:pt>
                <c:pt idx="990">
                  <c:v>32.560700000002186</c:v>
                </c:pt>
                <c:pt idx="991">
                  <c:v>32.560800000002189</c:v>
                </c:pt>
                <c:pt idx="992">
                  <c:v>32.560900000002192</c:v>
                </c:pt>
                <c:pt idx="993">
                  <c:v>32.561000000002196</c:v>
                </c:pt>
                <c:pt idx="994">
                  <c:v>32.561100000002199</c:v>
                </c:pt>
                <c:pt idx="995">
                  <c:v>32.561200000002202</c:v>
                </c:pt>
                <c:pt idx="996">
                  <c:v>32.561300000002205</c:v>
                </c:pt>
                <c:pt idx="997">
                  <c:v>32.561400000002209</c:v>
                </c:pt>
                <c:pt idx="998">
                  <c:v>32.561500000002212</c:v>
                </c:pt>
                <c:pt idx="999">
                  <c:v>32.561600000002215</c:v>
                </c:pt>
                <c:pt idx="1000">
                  <c:v>32.561700000002219</c:v>
                </c:pt>
              </c:numCache>
            </c:numRef>
          </c:xVal>
          <c:yVal>
            <c:numRef>
              <c:f>Calculs!$Q$4:$Q$1004</c:f>
              <c:numCache>
                <c:formatCode>0.00</c:formatCode>
                <c:ptCount val="1001"/>
                <c:pt idx="0">
                  <c:v>0</c:v>
                </c:pt>
                <c:pt idx="1">
                  <c:v>4.9999999999998928E-4</c:v>
                </c:pt>
                <c:pt idx="2">
                  <c:v>1.4999999999999679E-3</c:v>
                </c:pt>
                <c:pt idx="3">
                  <c:v>2.4999999999999467E-3</c:v>
                </c:pt>
                <c:pt idx="4">
                  <c:v>3.499999999999925E-3</c:v>
                </c:pt>
                <c:pt idx="5">
                  <c:v>4.4999999999999034E-3</c:v>
                </c:pt>
                <c:pt idx="6">
                  <c:v>5.4999999999998826E-3</c:v>
                </c:pt>
                <c:pt idx="7">
                  <c:v>6.4999999999998609E-3</c:v>
                </c:pt>
                <c:pt idx="8">
                  <c:v>7.4999999999998393E-3</c:v>
                </c:pt>
                <c:pt idx="9">
                  <c:v>8.4999999999998185E-3</c:v>
                </c:pt>
                <c:pt idx="10">
                  <c:v>9.4999999999997968E-3</c:v>
                </c:pt>
                <c:pt idx="11">
                  <c:v>9.5000000000002253E-3</c:v>
                </c:pt>
                <c:pt idx="12">
                  <c:v>8.5000000000002469E-3</c:v>
                </c:pt>
                <c:pt idx="13">
                  <c:v>7.5000000000002669E-3</c:v>
                </c:pt>
                <c:pt idx="14">
                  <c:v>6.5000000000002885E-3</c:v>
                </c:pt>
                <c:pt idx="15">
                  <c:v>5.5000000000003102E-3</c:v>
                </c:pt>
                <c:pt idx="16">
                  <c:v>4.5000000000003319E-3</c:v>
                </c:pt>
                <c:pt idx="17">
                  <c:v>3.5000000000003527E-3</c:v>
                </c:pt>
                <c:pt idx="18">
                  <c:v>2.5000000000003743E-3</c:v>
                </c:pt>
                <c:pt idx="19">
                  <c:v>1.5000000000003951E-3</c:v>
                </c:pt>
                <c:pt idx="20">
                  <c:v>5.0000000000041678E-4</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numCache>
            </c:numRef>
          </c:yVal>
          <c:smooth val="0"/>
          <c:extLst>
            <c:ext xmlns:c16="http://schemas.microsoft.com/office/drawing/2014/chart" uri="{C3380CC4-5D6E-409C-BE32-E72D297353CC}">
              <c16:uniqueId val="{00000000-B98B-46BB-BB51-DAAA2071230C}"/>
            </c:ext>
          </c:extLst>
        </c:ser>
        <c:ser>
          <c:idx val="2"/>
          <c:order val="1"/>
          <c:tx>
            <c:strRef>
              <c:f>Courbes!$B$135</c:f>
              <c:strCache>
                <c:ptCount val="1"/>
                <c:pt idx="0">
                  <c:v>Poids</c:v>
                </c:pt>
              </c:strCache>
            </c:strRef>
          </c:tx>
          <c:spPr>
            <a:ln w="25400">
              <a:solidFill>
                <a:srgbClr val="0000FF"/>
              </a:solidFill>
              <a:prstDash val="solid"/>
            </a:ln>
          </c:spPr>
          <c:marker>
            <c:symbol val="none"/>
          </c:marker>
          <c:xVal>
            <c:numRef>
              <c:f>Calculs!$B$4:$B$1004</c:f>
              <c:numCache>
                <c:formatCode>0.00</c:formatCode>
                <c:ptCount val="1001"/>
                <c:pt idx="0">
                  <c:v>3.2</c:v>
                </c:pt>
                <c:pt idx="1">
                  <c:v>3.21</c:v>
                </c:pt>
                <c:pt idx="2">
                  <c:v>3.2199999999999998</c:v>
                </c:pt>
                <c:pt idx="3">
                  <c:v>3.2299999999999995</c:v>
                </c:pt>
                <c:pt idx="4">
                  <c:v>3.2399999999999993</c:v>
                </c:pt>
                <c:pt idx="5">
                  <c:v>3.2499999999999991</c:v>
                </c:pt>
                <c:pt idx="6">
                  <c:v>3.2599999999999989</c:v>
                </c:pt>
                <c:pt idx="7">
                  <c:v>3.2699999999999987</c:v>
                </c:pt>
                <c:pt idx="8">
                  <c:v>3.2799999999999985</c:v>
                </c:pt>
                <c:pt idx="9">
                  <c:v>3.2899999999999983</c:v>
                </c:pt>
                <c:pt idx="10">
                  <c:v>3.299999999999998</c:v>
                </c:pt>
                <c:pt idx="11">
                  <c:v>3.3099999999999978</c:v>
                </c:pt>
                <c:pt idx="12">
                  <c:v>3.3199999999999976</c:v>
                </c:pt>
                <c:pt idx="13">
                  <c:v>3.3299999999999974</c:v>
                </c:pt>
                <c:pt idx="14">
                  <c:v>3.3399999999999972</c:v>
                </c:pt>
                <c:pt idx="15">
                  <c:v>3.349999999999997</c:v>
                </c:pt>
                <c:pt idx="16">
                  <c:v>3.3599999999999968</c:v>
                </c:pt>
                <c:pt idx="17">
                  <c:v>3.3699999999999966</c:v>
                </c:pt>
                <c:pt idx="18">
                  <c:v>3.3799999999999963</c:v>
                </c:pt>
                <c:pt idx="19">
                  <c:v>3.3899999999999961</c:v>
                </c:pt>
                <c:pt idx="20">
                  <c:v>3.3999999999999959</c:v>
                </c:pt>
                <c:pt idx="21">
                  <c:v>3.4099999999999957</c:v>
                </c:pt>
                <c:pt idx="22">
                  <c:v>3.4199999999999955</c:v>
                </c:pt>
                <c:pt idx="23">
                  <c:v>3.4299999999999953</c:v>
                </c:pt>
                <c:pt idx="24">
                  <c:v>3.4399999999999951</c:v>
                </c:pt>
                <c:pt idx="25">
                  <c:v>3.4499999999999948</c:v>
                </c:pt>
                <c:pt idx="26">
                  <c:v>3.4599999999999946</c:v>
                </c:pt>
                <c:pt idx="27">
                  <c:v>3.4699999999999944</c:v>
                </c:pt>
                <c:pt idx="28">
                  <c:v>3.4799999999999942</c:v>
                </c:pt>
                <c:pt idx="29">
                  <c:v>3.489999999999994</c:v>
                </c:pt>
                <c:pt idx="30">
                  <c:v>3.4999999999999938</c:v>
                </c:pt>
                <c:pt idx="31">
                  <c:v>3.5099999999999936</c:v>
                </c:pt>
                <c:pt idx="32">
                  <c:v>3.5199999999999934</c:v>
                </c:pt>
                <c:pt idx="33">
                  <c:v>3.5299999999999931</c:v>
                </c:pt>
                <c:pt idx="34">
                  <c:v>3.5399999999999929</c:v>
                </c:pt>
                <c:pt idx="35">
                  <c:v>3.5499999999999927</c:v>
                </c:pt>
                <c:pt idx="36">
                  <c:v>3.5599999999999925</c:v>
                </c:pt>
                <c:pt idx="37">
                  <c:v>3.5699999999999923</c:v>
                </c:pt>
                <c:pt idx="38">
                  <c:v>3.5799999999999921</c:v>
                </c:pt>
                <c:pt idx="39">
                  <c:v>3.5899999999999919</c:v>
                </c:pt>
                <c:pt idx="40">
                  <c:v>3.5999999999999917</c:v>
                </c:pt>
                <c:pt idx="41">
                  <c:v>3.6099999999999914</c:v>
                </c:pt>
                <c:pt idx="42">
                  <c:v>3.6199999999999912</c:v>
                </c:pt>
                <c:pt idx="43">
                  <c:v>3.629999999999991</c:v>
                </c:pt>
                <c:pt idx="44">
                  <c:v>3.6399999999999908</c:v>
                </c:pt>
                <c:pt idx="45">
                  <c:v>3.6499999999999906</c:v>
                </c:pt>
                <c:pt idx="46">
                  <c:v>3.6599999999999904</c:v>
                </c:pt>
                <c:pt idx="47">
                  <c:v>3.6699999999999902</c:v>
                </c:pt>
                <c:pt idx="48">
                  <c:v>3.6799999999999899</c:v>
                </c:pt>
                <c:pt idx="49">
                  <c:v>3.6899999999999897</c:v>
                </c:pt>
                <c:pt idx="50">
                  <c:v>3.6999999999999895</c:v>
                </c:pt>
                <c:pt idx="51">
                  <c:v>3.7099999999999893</c:v>
                </c:pt>
                <c:pt idx="52">
                  <c:v>3.7199999999999891</c:v>
                </c:pt>
                <c:pt idx="53">
                  <c:v>3.7299999999999889</c:v>
                </c:pt>
                <c:pt idx="54">
                  <c:v>3.7399999999999887</c:v>
                </c:pt>
                <c:pt idx="55">
                  <c:v>3.7499999999999885</c:v>
                </c:pt>
                <c:pt idx="56">
                  <c:v>3.7599999999999882</c:v>
                </c:pt>
                <c:pt idx="57">
                  <c:v>3.769999999999988</c:v>
                </c:pt>
                <c:pt idx="58">
                  <c:v>3.7799999999999878</c:v>
                </c:pt>
                <c:pt idx="59">
                  <c:v>3.7899999999999876</c:v>
                </c:pt>
                <c:pt idx="60">
                  <c:v>3.7999999999999874</c:v>
                </c:pt>
                <c:pt idx="61">
                  <c:v>3.8099999999999872</c:v>
                </c:pt>
                <c:pt idx="62">
                  <c:v>3.819999999999987</c:v>
                </c:pt>
                <c:pt idx="63">
                  <c:v>3.8299999999999867</c:v>
                </c:pt>
                <c:pt idx="64">
                  <c:v>3.8399999999999865</c:v>
                </c:pt>
                <c:pt idx="65">
                  <c:v>3.8499999999999863</c:v>
                </c:pt>
                <c:pt idx="66">
                  <c:v>3.8599999999999861</c:v>
                </c:pt>
                <c:pt idx="67">
                  <c:v>3.8699999999999859</c:v>
                </c:pt>
                <c:pt idx="68">
                  <c:v>3.8799999999999857</c:v>
                </c:pt>
                <c:pt idx="69">
                  <c:v>3.8899999999999855</c:v>
                </c:pt>
                <c:pt idx="70">
                  <c:v>3.8999999999999853</c:v>
                </c:pt>
                <c:pt idx="71">
                  <c:v>3.909999999999985</c:v>
                </c:pt>
                <c:pt idx="72">
                  <c:v>3.9199999999999848</c:v>
                </c:pt>
                <c:pt idx="73">
                  <c:v>3.9299999999999846</c:v>
                </c:pt>
                <c:pt idx="74">
                  <c:v>3.9399999999999844</c:v>
                </c:pt>
                <c:pt idx="75">
                  <c:v>3.9499999999999842</c:v>
                </c:pt>
                <c:pt idx="76">
                  <c:v>3.959999999999984</c:v>
                </c:pt>
                <c:pt idx="77">
                  <c:v>3.9699999999999838</c:v>
                </c:pt>
                <c:pt idx="78">
                  <c:v>3.9799999999999836</c:v>
                </c:pt>
                <c:pt idx="79">
                  <c:v>3.9899999999999833</c:v>
                </c:pt>
                <c:pt idx="80">
                  <c:v>3.9999999999999831</c:v>
                </c:pt>
                <c:pt idx="81">
                  <c:v>4.0099999999999829</c:v>
                </c:pt>
                <c:pt idx="82">
                  <c:v>4.0199999999999827</c:v>
                </c:pt>
                <c:pt idx="83">
                  <c:v>4.0299999999999825</c:v>
                </c:pt>
                <c:pt idx="84">
                  <c:v>4.0399999999999823</c:v>
                </c:pt>
                <c:pt idx="85">
                  <c:v>4.0499999999999821</c:v>
                </c:pt>
                <c:pt idx="86">
                  <c:v>4.0599999999999818</c:v>
                </c:pt>
                <c:pt idx="87">
                  <c:v>4.0699999999999816</c:v>
                </c:pt>
                <c:pt idx="88">
                  <c:v>4.0799999999999814</c:v>
                </c:pt>
                <c:pt idx="89">
                  <c:v>4.0899999999999812</c:v>
                </c:pt>
                <c:pt idx="90">
                  <c:v>4.099999999999981</c:v>
                </c:pt>
                <c:pt idx="91">
                  <c:v>4.1099999999999808</c:v>
                </c:pt>
                <c:pt idx="92">
                  <c:v>4.1199999999999806</c:v>
                </c:pt>
                <c:pt idx="93">
                  <c:v>4.1299999999999804</c:v>
                </c:pt>
                <c:pt idx="94">
                  <c:v>4.1399999999999801</c:v>
                </c:pt>
                <c:pt idx="95">
                  <c:v>4.1499999999999799</c:v>
                </c:pt>
                <c:pt idx="96">
                  <c:v>4.1599999999999797</c:v>
                </c:pt>
                <c:pt idx="97">
                  <c:v>4.1699999999999795</c:v>
                </c:pt>
                <c:pt idx="98">
                  <c:v>4.1799999999999793</c:v>
                </c:pt>
                <c:pt idx="99">
                  <c:v>4.1899999999999791</c:v>
                </c:pt>
                <c:pt idx="100">
                  <c:v>4.1999999999999789</c:v>
                </c:pt>
                <c:pt idx="101">
                  <c:v>4.2999999999999785</c:v>
                </c:pt>
                <c:pt idx="102">
                  <c:v>4.3999999999999782</c:v>
                </c:pt>
                <c:pt idx="103">
                  <c:v>4.4999999999999778</c:v>
                </c:pt>
                <c:pt idx="104">
                  <c:v>4.5999999999999774</c:v>
                </c:pt>
                <c:pt idx="105">
                  <c:v>4.6999999999999771</c:v>
                </c:pt>
                <c:pt idx="106">
                  <c:v>4.7999999999999767</c:v>
                </c:pt>
                <c:pt idx="107">
                  <c:v>4.8999999999999764</c:v>
                </c:pt>
                <c:pt idx="108">
                  <c:v>4.999999999999976</c:v>
                </c:pt>
                <c:pt idx="109">
                  <c:v>5.0999999999999757</c:v>
                </c:pt>
                <c:pt idx="110">
                  <c:v>5.1999999999999753</c:v>
                </c:pt>
                <c:pt idx="111">
                  <c:v>5.299999999999975</c:v>
                </c:pt>
                <c:pt idx="112">
                  <c:v>5.3999999999999746</c:v>
                </c:pt>
                <c:pt idx="113">
                  <c:v>5.4999999999999742</c:v>
                </c:pt>
                <c:pt idx="114">
                  <c:v>5.5999999999999739</c:v>
                </c:pt>
                <c:pt idx="115">
                  <c:v>5.6999999999999735</c:v>
                </c:pt>
                <c:pt idx="116">
                  <c:v>5.7999999999999732</c:v>
                </c:pt>
                <c:pt idx="117">
                  <c:v>5.8999999999999728</c:v>
                </c:pt>
                <c:pt idx="118">
                  <c:v>5.9999999999999725</c:v>
                </c:pt>
                <c:pt idx="119">
                  <c:v>6.0999999999999721</c:v>
                </c:pt>
                <c:pt idx="120">
                  <c:v>6.1999999999999718</c:v>
                </c:pt>
                <c:pt idx="121">
                  <c:v>6.2999999999999714</c:v>
                </c:pt>
                <c:pt idx="122">
                  <c:v>6.399999999999971</c:v>
                </c:pt>
                <c:pt idx="123">
                  <c:v>6.4999999999999707</c:v>
                </c:pt>
                <c:pt idx="124">
                  <c:v>6.5999999999999703</c:v>
                </c:pt>
                <c:pt idx="125">
                  <c:v>6.69999999999997</c:v>
                </c:pt>
                <c:pt idx="126">
                  <c:v>6.7999999999999696</c:v>
                </c:pt>
                <c:pt idx="127">
                  <c:v>6.8999999999999693</c:v>
                </c:pt>
                <c:pt idx="128">
                  <c:v>6.9999999999999689</c:v>
                </c:pt>
                <c:pt idx="129">
                  <c:v>7.0999999999999686</c:v>
                </c:pt>
                <c:pt idx="130">
                  <c:v>7.1999999999999682</c:v>
                </c:pt>
                <c:pt idx="131">
                  <c:v>7.2999999999999678</c:v>
                </c:pt>
                <c:pt idx="132">
                  <c:v>7.3999999999999675</c:v>
                </c:pt>
                <c:pt idx="133">
                  <c:v>7.4999999999999671</c:v>
                </c:pt>
                <c:pt idx="134">
                  <c:v>7.5999999999999668</c:v>
                </c:pt>
                <c:pt idx="135">
                  <c:v>7.6999999999999664</c:v>
                </c:pt>
                <c:pt idx="136">
                  <c:v>7.7999999999999661</c:v>
                </c:pt>
                <c:pt idx="137">
                  <c:v>7.8999999999999657</c:v>
                </c:pt>
                <c:pt idx="138">
                  <c:v>7.9999999999999654</c:v>
                </c:pt>
                <c:pt idx="139">
                  <c:v>8.0999999999999659</c:v>
                </c:pt>
                <c:pt idx="140">
                  <c:v>8.1999999999999655</c:v>
                </c:pt>
                <c:pt idx="141">
                  <c:v>8.2999999999999652</c:v>
                </c:pt>
                <c:pt idx="142">
                  <c:v>8.3999999999999648</c:v>
                </c:pt>
                <c:pt idx="143">
                  <c:v>8.4999999999999645</c:v>
                </c:pt>
                <c:pt idx="144">
                  <c:v>8.5999999999999641</c:v>
                </c:pt>
                <c:pt idx="145">
                  <c:v>8.6999999999999638</c:v>
                </c:pt>
                <c:pt idx="146">
                  <c:v>8.7999999999999634</c:v>
                </c:pt>
                <c:pt idx="147">
                  <c:v>8.8999999999999631</c:v>
                </c:pt>
                <c:pt idx="148">
                  <c:v>8.9999999999999627</c:v>
                </c:pt>
                <c:pt idx="149">
                  <c:v>9.0999999999999623</c:v>
                </c:pt>
                <c:pt idx="150">
                  <c:v>9.199999999999962</c:v>
                </c:pt>
                <c:pt idx="151">
                  <c:v>9.2999999999999616</c:v>
                </c:pt>
                <c:pt idx="152">
                  <c:v>9.3999999999999613</c:v>
                </c:pt>
                <c:pt idx="153">
                  <c:v>9.4999999999999609</c:v>
                </c:pt>
                <c:pt idx="154">
                  <c:v>9.5999999999999606</c:v>
                </c:pt>
                <c:pt idx="155">
                  <c:v>9.6999999999999602</c:v>
                </c:pt>
                <c:pt idx="156">
                  <c:v>9.7999999999999599</c:v>
                </c:pt>
                <c:pt idx="157">
                  <c:v>9.8999999999999595</c:v>
                </c:pt>
                <c:pt idx="158">
                  <c:v>9.9999999999999591</c:v>
                </c:pt>
                <c:pt idx="159">
                  <c:v>10.099999999999959</c:v>
                </c:pt>
                <c:pt idx="160">
                  <c:v>10.199999999999958</c:v>
                </c:pt>
                <c:pt idx="161">
                  <c:v>10.299999999999958</c:v>
                </c:pt>
                <c:pt idx="162">
                  <c:v>10.399999999999958</c:v>
                </c:pt>
                <c:pt idx="163">
                  <c:v>10.499999999999957</c:v>
                </c:pt>
                <c:pt idx="164">
                  <c:v>10.599999999999957</c:v>
                </c:pt>
                <c:pt idx="165">
                  <c:v>10.699999999999957</c:v>
                </c:pt>
                <c:pt idx="166">
                  <c:v>10.799999999999956</c:v>
                </c:pt>
                <c:pt idx="167">
                  <c:v>10.899999999999956</c:v>
                </c:pt>
                <c:pt idx="168">
                  <c:v>10.999999999999956</c:v>
                </c:pt>
                <c:pt idx="169">
                  <c:v>11.099999999999955</c:v>
                </c:pt>
                <c:pt idx="170">
                  <c:v>11.199999999999955</c:v>
                </c:pt>
                <c:pt idx="171">
                  <c:v>11.299999999999955</c:v>
                </c:pt>
                <c:pt idx="172">
                  <c:v>11.399999999999954</c:v>
                </c:pt>
                <c:pt idx="173">
                  <c:v>11.499999999999954</c:v>
                </c:pt>
                <c:pt idx="174">
                  <c:v>11.599999999999953</c:v>
                </c:pt>
                <c:pt idx="175">
                  <c:v>11.699999999999953</c:v>
                </c:pt>
                <c:pt idx="176">
                  <c:v>11.799999999999953</c:v>
                </c:pt>
                <c:pt idx="177">
                  <c:v>11.899999999999952</c:v>
                </c:pt>
                <c:pt idx="178">
                  <c:v>11.999999999999952</c:v>
                </c:pt>
                <c:pt idx="179">
                  <c:v>12.099999999999952</c:v>
                </c:pt>
                <c:pt idx="180">
                  <c:v>12.199999999999951</c:v>
                </c:pt>
                <c:pt idx="181">
                  <c:v>12.299999999999951</c:v>
                </c:pt>
                <c:pt idx="182">
                  <c:v>12.399999999999951</c:v>
                </c:pt>
                <c:pt idx="183">
                  <c:v>12.49999999999995</c:v>
                </c:pt>
                <c:pt idx="184">
                  <c:v>12.59999999999995</c:v>
                </c:pt>
                <c:pt idx="185">
                  <c:v>12.69999999999995</c:v>
                </c:pt>
                <c:pt idx="186">
                  <c:v>12.799999999999949</c:v>
                </c:pt>
                <c:pt idx="187">
                  <c:v>12.899999999999949</c:v>
                </c:pt>
                <c:pt idx="188">
                  <c:v>12.999999999999948</c:v>
                </c:pt>
                <c:pt idx="189">
                  <c:v>13.099999999999948</c:v>
                </c:pt>
                <c:pt idx="190">
                  <c:v>13.199999999999948</c:v>
                </c:pt>
                <c:pt idx="191">
                  <c:v>13.299999999999947</c:v>
                </c:pt>
                <c:pt idx="192">
                  <c:v>13.399999999999947</c:v>
                </c:pt>
                <c:pt idx="193">
                  <c:v>13.499999999999947</c:v>
                </c:pt>
                <c:pt idx="194">
                  <c:v>13.599999999999946</c:v>
                </c:pt>
                <c:pt idx="195">
                  <c:v>13.699999999999946</c:v>
                </c:pt>
                <c:pt idx="196">
                  <c:v>13.799999999999946</c:v>
                </c:pt>
                <c:pt idx="197">
                  <c:v>13.899999999999945</c:v>
                </c:pt>
                <c:pt idx="198">
                  <c:v>13.999999999999945</c:v>
                </c:pt>
                <c:pt idx="199">
                  <c:v>14.099999999999945</c:v>
                </c:pt>
                <c:pt idx="200">
                  <c:v>14.199999999999944</c:v>
                </c:pt>
                <c:pt idx="201">
                  <c:v>14.299999999999944</c:v>
                </c:pt>
                <c:pt idx="202">
                  <c:v>14.399999999999944</c:v>
                </c:pt>
                <c:pt idx="203">
                  <c:v>14.499999999999943</c:v>
                </c:pt>
                <c:pt idx="204">
                  <c:v>14.599999999999943</c:v>
                </c:pt>
                <c:pt idx="205">
                  <c:v>14.699999999999942</c:v>
                </c:pt>
                <c:pt idx="206">
                  <c:v>14.799999999999942</c:v>
                </c:pt>
                <c:pt idx="207">
                  <c:v>14.899999999999942</c:v>
                </c:pt>
                <c:pt idx="208">
                  <c:v>14.999999999999941</c:v>
                </c:pt>
                <c:pt idx="209">
                  <c:v>15.099999999999941</c:v>
                </c:pt>
                <c:pt idx="210">
                  <c:v>15.199999999999941</c:v>
                </c:pt>
                <c:pt idx="211">
                  <c:v>15.29999999999994</c:v>
                </c:pt>
                <c:pt idx="212">
                  <c:v>15.39999999999994</c:v>
                </c:pt>
                <c:pt idx="213">
                  <c:v>15.49999999999994</c:v>
                </c:pt>
                <c:pt idx="214">
                  <c:v>15.599999999999939</c:v>
                </c:pt>
                <c:pt idx="215">
                  <c:v>15.699999999999939</c:v>
                </c:pt>
                <c:pt idx="216">
                  <c:v>15.799999999999939</c:v>
                </c:pt>
                <c:pt idx="217">
                  <c:v>15.899999999999938</c:v>
                </c:pt>
                <c:pt idx="218">
                  <c:v>15.999999999999938</c:v>
                </c:pt>
                <c:pt idx="219">
                  <c:v>16.099999999999937</c:v>
                </c:pt>
                <c:pt idx="220">
                  <c:v>16.199999999999939</c:v>
                </c:pt>
                <c:pt idx="221">
                  <c:v>16.29999999999994</c:v>
                </c:pt>
                <c:pt idx="222">
                  <c:v>16.399999999999942</c:v>
                </c:pt>
                <c:pt idx="223">
                  <c:v>16.499999999999943</c:v>
                </c:pt>
                <c:pt idx="224">
                  <c:v>16.599999999999945</c:v>
                </c:pt>
                <c:pt idx="225">
                  <c:v>16.699999999999946</c:v>
                </c:pt>
                <c:pt idx="226">
                  <c:v>16.799999999999947</c:v>
                </c:pt>
                <c:pt idx="227">
                  <c:v>16.899999999999949</c:v>
                </c:pt>
                <c:pt idx="228">
                  <c:v>16.99999999999995</c:v>
                </c:pt>
                <c:pt idx="229">
                  <c:v>17.099999999999952</c:v>
                </c:pt>
                <c:pt idx="230">
                  <c:v>17.199999999999953</c:v>
                </c:pt>
                <c:pt idx="231">
                  <c:v>17.299999999999955</c:v>
                </c:pt>
                <c:pt idx="232">
                  <c:v>17.399999999999956</c:v>
                </c:pt>
                <c:pt idx="233">
                  <c:v>17.499999999999957</c:v>
                </c:pt>
                <c:pt idx="234">
                  <c:v>17.599999999999959</c:v>
                </c:pt>
                <c:pt idx="235">
                  <c:v>17.69999999999996</c:v>
                </c:pt>
                <c:pt idx="236">
                  <c:v>17.799999999999962</c:v>
                </c:pt>
                <c:pt idx="237">
                  <c:v>17.899999999999963</c:v>
                </c:pt>
                <c:pt idx="238">
                  <c:v>17.999999999999964</c:v>
                </c:pt>
                <c:pt idx="239">
                  <c:v>18.099999999999966</c:v>
                </c:pt>
                <c:pt idx="240">
                  <c:v>18.199999999999967</c:v>
                </c:pt>
                <c:pt idx="241">
                  <c:v>18.299999999999969</c:v>
                </c:pt>
                <c:pt idx="242">
                  <c:v>18.39999999999997</c:v>
                </c:pt>
                <c:pt idx="243">
                  <c:v>18.499999999999972</c:v>
                </c:pt>
                <c:pt idx="244">
                  <c:v>18.599999999999973</c:v>
                </c:pt>
                <c:pt idx="245">
                  <c:v>18.699999999999974</c:v>
                </c:pt>
                <c:pt idx="246">
                  <c:v>18.799999999999976</c:v>
                </c:pt>
                <c:pt idx="247">
                  <c:v>18.899999999999977</c:v>
                </c:pt>
                <c:pt idx="248">
                  <c:v>18.999999999999979</c:v>
                </c:pt>
                <c:pt idx="249">
                  <c:v>19.09999999999998</c:v>
                </c:pt>
                <c:pt idx="250">
                  <c:v>19.199999999999982</c:v>
                </c:pt>
                <c:pt idx="251">
                  <c:v>19.299999999999983</c:v>
                </c:pt>
                <c:pt idx="252">
                  <c:v>19.399999999999984</c:v>
                </c:pt>
                <c:pt idx="253">
                  <c:v>19.499999999999986</c:v>
                </c:pt>
                <c:pt idx="254">
                  <c:v>19.599999999999987</c:v>
                </c:pt>
                <c:pt idx="255">
                  <c:v>19.699999999999989</c:v>
                </c:pt>
                <c:pt idx="256">
                  <c:v>19.79999999999999</c:v>
                </c:pt>
                <c:pt idx="257">
                  <c:v>19.899999999999991</c:v>
                </c:pt>
                <c:pt idx="258">
                  <c:v>19.999999999999993</c:v>
                </c:pt>
                <c:pt idx="259">
                  <c:v>20.099999999999994</c:v>
                </c:pt>
                <c:pt idx="260">
                  <c:v>20.199999999999996</c:v>
                </c:pt>
                <c:pt idx="261">
                  <c:v>20.299999999999997</c:v>
                </c:pt>
                <c:pt idx="262">
                  <c:v>20.399999999999999</c:v>
                </c:pt>
                <c:pt idx="263">
                  <c:v>20.5</c:v>
                </c:pt>
                <c:pt idx="264">
                  <c:v>20.6</c:v>
                </c:pt>
                <c:pt idx="265">
                  <c:v>20.700000000000003</c:v>
                </c:pt>
                <c:pt idx="266">
                  <c:v>20.800000000000004</c:v>
                </c:pt>
                <c:pt idx="267">
                  <c:v>20.900000000000006</c:v>
                </c:pt>
                <c:pt idx="268">
                  <c:v>21.000000000000007</c:v>
                </c:pt>
                <c:pt idx="269">
                  <c:v>21.100000000000009</c:v>
                </c:pt>
                <c:pt idx="270">
                  <c:v>21.20000000000001</c:v>
                </c:pt>
                <c:pt idx="271">
                  <c:v>21.300000000000011</c:v>
                </c:pt>
                <c:pt idx="272">
                  <c:v>21.400000000000013</c:v>
                </c:pt>
                <c:pt idx="273">
                  <c:v>21.500000000000014</c:v>
                </c:pt>
                <c:pt idx="274">
                  <c:v>21.600000000000016</c:v>
                </c:pt>
                <c:pt idx="275">
                  <c:v>21.700000000000017</c:v>
                </c:pt>
                <c:pt idx="276">
                  <c:v>21.800000000000018</c:v>
                </c:pt>
                <c:pt idx="277">
                  <c:v>21.90000000000002</c:v>
                </c:pt>
                <c:pt idx="278">
                  <c:v>22.000000000000021</c:v>
                </c:pt>
                <c:pt idx="279">
                  <c:v>22.100000000000023</c:v>
                </c:pt>
                <c:pt idx="280">
                  <c:v>22.200000000000024</c:v>
                </c:pt>
                <c:pt idx="281">
                  <c:v>22.300000000000026</c:v>
                </c:pt>
                <c:pt idx="282">
                  <c:v>22.400000000000027</c:v>
                </c:pt>
                <c:pt idx="283">
                  <c:v>22.500000000000028</c:v>
                </c:pt>
                <c:pt idx="284">
                  <c:v>22.60000000000003</c:v>
                </c:pt>
                <c:pt idx="285">
                  <c:v>22.700000000000031</c:v>
                </c:pt>
                <c:pt idx="286">
                  <c:v>22.800000000000033</c:v>
                </c:pt>
                <c:pt idx="287">
                  <c:v>22.900000000000034</c:v>
                </c:pt>
                <c:pt idx="288">
                  <c:v>23.000000000000036</c:v>
                </c:pt>
                <c:pt idx="289">
                  <c:v>23.100000000000037</c:v>
                </c:pt>
                <c:pt idx="290">
                  <c:v>23.200000000000038</c:v>
                </c:pt>
                <c:pt idx="291">
                  <c:v>23.30000000000004</c:v>
                </c:pt>
                <c:pt idx="292">
                  <c:v>23.400000000000041</c:v>
                </c:pt>
                <c:pt idx="293">
                  <c:v>23.500000000000043</c:v>
                </c:pt>
                <c:pt idx="294">
                  <c:v>23.600000000000044</c:v>
                </c:pt>
                <c:pt idx="295">
                  <c:v>23.700000000000045</c:v>
                </c:pt>
                <c:pt idx="296">
                  <c:v>23.800000000000047</c:v>
                </c:pt>
                <c:pt idx="297">
                  <c:v>23.900000000000048</c:v>
                </c:pt>
                <c:pt idx="298">
                  <c:v>24.00000000000005</c:v>
                </c:pt>
                <c:pt idx="299">
                  <c:v>24.100000000000051</c:v>
                </c:pt>
                <c:pt idx="300">
                  <c:v>24.200000000000053</c:v>
                </c:pt>
                <c:pt idx="301">
                  <c:v>24.300000000000054</c:v>
                </c:pt>
                <c:pt idx="302">
                  <c:v>24.400000000000055</c:v>
                </c:pt>
                <c:pt idx="303">
                  <c:v>24.500000000000057</c:v>
                </c:pt>
                <c:pt idx="304">
                  <c:v>24.600000000000058</c:v>
                </c:pt>
                <c:pt idx="305">
                  <c:v>24.70000000000006</c:v>
                </c:pt>
                <c:pt idx="306">
                  <c:v>24.800000000000061</c:v>
                </c:pt>
                <c:pt idx="307">
                  <c:v>24.900000000000063</c:v>
                </c:pt>
                <c:pt idx="308">
                  <c:v>25.000000000000064</c:v>
                </c:pt>
                <c:pt idx="309">
                  <c:v>25.100000000000065</c:v>
                </c:pt>
                <c:pt idx="310">
                  <c:v>25.200000000000067</c:v>
                </c:pt>
                <c:pt idx="311">
                  <c:v>25.300000000000068</c:v>
                </c:pt>
                <c:pt idx="312">
                  <c:v>25.40000000000007</c:v>
                </c:pt>
                <c:pt idx="313">
                  <c:v>25.500000000000071</c:v>
                </c:pt>
                <c:pt idx="314">
                  <c:v>25.600000000000072</c:v>
                </c:pt>
                <c:pt idx="315">
                  <c:v>25.700000000000074</c:v>
                </c:pt>
                <c:pt idx="316">
                  <c:v>25.800000000000075</c:v>
                </c:pt>
                <c:pt idx="317">
                  <c:v>25.900000000000077</c:v>
                </c:pt>
                <c:pt idx="318">
                  <c:v>26.000000000000078</c:v>
                </c:pt>
                <c:pt idx="319">
                  <c:v>26.10000000000008</c:v>
                </c:pt>
                <c:pt idx="320">
                  <c:v>26.200000000000081</c:v>
                </c:pt>
                <c:pt idx="321">
                  <c:v>26.300000000000082</c:v>
                </c:pt>
                <c:pt idx="322">
                  <c:v>26.400000000000084</c:v>
                </c:pt>
                <c:pt idx="323">
                  <c:v>26.500000000000085</c:v>
                </c:pt>
                <c:pt idx="324">
                  <c:v>26.600000000000087</c:v>
                </c:pt>
                <c:pt idx="325">
                  <c:v>26.700000000000088</c:v>
                </c:pt>
                <c:pt idx="326">
                  <c:v>26.80000000000009</c:v>
                </c:pt>
                <c:pt idx="327">
                  <c:v>26.900000000000091</c:v>
                </c:pt>
                <c:pt idx="328">
                  <c:v>27.000000000000092</c:v>
                </c:pt>
                <c:pt idx="329">
                  <c:v>27.100000000000094</c:v>
                </c:pt>
                <c:pt idx="330">
                  <c:v>27.200000000000095</c:v>
                </c:pt>
                <c:pt idx="331">
                  <c:v>27.300000000000097</c:v>
                </c:pt>
                <c:pt idx="332">
                  <c:v>27.400000000000098</c:v>
                </c:pt>
                <c:pt idx="333">
                  <c:v>27.500000000000099</c:v>
                </c:pt>
                <c:pt idx="334">
                  <c:v>27.600000000000101</c:v>
                </c:pt>
                <c:pt idx="335">
                  <c:v>27.700000000000102</c:v>
                </c:pt>
                <c:pt idx="336">
                  <c:v>27.800000000000104</c:v>
                </c:pt>
                <c:pt idx="337">
                  <c:v>27.900000000000105</c:v>
                </c:pt>
                <c:pt idx="338">
                  <c:v>28.000000000000107</c:v>
                </c:pt>
                <c:pt idx="339">
                  <c:v>28.100000000000108</c:v>
                </c:pt>
                <c:pt idx="340">
                  <c:v>28.200000000000109</c:v>
                </c:pt>
                <c:pt idx="341">
                  <c:v>28.300000000000111</c:v>
                </c:pt>
                <c:pt idx="342">
                  <c:v>28.400000000000112</c:v>
                </c:pt>
                <c:pt idx="343">
                  <c:v>28.500000000000114</c:v>
                </c:pt>
                <c:pt idx="344">
                  <c:v>28.600000000000115</c:v>
                </c:pt>
                <c:pt idx="345">
                  <c:v>28.700000000000117</c:v>
                </c:pt>
                <c:pt idx="346">
                  <c:v>28.800000000000118</c:v>
                </c:pt>
                <c:pt idx="347">
                  <c:v>28.900000000000119</c:v>
                </c:pt>
                <c:pt idx="348">
                  <c:v>29.000000000000121</c:v>
                </c:pt>
                <c:pt idx="349">
                  <c:v>29.100000000000122</c:v>
                </c:pt>
                <c:pt idx="350">
                  <c:v>29.200000000000124</c:v>
                </c:pt>
                <c:pt idx="351">
                  <c:v>29.300000000000125</c:v>
                </c:pt>
                <c:pt idx="352">
                  <c:v>29.400000000000126</c:v>
                </c:pt>
                <c:pt idx="353">
                  <c:v>29.500000000000128</c:v>
                </c:pt>
                <c:pt idx="354">
                  <c:v>29.600000000000129</c:v>
                </c:pt>
                <c:pt idx="355">
                  <c:v>29.700000000000131</c:v>
                </c:pt>
                <c:pt idx="356">
                  <c:v>29.800000000000132</c:v>
                </c:pt>
                <c:pt idx="357">
                  <c:v>29.900000000000134</c:v>
                </c:pt>
                <c:pt idx="358">
                  <c:v>30.000000000000135</c:v>
                </c:pt>
                <c:pt idx="359">
                  <c:v>30.100000000000136</c:v>
                </c:pt>
                <c:pt idx="360">
                  <c:v>30.200000000000138</c:v>
                </c:pt>
                <c:pt idx="361">
                  <c:v>30.300000000000139</c:v>
                </c:pt>
                <c:pt idx="362">
                  <c:v>30.400000000000141</c:v>
                </c:pt>
                <c:pt idx="363">
                  <c:v>30.500000000000142</c:v>
                </c:pt>
                <c:pt idx="364">
                  <c:v>30.600000000000144</c:v>
                </c:pt>
                <c:pt idx="365">
                  <c:v>30.700000000000145</c:v>
                </c:pt>
                <c:pt idx="366">
                  <c:v>30.800000000000146</c:v>
                </c:pt>
                <c:pt idx="367">
                  <c:v>30.900000000000148</c:v>
                </c:pt>
                <c:pt idx="368">
                  <c:v>31.000000000000149</c:v>
                </c:pt>
                <c:pt idx="369">
                  <c:v>31.100000000000151</c:v>
                </c:pt>
                <c:pt idx="370">
                  <c:v>31.200000000000152</c:v>
                </c:pt>
                <c:pt idx="371">
                  <c:v>31.300000000000153</c:v>
                </c:pt>
                <c:pt idx="372">
                  <c:v>31.400000000000155</c:v>
                </c:pt>
                <c:pt idx="373">
                  <c:v>31.500000000000156</c:v>
                </c:pt>
                <c:pt idx="374">
                  <c:v>31.600000000000158</c:v>
                </c:pt>
                <c:pt idx="375">
                  <c:v>31.700000000000159</c:v>
                </c:pt>
                <c:pt idx="376">
                  <c:v>31.800000000000161</c:v>
                </c:pt>
                <c:pt idx="377">
                  <c:v>31.900000000000162</c:v>
                </c:pt>
                <c:pt idx="378">
                  <c:v>32.000000000000163</c:v>
                </c:pt>
                <c:pt idx="379">
                  <c:v>32.100000000000165</c:v>
                </c:pt>
                <c:pt idx="380">
                  <c:v>32.200000000000166</c:v>
                </c:pt>
                <c:pt idx="381">
                  <c:v>32.300000000000168</c:v>
                </c:pt>
                <c:pt idx="382">
                  <c:v>32.400000000000169</c:v>
                </c:pt>
                <c:pt idx="383">
                  <c:v>32.500000000000171</c:v>
                </c:pt>
                <c:pt idx="384">
                  <c:v>32.500100000000174</c:v>
                </c:pt>
                <c:pt idx="385">
                  <c:v>32.500200000000177</c:v>
                </c:pt>
                <c:pt idx="386">
                  <c:v>32.50030000000018</c:v>
                </c:pt>
                <c:pt idx="387">
                  <c:v>32.500400000000184</c:v>
                </c:pt>
                <c:pt idx="388">
                  <c:v>32.500500000000187</c:v>
                </c:pt>
                <c:pt idx="389">
                  <c:v>32.50060000000019</c:v>
                </c:pt>
                <c:pt idx="390">
                  <c:v>32.500700000000194</c:v>
                </c:pt>
                <c:pt idx="391">
                  <c:v>32.500800000000197</c:v>
                </c:pt>
                <c:pt idx="392">
                  <c:v>32.5009000000002</c:v>
                </c:pt>
                <c:pt idx="393">
                  <c:v>32.501000000000204</c:v>
                </c:pt>
                <c:pt idx="394">
                  <c:v>32.501100000000207</c:v>
                </c:pt>
                <c:pt idx="395">
                  <c:v>32.50120000000021</c:v>
                </c:pt>
                <c:pt idx="396">
                  <c:v>32.501300000000214</c:v>
                </c:pt>
                <c:pt idx="397">
                  <c:v>32.501400000000217</c:v>
                </c:pt>
                <c:pt idx="398">
                  <c:v>32.50150000000022</c:v>
                </c:pt>
                <c:pt idx="399">
                  <c:v>32.501600000000224</c:v>
                </c:pt>
                <c:pt idx="400">
                  <c:v>32.501700000000227</c:v>
                </c:pt>
                <c:pt idx="401">
                  <c:v>32.50180000000023</c:v>
                </c:pt>
                <c:pt idx="402">
                  <c:v>32.501900000000234</c:v>
                </c:pt>
                <c:pt idx="403">
                  <c:v>32.502000000000237</c:v>
                </c:pt>
                <c:pt idx="404">
                  <c:v>32.50210000000024</c:v>
                </c:pt>
                <c:pt idx="405">
                  <c:v>32.502200000000244</c:v>
                </c:pt>
                <c:pt idx="406">
                  <c:v>32.502300000000247</c:v>
                </c:pt>
                <c:pt idx="407">
                  <c:v>32.50240000000025</c:v>
                </c:pt>
                <c:pt idx="408">
                  <c:v>32.502500000000254</c:v>
                </c:pt>
                <c:pt idx="409">
                  <c:v>32.502600000000257</c:v>
                </c:pt>
                <c:pt idx="410">
                  <c:v>32.50270000000026</c:v>
                </c:pt>
                <c:pt idx="411">
                  <c:v>32.502800000000263</c:v>
                </c:pt>
                <c:pt idx="412">
                  <c:v>32.502900000000267</c:v>
                </c:pt>
                <c:pt idx="413">
                  <c:v>32.50300000000027</c:v>
                </c:pt>
                <c:pt idx="414">
                  <c:v>32.503100000000273</c:v>
                </c:pt>
                <c:pt idx="415">
                  <c:v>32.503200000000277</c:v>
                </c:pt>
                <c:pt idx="416">
                  <c:v>32.50330000000028</c:v>
                </c:pt>
                <c:pt idx="417">
                  <c:v>32.503400000000283</c:v>
                </c:pt>
                <c:pt idx="418">
                  <c:v>32.503500000000287</c:v>
                </c:pt>
                <c:pt idx="419">
                  <c:v>32.50360000000029</c:v>
                </c:pt>
                <c:pt idx="420">
                  <c:v>32.503700000000293</c:v>
                </c:pt>
                <c:pt idx="421">
                  <c:v>32.503800000000297</c:v>
                </c:pt>
                <c:pt idx="422">
                  <c:v>32.5039000000003</c:v>
                </c:pt>
                <c:pt idx="423">
                  <c:v>32.504000000000303</c:v>
                </c:pt>
                <c:pt idx="424">
                  <c:v>32.504100000000307</c:v>
                </c:pt>
                <c:pt idx="425">
                  <c:v>32.50420000000031</c:v>
                </c:pt>
                <c:pt idx="426">
                  <c:v>32.504300000000313</c:v>
                </c:pt>
                <c:pt idx="427">
                  <c:v>32.504400000000317</c:v>
                </c:pt>
                <c:pt idx="428">
                  <c:v>32.50450000000032</c:v>
                </c:pt>
                <c:pt idx="429">
                  <c:v>32.504600000000323</c:v>
                </c:pt>
                <c:pt idx="430">
                  <c:v>32.504700000000327</c:v>
                </c:pt>
                <c:pt idx="431">
                  <c:v>32.50480000000033</c:v>
                </c:pt>
                <c:pt idx="432">
                  <c:v>32.504900000000333</c:v>
                </c:pt>
                <c:pt idx="433">
                  <c:v>32.505000000000337</c:v>
                </c:pt>
                <c:pt idx="434">
                  <c:v>32.50510000000034</c:v>
                </c:pt>
                <c:pt idx="435">
                  <c:v>32.505200000000343</c:v>
                </c:pt>
                <c:pt idx="436">
                  <c:v>32.505300000000346</c:v>
                </c:pt>
                <c:pt idx="437">
                  <c:v>32.50540000000035</c:v>
                </c:pt>
                <c:pt idx="438">
                  <c:v>32.505500000000353</c:v>
                </c:pt>
                <c:pt idx="439">
                  <c:v>32.505600000000356</c:v>
                </c:pt>
                <c:pt idx="440">
                  <c:v>32.50570000000036</c:v>
                </c:pt>
                <c:pt idx="441">
                  <c:v>32.505800000000363</c:v>
                </c:pt>
                <c:pt idx="442">
                  <c:v>32.505900000000366</c:v>
                </c:pt>
                <c:pt idx="443">
                  <c:v>32.50600000000037</c:v>
                </c:pt>
                <c:pt idx="444">
                  <c:v>32.506100000000373</c:v>
                </c:pt>
                <c:pt idx="445">
                  <c:v>32.506200000000376</c:v>
                </c:pt>
                <c:pt idx="446">
                  <c:v>32.50630000000038</c:v>
                </c:pt>
                <c:pt idx="447">
                  <c:v>32.506400000000383</c:v>
                </c:pt>
                <c:pt idx="448">
                  <c:v>32.506500000000386</c:v>
                </c:pt>
                <c:pt idx="449">
                  <c:v>32.50660000000039</c:v>
                </c:pt>
                <c:pt idx="450">
                  <c:v>32.506700000000393</c:v>
                </c:pt>
                <c:pt idx="451">
                  <c:v>32.506800000000396</c:v>
                </c:pt>
                <c:pt idx="452">
                  <c:v>32.5069000000004</c:v>
                </c:pt>
                <c:pt idx="453">
                  <c:v>32.507000000000403</c:v>
                </c:pt>
                <c:pt idx="454">
                  <c:v>32.507100000000406</c:v>
                </c:pt>
                <c:pt idx="455">
                  <c:v>32.50720000000041</c:v>
                </c:pt>
                <c:pt idx="456">
                  <c:v>32.507300000000413</c:v>
                </c:pt>
                <c:pt idx="457">
                  <c:v>32.507400000000416</c:v>
                </c:pt>
                <c:pt idx="458">
                  <c:v>32.50750000000042</c:v>
                </c:pt>
                <c:pt idx="459">
                  <c:v>32.507600000000423</c:v>
                </c:pt>
                <c:pt idx="460">
                  <c:v>32.507700000000426</c:v>
                </c:pt>
                <c:pt idx="461">
                  <c:v>32.507800000000429</c:v>
                </c:pt>
                <c:pt idx="462">
                  <c:v>32.507900000000433</c:v>
                </c:pt>
                <c:pt idx="463">
                  <c:v>32.508000000000436</c:v>
                </c:pt>
                <c:pt idx="464">
                  <c:v>32.508100000000439</c:v>
                </c:pt>
                <c:pt idx="465">
                  <c:v>32.508200000000443</c:v>
                </c:pt>
                <c:pt idx="466">
                  <c:v>32.508300000000446</c:v>
                </c:pt>
                <c:pt idx="467">
                  <c:v>32.508400000000449</c:v>
                </c:pt>
                <c:pt idx="468">
                  <c:v>32.508500000000453</c:v>
                </c:pt>
                <c:pt idx="469">
                  <c:v>32.508600000000456</c:v>
                </c:pt>
                <c:pt idx="470">
                  <c:v>32.508700000000459</c:v>
                </c:pt>
                <c:pt idx="471">
                  <c:v>32.508800000000463</c:v>
                </c:pt>
                <c:pt idx="472">
                  <c:v>32.508900000000466</c:v>
                </c:pt>
                <c:pt idx="473">
                  <c:v>32.509000000000469</c:v>
                </c:pt>
                <c:pt idx="474">
                  <c:v>32.509100000000473</c:v>
                </c:pt>
                <c:pt idx="475">
                  <c:v>32.509200000000476</c:v>
                </c:pt>
                <c:pt idx="476">
                  <c:v>32.509300000000479</c:v>
                </c:pt>
                <c:pt idx="477">
                  <c:v>32.509400000000483</c:v>
                </c:pt>
                <c:pt idx="478">
                  <c:v>32.509500000000486</c:v>
                </c:pt>
                <c:pt idx="479">
                  <c:v>32.509600000000489</c:v>
                </c:pt>
                <c:pt idx="480">
                  <c:v>32.509700000000493</c:v>
                </c:pt>
                <c:pt idx="481">
                  <c:v>32.509800000000496</c:v>
                </c:pt>
                <c:pt idx="482">
                  <c:v>32.509900000000499</c:v>
                </c:pt>
                <c:pt idx="483">
                  <c:v>32.510000000000502</c:v>
                </c:pt>
                <c:pt idx="484">
                  <c:v>32.510100000000506</c:v>
                </c:pt>
                <c:pt idx="485">
                  <c:v>32.510200000000509</c:v>
                </c:pt>
                <c:pt idx="486">
                  <c:v>32.510300000000512</c:v>
                </c:pt>
                <c:pt idx="487">
                  <c:v>32.510400000000516</c:v>
                </c:pt>
                <c:pt idx="488">
                  <c:v>32.510500000000519</c:v>
                </c:pt>
                <c:pt idx="489">
                  <c:v>32.510600000000522</c:v>
                </c:pt>
                <c:pt idx="490">
                  <c:v>32.510700000000526</c:v>
                </c:pt>
                <c:pt idx="491">
                  <c:v>32.510800000000529</c:v>
                </c:pt>
                <c:pt idx="492">
                  <c:v>32.510900000000532</c:v>
                </c:pt>
                <c:pt idx="493">
                  <c:v>32.511000000000536</c:v>
                </c:pt>
                <c:pt idx="494">
                  <c:v>32.511100000000539</c:v>
                </c:pt>
                <c:pt idx="495">
                  <c:v>32.511200000000542</c:v>
                </c:pt>
                <c:pt idx="496">
                  <c:v>32.511300000000546</c:v>
                </c:pt>
                <c:pt idx="497">
                  <c:v>32.511400000000549</c:v>
                </c:pt>
                <c:pt idx="498">
                  <c:v>32.511500000000552</c:v>
                </c:pt>
                <c:pt idx="499">
                  <c:v>32.511600000000556</c:v>
                </c:pt>
                <c:pt idx="500">
                  <c:v>32.511700000000559</c:v>
                </c:pt>
                <c:pt idx="501">
                  <c:v>32.511800000000562</c:v>
                </c:pt>
                <c:pt idx="502">
                  <c:v>32.511900000000566</c:v>
                </c:pt>
                <c:pt idx="503">
                  <c:v>32.512000000000569</c:v>
                </c:pt>
                <c:pt idx="504">
                  <c:v>32.512100000000572</c:v>
                </c:pt>
                <c:pt idx="505">
                  <c:v>32.512200000000576</c:v>
                </c:pt>
                <c:pt idx="506">
                  <c:v>32.512300000000579</c:v>
                </c:pt>
                <c:pt idx="507">
                  <c:v>32.512400000000582</c:v>
                </c:pt>
                <c:pt idx="508">
                  <c:v>32.512500000000585</c:v>
                </c:pt>
                <c:pt idx="509">
                  <c:v>32.512600000000589</c:v>
                </c:pt>
                <c:pt idx="510">
                  <c:v>32.512700000000592</c:v>
                </c:pt>
                <c:pt idx="511">
                  <c:v>32.512800000000595</c:v>
                </c:pt>
                <c:pt idx="512">
                  <c:v>32.512900000000599</c:v>
                </c:pt>
                <c:pt idx="513">
                  <c:v>32.513000000000602</c:v>
                </c:pt>
                <c:pt idx="514">
                  <c:v>32.513100000000605</c:v>
                </c:pt>
                <c:pt idx="515">
                  <c:v>32.513200000000609</c:v>
                </c:pt>
                <c:pt idx="516">
                  <c:v>32.513300000000612</c:v>
                </c:pt>
                <c:pt idx="517">
                  <c:v>32.513400000000615</c:v>
                </c:pt>
                <c:pt idx="518">
                  <c:v>32.513500000000619</c:v>
                </c:pt>
                <c:pt idx="519">
                  <c:v>32.513600000000622</c:v>
                </c:pt>
                <c:pt idx="520">
                  <c:v>32.513700000000625</c:v>
                </c:pt>
                <c:pt idx="521">
                  <c:v>32.513800000000629</c:v>
                </c:pt>
                <c:pt idx="522">
                  <c:v>32.513900000000632</c:v>
                </c:pt>
                <c:pt idx="523">
                  <c:v>32.514000000000635</c:v>
                </c:pt>
                <c:pt idx="524">
                  <c:v>32.514100000000639</c:v>
                </c:pt>
                <c:pt idx="525">
                  <c:v>32.514200000000642</c:v>
                </c:pt>
                <c:pt idx="526">
                  <c:v>32.514300000000645</c:v>
                </c:pt>
                <c:pt idx="527">
                  <c:v>32.514400000000649</c:v>
                </c:pt>
                <c:pt idx="528">
                  <c:v>32.514500000000652</c:v>
                </c:pt>
                <c:pt idx="529">
                  <c:v>32.514600000000655</c:v>
                </c:pt>
                <c:pt idx="530">
                  <c:v>32.514700000000659</c:v>
                </c:pt>
                <c:pt idx="531">
                  <c:v>32.514800000000662</c:v>
                </c:pt>
                <c:pt idx="532">
                  <c:v>32.514900000000665</c:v>
                </c:pt>
                <c:pt idx="533">
                  <c:v>32.515000000000668</c:v>
                </c:pt>
                <c:pt idx="534">
                  <c:v>32.515100000000672</c:v>
                </c:pt>
                <c:pt idx="535">
                  <c:v>32.515200000000675</c:v>
                </c:pt>
                <c:pt idx="536">
                  <c:v>32.515300000000678</c:v>
                </c:pt>
                <c:pt idx="537">
                  <c:v>32.515400000000682</c:v>
                </c:pt>
                <c:pt idx="538">
                  <c:v>32.515500000000685</c:v>
                </c:pt>
                <c:pt idx="539">
                  <c:v>32.515600000000688</c:v>
                </c:pt>
                <c:pt idx="540">
                  <c:v>32.515700000000692</c:v>
                </c:pt>
                <c:pt idx="541">
                  <c:v>32.515800000000695</c:v>
                </c:pt>
                <c:pt idx="542">
                  <c:v>32.515900000000698</c:v>
                </c:pt>
                <c:pt idx="543">
                  <c:v>32.516000000000702</c:v>
                </c:pt>
                <c:pt idx="544">
                  <c:v>32.516100000000705</c:v>
                </c:pt>
                <c:pt idx="545">
                  <c:v>32.516200000000708</c:v>
                </c:pt>
                <c:pt idx="546">
                  <c:v>32.516300000000712</c:v>
                </c:pt>
                <c:pt idx="547">
                  <c:v>32.516400000000715</c:v>
                </c:pt>
                <c:pt idx="548">
                  <c:v>32.516500000000718</c:v>
                </c:pt>
                <c:pt idx="549">
                  <c:v>32.516600000000722</c:v>
                </c:pt>
                <c:pt idx="550">
                  <c:v>32.516700000000725</c:v>
                </c:pt>
                <c:pt idx="551">
                  <c:v>32.516800000000728</c:v>
                </c:pt>
                <c:pt idx="552">
                  <c:v>32.516900000000732</c:v>
                </c:pt>
                <c:pt idx="553">
                  <c:v>32.517000000000735</c:v>
                </c:pt>
                <c:pt idx="554">
                  <c:v>32.517100000000738</c:v>
                </c:pt>
                <c:pt idx="555">
                  <c:v>32.517200000000742</c:v>
                </c:pt>
                <c:pt idx="556">
                  <c:v>32.517300000000745</c:v>
                </c:pt>
                <c:pt idx="557">
                  <c:v>32.517400000000748</c:v>
                </c:pt>
                <c:pt idx="558">
                  <c:v>32.517500000000751</c:v>
                </c:pt>
                <c:pt idx="559">
                  <c:v>32.517600000000755</c:v>
                </c:pt>
                <c:pt idx="560">
                  <c:v>32.517700000000758</c:v>
                </c:pt>
                <c:pt idx="561">
                  <c:v>32.517800000000761</c:v>
                </c:pt>
                <c:pt idx="562">
                  <c:v>32.517900000000765</c:v>
                </c:pt>
                <c:pt idx="563">
                  <c:v>32.518000000000768</c:v>
                </c:pt>
                <c:pt idx="564">
                  <c:v>32.518100000000771</c:v>
                </c:pt>
                <c:pt idx="565">
                  <c:v>32.518200000000775</c:v>
                </c:pt>
                <c:pt idx="566">
                  <c:v>32.518300000000778</c:v>
                </c:pt>
                <c:pt idx="567">
                  <c:v>32.518400000000781</c:v>
                </c:pt>
                <c:pt idx="568">
                  <c:v>32.518500000000785</c:v>
                </c:pt>
                <c:pt idx="569">
                  <c:v>32.518600000000788</c:v>
                </c:pt>
                <c:pt idx="570">
                  <c:v>32.518700000000791</c:v>
                </c:pt>
                <c:pt idx="571">
                  <c:v>32.518800000000795</c:v>
                </c:pt>
                <c:pt idx="572">
                  <c:v>32.518900000000798</c:v>
                </c:pt>
                <c:pt idx="573">
                  <c:v>32.519000000000801</c:v>
                </c:pt>
                <c:pt idx="574">
                  <c:v>32.519100000000805</c:v>
                </c:pt>
                <c:pt idx="575">
                  <c:v>32.519200000000808</c:v>
                </c:pt>
                <c:pt idx="576">
                  <c:v>32.519300000000811</c:v>
                </c:pt>
                <c:pt idx="577">
                  <c:v>32.519400000000815</c:v>
                </c:pt>
                <c:pt idx="578">
                  <c:v>32.519500000000818</c:v>
                </c:pt>
                <c:pt idx="579">
                  <c:v>32.519600000000821</c:v>
                </c:pt>
                <c:pt idx="580">
                  <c:v>32.519700000000825</c:v>
                </c:pt>
                <c:pt idx="581">
                  <c:v>32.519800000000828</c:v>
                </c:pt>
                <c:pt idx="582">
                  <c:v>32.519900000000831</c:v>
                </c:pt>
                <c:pt idx="583">
                  <c:v>32.520000000000834</c:v>
                </c:pt>
                <c:pt idx="584">
                  <c:v>32.520100000000838</c:v>
                </c:pt>
                <c:pt idx="585">
                  <c:v>32.520200000000841</c:v>
                </c:pt>
                <c:pt idx="586">
                  <c:v>32.520300000000844</c:v>
                </c:pt>
                <c:pt idx="587">
                  <c:v>32.520400000000848</c:v>
                </c:pt>
                <c:pt idx="588">
                  <c:v>32.520500000000851</c:v>
                </c:pt>
                <c:pt idx="589">
                  <c:v>32.520600000000854</c:v>
                </c:pt>
                <c:pt idx="590">
                  <c:v>32.520700000000858</c:v>
                </c:pt>
                <c:pt idx="591">
                  <c:v>32.520800000000861</c:v>
                </c:pt>
                <c:pt idx="592">
                  <c:v>32.520900000000864</c:v>
                </c:pt>
                <c:pt idx="593">
                  <c:v>32.521000000000868</c:v>
                </c:pt>
                <c:pt idx="594">
                  <c:v>32.521100000000871</c:v>
                </c:pt>
                <c:pt idx="595">
                  <c:v>32.521200000000874</c:v>
                </c:pt>
                <c:pt idx="596">
                  <c:v>32.521300000000878</c:v>
                </c:pt>
                <c:pt idx="597">
                  <c:v>32.521400000000881</c:v>
                </c:pt>
                <c:pt idx="598">
                  <c:v>32.521500000000884</c:v>
                </c:pt>
                <c:pt idx="599">
                  <c:v>32.521600000000888</c:v>
                </c:pt>
                <c:pt idx="600">
                  <c:v>32.521700000000891</c:v>
                </c:pt>
                <c:pt idx="601">
                  <c:v>32.521800000000894</c:v>
                </c:pt>
                <c:pt idx="602">
                  <c:v>32.521900000000898</c:v>
                </c:pt>
                <c:pt idx="603">
                  <c:v>32.522000000000901</c:v>
                </c:pt>
                <c:pt idx="604">
                  <c:v>32.522100000000904</c:v>
                </c:pt>
                <c:pt idx="605">
                  <c:v>32.522200000000907</c:v>
                </c:pt>
                <c:pt idx="606">
                  <c:v>32.522300000000911</c:v>
                </c:pt>
                <c:pt idx="607">
                  <c:v>32.522400000000914</c:v>
                </c:pt>
                <c:pt idx="608">
                  <c:v>32.522500000000917</c:v>
                </c:pt>
                <c:pt idx="609">
                  <c:v>32.522600000000921</c:v>
                </c:pt>
                <c:pt idx="610">
                  <c:v>32.522700000000924</c:v>
                </c:pt>
                <c:pt idx="611">
                  <c:v>32.522800000000927</c:v>
                </c:pt>
                <c:pt idx="612">
                  <c:v>32.522900000000931</c:v>
                </c:pt>
                <c:pt idx="613">
                  <c:v>32.523000000000934</c:v>
                </c:pt>
                <c:pt idx="614">
                  <c:v>32.523100000000937</c:v>
                </c:pt>
                <c:pt idx="615">
                  <c:v>32.523200000000941</c:v>
                </c:pt>
                <c:pt idx="616">
                  <c:v>32.523300000000944</c:v>
                </c:pt>
                <c:pt idx="617">
                  <c:v>32.523400000000947</c:v>
                </c:pt>
                <c:pt idx="618">
                  <c:v>32.523500000000951</c:v>
                </c:pt>
                <c:pt idx="619">
                  <c:v>32.523600000000954</c:v>
                </c:pt>
                <c:pt idx="620">
                  <c:v>32.523700000000957</c:v>
                </c:pt>
                <c:pt idx="621">
                  <c:v>32.523800000000961</c:v>
                </c:pt>
                <c:pt idx="622">
                  <c:v>32.523900000000964</c:v>
                </c:pt>
                <c:pt idx="623">
                  <c:v>32.524000000000967</c:v>
                </c:pt>
                <c:pt idx="624">
                  <c:v>32.524100000000971</c:v>
                </c:pt>
                <c:pt idx="625">
                  <c:v>32.524200000000974</c:v>
                </c:pt>
                <c:pt idx="626">
                  <c:v>32.524300000000977</c:v>
                </c:pt>
                <c:pt idx="627">
                  <c:v>32.524400000000981</c:v>
                </c:pt>
                <c:pt idx="628">
                  <c:v>32.524500000000984</c:v>
                </c:pt>
                <c:pt idx="629">
                  <c:v>32.524600000000987</c:v>
                </c:pt>
                <c:pt idx="630">
                  <c:v>32.52470000000099</c:v>
                </c:pt>
                <c:pt idx="631">
                  <c:v>32.524800000000994</c:v>
                </c:pt>
                <c:pt idx="632">
                  <c:v>32.524900000000997</c:v>
                </c:pt>
                <c:pt idx="633">
                  <c:v>32.525000000001</c:v>
                </c:pt>
                <c:pt idx="634">
                  <c:v>32.525100000001004</c:v>
                </c:pt>
                <c:pt idx="635">
                  <c:v>32.525200000001007</c:v>
                </c:pt>
                <c:pt idx="636">
                  <c:v>32.52530000000101</c:v>
                </c:pt>
                <c:pt idx="637">
                  <c:v>32.525400000001014</c:v>
                </c:pt>
                <c:pt idx="638">
                  <c:v>32.525500000001017</c:v>
                </c:pt>
                <c:pt idx="639">
                  <c:v>32.52560000000102</c:v>
                </c:pt>
                <c:pt idx="640">
                  <c:v>32.525700000001024</c:v>
                </c:pt>
                <c:pt idx="641">
                  <c:v>32.525800000001027</c:v>
                </c:pt>
                <c:pt idx="642">
                  <c:v>32.52590000000103</c:v>
                </c:pt>
                <c:pt idx="643">
                  <c:v>32.526000000001034</c:v>
                </c:pt>
                <c:pt idx="644">
                  <c:v>32.526100000001037</c:v>
                </c:pt>
                <c:pt idx="645">
                  <c:v>32.52620000000104</c:v>
                </c:pt>
                <c:pt idx="646">
                  <c:v>32.526300000001044</c:v>
                </c:pt>
                <c:pt idx="647">
                  <c:v>32.526400000001047</c:v>
                </c:pt>
                <c:pt idx="648">
                  <c:v>32.52650000000105</c:v>
                </c:pt>
                <c:pt idx="649">
                  <c:v>32.526600000001054</c:v>
                </c:pt>
                <c:pt idx="650">
                  <c:v>32.526700000001057</c:v>
                </c:pt>
                <c:pt idx="651">
                  <c:v>32.52680000000106</c:v>
                </c:pt>
                <c:pt idx="652">
                  <c:v>32.526900000001064</c:v>
                </c:pt>
                <c:pt idx="653">
                  <c:v>32.527000000001067</c:v>
                </c:pt>
                <c:pt idx="654">
                  <c:v>32.52710000000107</c:v>
                </c:pt>
                <c:pt idx="655">
                  <c:v>32.527200000001073</c:v>
                </c:pt>
                <c:pt idx="656">
                  <c:v>32.527300000001077</c:v>
                </c:pt>
                <c:pt idx="657">
                  <c:v>32.52740000000108</c:v>
                </c:pt>
                <c:pt idx="658">
                  <c:v>32.527500000001083</c:v>
                </c:pt>
                <c:pt idx="659">
                  <c:v>32.527600000001087</c:v>
                </c:pt>
                <c:pt idx="660">
                  <c:v>32.52770000000109</c:v>
                </c:pt>
                <c:pt idx="661">
                  <c:v>32.527800000001093</c:v>
                </c:pt>
                <c:pt idx="662">
                  <c:v>32.527900000001097</c:v>
                </c:pt>
                <c:pt idx="663">
                  <c:v>32.5280000000011</c:v>
                </c:pt>
                <c:pt idx="664">
                  <c:v>32.528100000001103</c:v>
                </c:pt>
                <c:pt idx="665">
                  <c:v>32.528200000001107</c:v>
                </c:pt>
                <c:pt idx="666">
                  <c:v>32.52830000000111</c:v>
                </c:pt>
                <c:pt idx="667">
                  <c:v>32.528400000001113</c:v>
                </c:pt>
                <c:pt idx="668">
                  <c:v>32.528500000001117</c:v>
                </c:pt>
                <c:pt idx="669">
                  <c:v>32.52860000000112</c:v>
                </c:pt>
                <c:pt idx="670">
                  <c:v>32.528700000001123</c:v>
                </c:pt>
                <c:pt idx="671">
                  <c:v>32.528800000001127</c:v>
                </c:pt>
                <c:pt idx="672">
                  <c:v>32.52890000000113</c:v>
                </c:pt>
                <c:pt idx="673">
                  <c:v>32.529000000001133</c:v>
                </c:pt>
                <c:pt idx="674">
                  <c:v>32.529100000001137</c:v>
                </c:pt>
                <c:pt idx="675">
                  <c:v>32.52920000000114</c:v>
                </c:pt>
                <c:pt idx="676">
                  <c:v>32.529300000001143</c:v>
                </c:pt>
                <c:pt idx="677">
                  <c:v>32.529400000001147</c:v>
                </c:pt>
                <c:pt idx="678">
                  <c:v>32.52950000000115</c:v>
                </c:pt>
                <c:pt idx="679">
                  <c:v>32.529600000001153</c:v>
                </c:pt>
                <c:pt idx="680">
                  <c:v>32.529700000001156</c:v>
                </c:pt>
                <c:pt idx="681">
                  <c:v>32.52980000000116</c:v>
                </c:pt>
                <c:pt idx="682">
                  <c:v>32.529900000001163</c:v>
                </c:pt>
                <c:pt idx="683">
                  <c:v>32.530000000001166</c:v>
                </c:pt>
                <c:pt idx="684">
                  <c:v>32.53010000000117</c:v>
                </c:pt>
                <c:pt idx="685">
                  <c:v>32.530200000001173</c:v>
                </c:pt>
                <c:pt idx="686">
                  <c:v>32.530300000001176</c:v>
                </c:pt>
                <c:pt idx="687">
                  <c:v>32.53040000000118</c:v>
                </c:pt>
                <c:pt idx="688">
                  <c:v>32.530500000001183</c:v>
                </c:pt>
                <c:pt idx="689">
                  <c:v>32.530600000001186</c:v>
                </c:pt>
                <c:pt idx="690">
                  <c:v>32.53070000000119</c:v>
                </c:pt>
                <c:pt idx="691">
                  <c:v>32.530800000001193</c:v>
                </c:pt>
                <c:pt idx="692">
                  <c:v>32.530900000001196</c:v>
                </c:pt>
                <c:pt idx="693">
                  <c:v>32.5310000000012</c:v>
                </c:pt>
                <c:pt idx="694">
                  <c:v>32.531100000001203</c:v>
                </c:pt>
                <c:pt idx="695">
                  <c:v>32.531200000001206</c:v>
                </c:pt>
                <c:pt idx="696">
                  <c:v>32.53130000000121</c:v>
                </c:pt>
                <c:pt idx="697">
                  <c:v>32.531400000001213</c:v>
                </c:pt>
                <c:pt idx="698">
                  <c:v>32.531500000001216</c:v>
                </c:pt>
                <c:pt idx="699">
                  <c:v>32.53160000000122</c:v>
                </c:pt>
                <c:pt idx="700">
                  <c:v>32.531700000001223</c:v>
                </c:pt>
                <c:pt idx="701">
                  <c:v>32.531800000001226</c:v>
                </c:pt>
                <c:pt idx="702">
                  <c:v>32.53190000000123</c:v>
                </c:pt>
                <c:pt idx="703">
                  <c:v>32.532000000001233</c:v>
                </c:pt>
                <c:pt idx="704">
                  <c:v>32.532100000001236</c:v>
                </c:pt>
                <c:pt idx="705">
                  <c:v>32.532200000001239</c:v>
                </c:pt>
                <c:pt idx="706">
                  <c:v>32.532300000001243</c:v>
                </c:pt>
                <c:pt idx="707">
                  <c:v>32.532400000001246</c:v>
                </c:pt>
                <c:pt idx="708">
                  <c:v>32.532500000001249</c:v>
                </c:pt>
                <c:pt idx="709">
                  <c:v>32.532600000001253</c:v>
                </c:pt>
                <c:pt idx="710">
                  <c:v>32.532700000001256</c:v>
                </c:pt>
                <c:pt idx="711">
                  <c:v>32.532800000001259</c:v>
                </c:pt>
                <c:pt idx="712">
                  <c:v>32.532900000001263</c:v>
                </c:pt>
                <c:pt idx="713">
                  <c:v>32.533000000001266</c:v>
                </c:pt>
                <c:pt idx="714">
                  <c:v>32.533100000001269</c:v>
                </c:pt>
                <c:pt idx="715">
                  <c:v>32.533200000001273</c:v>
                </c:pt>
                <c:pt idx="716">
                  <c:v>32.533300000001276</c:v>
                </c:pt>
                <c:pt idx="717">
                  <c:v>32.533400000001279</c:v>
                </c:pt>
                <c:pt idx="718">
                  <c:v>32.533500000001283</c:v>
                </c:pt>
                <c:pt idx="719">
                  <c:v>32.533600000001286</c:v>
                </c:pt>
                <c:pt idx="720">
                  <c:v>32.533700000001289</c:v>
                </c:pt>
                <c:pt idx="721">
                  <c:v>32.533800000001293</c:v>
                </c:pt>
                <c:pt idx="722">
                  <c:v>32.533900000001296</c:v>
                </c:pt>
                <c:pt idx="723">
                  <c:v>32.534000000001299</c:v>
                </c:pt>
                <c:pt idx="724">
                  <c:v>32.534100000001303</c:v>
                </c:pt>
                <c:pt idx="725">
                  <c:v>32.534200000001306</c:v>
                </c:pt>
                <c:pt idx="726">
                  <c:v>32.534300000001309</c:v>
                </c:pt>
                <c:pt idx="727">
                  <c:v>32.534400000001312</c:v>
                </c:pt>
                <c:pt idx="728">
                  <c:v>32.534500000001316</c:v>
                </c:pt>
                <c:pt idx="729">
                  <c:v>32.534600000001319</c:v>
                </c:pt>
                <c:pt idx="730">
                  <c:v>32.534700000001322</c:v>
                </c:pt>
                <c:pt idx="731">
                  <c:v>32.534800000001326</c:v>
                </c:pt>
                <c:pt idx="732">
                  <c:v>32.534900000001329</c:v>
                </c:pt>
                <c:pt idx="733">
                  <c:v>32.535000000001332</c:v>
                </c:pt>
                <c:pt idx="734">
                  <c:v>32.535100000001336</c:v>
                </c:pt>
                <c:pt idx="735">
                  <c:v>32.535200000001339</c:v>
                </c:pt>
                <c:pt idx="736">
                  <c:v>32.535300000001342</c:v>
                </c:pt>
                <c:pt idx="737">
                  <c:v>32.535400000001346</c:v>
                </c:pt>
                <c:pt idx="738">
                  <c:v>32.535500000001349</c:v>
                </c:pt>
                <c:pt idx="739">
                  <c:v>32.535600000001352</c:v>
                </c:pt>
                <c:pt idx="740">
                  <c:v>32.535700000001356</c:v>
                </c:pt>
                <c:pt idx="741">
                  <c:v>32.535800000001359</c:v>
                </c:pt>
                <c:pt idx="742">
                  <c:v>32.535900000001362</c:v>
                </c:pt>
                <c:pt idx="743">
                  <c:v>32.536000000001366</c:v>
                </c:pt>
                <c:pt idx="744">
                  <c:v>32.536100000001369</c:v>
                </c:pt>
                <c:pt idx="745">
                  <c:v>32.536200000001372</c:v>
                </c:pt>
                <c:pt idx="746">
                  <c:v>32.536300000001376</c:v>
                </c:pt>
                <c:pt idx="747">
                  <c:v>32.536400000001379</c:v>
                </c:pt>
                <c:pt idx="748">
                  <c:v>32.536500000001382</c:v>
                </c:pt>
                <c:pt idx="749">
                  <c:v>32.536600000001386</c:v>
                </c:pt>
                <c:pt idx="750">
                  <c:v>32.536700000001389</c:v>
                </c:pt>
                <c:pt idx="751">
                  <c:v>32.536800000001392</c:v>
                </c:pt>
                <c:pt idx="752">
                  <c:v>32.536900000001395</c:v>
                </c:pt>
                <c:pt idx="753">
                  <c:v>32.537000000001399</c:v>
                </c:pt>
                <c:pt idx="754">
                  <c:v>32.537100000001402</c:v>
                </c:pt>
                <c:pt idx="755">
                  <c:v>32.537200000001405</c:v>
                </c:pt>
                <c:pt idx="756">
                  <c:v>32.537300000001409</c:v>
                </c:pt>
                <c:pt idx="757">
                  <c:v>32.537400000001412</c:v>
                </c:pt>
                <c:pt idx="758">
                  <c:v>32.537500000001415</c:v>
                </c:pt>
                <c:pt idx="759">
                  <c:v>32.537600000001419</c:v>
                </c:pt>
                <c:pt idx="760">
                  <c:v>32.537700000001422</c:v>
                </c:pt>
                <c:pt idx="761">
                  <c:v>32.537800000001425</c:v>
                </c:pt>
                <c:pt idx="762">
                  <c:v>32.537900000001429</c:v>
                </c:pt>
                <c:pt idx="763">
                  <c:v>32.538000000001432</c:v>
                </c:pt>
                <c:pt idx="764">
                  <c:v>32.538100000001435</c:v>
                </c:pt>
                <c:pt idx="765">
                  <c:v>32.538200000001439</c:v>
                </c:pt>
                <c:pt idx="766">
                  <c:v>32.538300000001442</c:v>
                </c:pt>
                <c:pt idx="767">
                  <c:v>32.538400000001445</c:v>
                </c:pt>
                <c:pt idx="768">
                  <c:v>32.538500000001449</c:v>
                </c:pt>
                <c:pt idx="769">
                  <c:v>32.538600000001452</c:v>
                </c:pt>
                <c:pt idx="770">
                  <c:v>32.538700000001455</c:v>
                </c:pt>
                <c:pt idx="771">
                  <c:v>32.538800000001459</c:v>
                </c:pt>
                <c:pt idx="772">
                  <c:v>32.538900000001462</c:v>
                </c:pt>
                <c:pt idx="773">
                  <c:v>32.539000000001465</c:v>
                </c:pt>
                <c:pt idx="774">
                  <c:v>32.539100000001469</c:v>
                </c:pt>
                <c:pt idx="775">
                  <c:v>32.539200000001472</c:v>
                </c:pt>
                <c:pt idx="776">
                  <c:v>32.539300000001475</c:v>
                </c:pt>
                <c:pt idx="777">
                  <c:v>32.539400000001478</c:v>
                </c:pt>
                <c:pt idx="778">
                  <c:v>32.539500000001482</c:v>
                </c:pt>
                <c:pt idx="779">
                  <c:v>32.539600000001485</c:v>
                </c:pt>
                <c:pt idx="780">
                  <c:v>32.539700000001488</c:v>
                </c:pt>
                <c:pt idx="781">
                  <c:v>32.539800000001492</c:v>
                </c:pt>
                <c:pt idx="782">
                  <c:v>32.539900000001495</c:v>
                </c:pt>
                <c:pt idx="783">
                  <c:v>32.540000000001498</c:v>
                </c:pt>
                <c:pt idx="784">
                  <c:v>32.540100000001502</c:v>
                </c:pt>
                <c:pt idx="785">
                  <c:v>32.540200000001505</c:v>
                </c:pt>
                <c:pt idx="786">
                  <c:v>32.540300000001508</c:v>
                </c:pt>
                <c:pt idx="787">
                  <c:v>32.540400000001512</c:v>
                </c:pt>
                <c:pt idx="788">
                  <c:v>32.540500000001515</c:v>
                </c:pt>
                <c:pt idx="789">
                  <c:v>32.540600000001518</c:v>
                </c:pt>
                <c:pt idx="790">
                  <c:v>32.540700000001522</c:v>
                </c:pt>
                <c:pt idx="791">
                  <c:v>32.540800000001525</c:v>
                </c:pt>
                <c:pt idx="792">
                  <c:v>32.540900000001528</c:v>
                </c:pt>
                <c:pt idx="793">
                  <c:v>32.541000000001532</c:v>
                </c:pt>
                <c:pt idx="794">
                  <c:v>32.541100000001535</c:v>
                </c:pt>
                <c:pt idx="795">
                  <c:v>32.541200000001538</c:v>
                </c:pt>
                <c:pt idx="796">
                  <c:v>32.541300000001542</c:v>
                </c:pt>
                <c:pt idx="797">
                  <c:v>32.541400000001545</c:v>
                </c:pt>
                <c:pt idx="798">
                  <c:v>32.541500000001548</c:v>
                </c:pt>
                <c:pt idx="799">
                  <c:v>32.541600000001552</c:v>
                </c:pt>
                <c:pt idx="800">
                  <c:v>32.541700000001555</c:v>
                </c:pt>
                <c:pt idx="801">
                  <c:v>32.541800000001558</c:v>
                </c:pt>
                <c:pt idx="802">
                  <c:v>32.541900000001561</c:v>
                </c:pt>
                <c:pt idx="803">
                  <c:v>32.542000000001565</c:v>
                </c:pt>
                <c:pt idx="804">
                  <c:v>32.542100000001568</c:v>
                </c:pt>
                <c:pt idx="805">
                  <c:v>32.542200000001571</c:v>
                </c:pt>
                <c:pt idx="806">
                  <c:v>32.542300000001575</c:v>
                </c:pt>
                <c:pt idx="807">
                  <c:v>32.542400000001578</c:v>
                </c:pt>
                <c:pt idx="808">
                  <c:v>32.542500000001581</c:v>
                </c:pt>
                <c:pt idx="809">
                  <c:v>32.542600000001585</c:v>
                </c:pt>
                <c:pt idx="810">
                  <c:v>32.542700000001588</c:v>
                </c:pt>
                <c:pt idx="811">
                  <c:v>32.542800000001591</c:v>
                </c:pt>
                <c:pt idx="812">
                  <c:v>32.542900000001595</c:v>
                </c:pt>
                <c:pt idx="813">
                  <c:v>32.543000000001598</c:v>
                </c:pt>
                <c:pt idx="814">
                  <c:v>32.543100000001601</c:v>
                </c:pt>
                <c:pt idx="815">
                  <c:v>32.543200000001605</c:v>
                </c:pt>
                <c:pt idx="816">
                  <c:v>32.543300000001608</c:v>
                </c:pt>
                <c:pt idx="817">
                  <c:v>32.543400000001611</c:v>
                </c:pt>
                <c:pt idx="818">
                  <c:v>32.543500000001615</c:v>
                </c:pt>
                <c:pt idx="819">
                  <c:v>32.543600000001618</c:v>
                </c:pt>
                <c:pt idx="820">
                  <c:v>32.543700000001621</c:v>
                </c:pt>
                <c:pt idx="821">
                  <c:v>32.543800000001625</c:v>
                </c:pt>
                <c:pt idx="822">
                  <c:v>32.543900000001628</c:v>
                </c:pt>
                <c:pt idx="823">
                  <c:v>32.544000000001631</c:v>
                </c:pt>
                <c:pt idx="824">
                  <c:v>32.544100000001634</c:v>
                </c:pt>
                <c:pt idx="825">
                  <c:v>32.544200000001638</c:v>
                </c:pt>
                <c:pt idx="826">
                  <c:v>32.544300000001641</c:v>
                </c:pt>
                <c:pt idx="827">
                  <c:v>32.544400000001644</c:v>
                </c:pt>
                <c:pt idx="828">
                  <c:v>32.544500000001648</c:v>
                </c:pt>
                <c:pt idx="829">
                  <c:v>32.544600000001651</c:v>
                </c:pt>
                <c:pt idx="830">
                  <c:v>32.544700000001654</c:v>
                </c:pt>
                <c:pt idx="831">
                  <c:v>32.544800000001658</c:v>
                </c:pt>
                <c:pt idx="832">
                  <c:v>32.544900000001661</c:v>
                </c:pt>
                <c:pt idx="833">
                  <c:v>32.545000000001664</c:v>
                </c:pt>
                <c:pt idx="834">
                  <c:v>32.545100000001668</c:v>
                </c:pt>
                <c:pt idx="835">
                  <c:v>32.545200000001671</c:v>
                </c:pt>
                <c:pt idx="836">
                  <c:v>32.545300000001674</c:v>
                </c:pt>
                <c:pt idx="837">
                  <c:v>32.545400000001678</c:v>
                </c:pt>
                <c:pt idx="838">
                  <c:v>32.545500000001681</c:v>
                </c:pt>
                <c:pt idx="839">
                  <c:v>32.545600000001684</c:v>
                </c:pt>
                <c:pt idx="840">
                  <c:v>32.545700000001688</c:v>
                </c:pt>
                <c:pt idx="841">
                  <c:v>32.545800000001691</c:v>
                </c:pt>
                <c:pt idx="842">
                  <c:v>32.545900000001694</c:v>
                </c:pt>
                <c:pt idx="843">
                  <c:v>32.546000000001698</c:v>
                </c:pt>
                <c:pt idx="844">
                  <c:v>32.546100000001701</c:v>
                </c:pt>
                <c:pt idx="845">
                  <c:v>32.546200000001704</c:v>
                </c:pt>
                <c:pt idx="846">
                  <c:v>32.546300000001708</c:v>
                </c:pt>
                <c:pt idx="847">
                  <c:v>32.546400000001711</c:v>
                </c:pt>
                <c:pt idx="848">
                  <c:v>32.546500000001714</c:v>
                </c:pt>
                <c:pt idx="849">
                  <c:v>32.546600000001717</c:v>
                </c:pt>
                <c:pt idx="850">
                  <c:v>32.546700000001721</c:v>
                </c:pt>
                <c:pt idx="851">
                  <c:v>32.546800000001724</c:v>
                </c:pt>
                <c:pt idx="852">
                  <c:v>32.546900000001727</c:v>
                </c:pt>
                <c:pt idx="853">
                  <c:v>32.547000000001731</c:v>
                </c:pt>
                <c:pt idx="854">
                  <c:v>32.547100000001734</c:v>
                </c:pt>
                <c:pt idx="855">
                  <c:v>32.547200000001737</c:v>
                </c:pt>
                <c:pt idx="856">
                  <c:v>32.547300000001741</c:v>
                </c:pt>
                <c:pt idx="857">
                  <c:v>32.547400000001744</c:v>
                </c:pt>
                <c:pt idx="858">
                  <c:v>32.547500000001747</c:v>
                </c:pt>
                <c:pt idx="859">
                  <c:v>32.547600000001751</c:v>
                </c:pt>
                <c:pt idx="860">
                  <c:v>32.547700000001754</c:v>
                </c:pt>
                <c:pt idx="861">
                  <c:v>32.547800000001757</c:v>
                </c:pt>
                <c:pt idx="862">
                  <c:v>32.547900000001761</c:v>
                </c:pt>
                <c:pt idx="863">
                  <c:v>32.548000000001764</c:v>
                </c:pt>
                <c:pt idx="864">
                  <c:v>32.548100000001767</c:v>
                </c:pt>
                <c:pt idx="865">
                  <c:v>32.548200000001771</c:v>
                </c:pt>
                <c:pt idx="866">
                  <c:v>32.548300000001774</c:v>
                </c:pt>
                <c:pt idx="867">
                  <c:v>32.548400000001777</c:v>
                </c:pt>
                <c:pt idx="868">
                  <c:v>32.548500000001781</c:v>
                </c:pt>
                <c:pt idx="869">
                  <c:v>32.548600000001784</c:v>
                </c:pt>
                <c:pt idx="870">
                  <c:v>32.548700000001787</c:v>
                </c:pt>
                <c:pt idx="871">
                  <c:v>32.548800000001791</c:v>
                </c:pt>
                <c:pt idx="872">
                  <c:v>32.548900000001794</c:v>
                </c:pt>
                <c:pt idx="873">
                  <c:v>32.549000000001797</c:v>
                </c:pt>
                <c:pt idx="874">
                  <c:v>32.5491000000018</c:v>
                </c:pt>
                <c:pt idx="875">
                  <c:v>32.549200000001804</c:v>
                </c:pt>
                <c:pt idx="876">
                  <c:v>32.549300000001807</c:v>
                </c:pt>
                <c:pt idx="877">
                  <c:v>32.54940000000181</c:v>
                </c:pt>
                <c:pt idx="878">
                  <c:v>32.549500000001814</c:v>
                </c:pt>
                <c:pt idx="879">
                  <c:v>32.549600000001817</c:v>
                </c:pt>
                <c:pt idx="880">
                  <c:v>32.54970000000182</c:v>
                </c:pt>
                <c:pt idx="881">
                  <c:v>32.549800000001824</c:v>
                </c:pt>
                <c:pt idx="882">
                  <c:v>32.549900000001827</c:v>
                </c:pt>
                <c:pt idx="883">
                  <c:v>32.55000000000183</c:v>
                </c:pt>
                <c:pt idx="884">
                  <c:v>32.550100000001834</c:v>
                </c:pt>
                <c:pt idx="885">
                  <c:v>32.550200000001837</c:v>
                </c:pt>
                <c:pt idx="886">
                  <c:v>32.55030000000184</c:v>
                </c:pt>
                <c:pt idx="887">
                  <c:v>32.550400000001844</c:v>
                </c:pt>
                <c:pt idx="888">
                  <c:v>32.550500000001847</c:v>
                </c:pt>
                <c:pt idx="889">
                  <c:v>32.55060000000185</c:v>
                </c:pt>
                <c:pt idx="890">
                  <c:v>32.550700000001854</c:v>
                </c:pt>
                <c:pt idx="891">
                  <c:v>32.550800000001857</c:v>
                </c:pt>
                <c:pt idx="892">
                  <c:v>32.55090000000186</c:v>
                </c:pt>
                <c:pt idx="893">
                  <c:v>32.551000000001864</c:v>
                </c:pt>
                <c:pt idx="894">
                  <c:v>32.551100000001867</c:v>
                </c:pt>
                <c:pt idx="895">
                  <c:v>32.55120000000187</c:v>
                </c:pt>
                <c:pt idx="896">
                  <c:v>32.551300000001874</c:v>
                </c:pt>
                <c:pt idx="897">
                  <c:v>32.551400000001877</c:v>
                </c:pt>
                <c:pt idx="898">
                  <c:v>32.55150000000188</c:v>
                </c:pt>
                <c:pt idx="899">
                  <c:v>32.551600000001883</c:v>
                </c:pt>
                <c:pt idx="900">
                  <c:v>32.551700000001887</c:v>
                </c:pt>
                <c:pt idx="901">
                  <c:v>32.55180000000189</c:v>
                </c:pt>
                <c:pt idx="902">
                  <c:v>32.551900000001893</c:v>
                </c:pt>
                <c:pt idx="903">
                  <c:v>32.552000000001897</c:v>
                </c:pt>
                <c:pt idx="904">
                  <c:v>32.5521000000019</c:v>
                </c:pt>
                <c:pt idx="905">
                  <c:v>32.552200000001903</c:v>
                </c:pt>
                <c:pt idx="906">
                  <c:v>32.552300000001907</c:v>
                </c:pt>
                <c:pt idx="907">
                  <c:v>32.55240000000191</c:v>
                </c:pt>
                <c:pt idx="908">
                  <c:v>32.552500000001913</c:v>
                </c:pt>
                <c:pt idx="909">
                  <c:v>32.552600000001917</c:v>
                </c:pt>
                <c:pt idx="910">
                  <c:v>32.55270000000192</c:v>
                </c:pt>
                <c:pt idx="911">
                  <c:v>32.552800000001923</c:v>
                </c:pt>
                <c:pt idx="912">
                  <c:v>32.552900000001927</c:v>
                </c:pt>
                <c:pt idx="913">
                  <c:v>32.55300000000193</c:v>
                </c:pt>
                <c:pt idx="914">
                  <c:v>32.553100000001933</c:v>
                </c:pt>
                <c:pt idx="915">
                  <c:v>32.553200000001937</c:v>
                </c:pt>
                <c:pt idx="916">
                  <c:v>32.55330000000194</c:v>
                </c:pt>
                <c:pt idx="917">
                  <c:v>32.553400000001943</c:v>
                </c:pt>
                <c:pt idx="918">
                  <c:v>32.553500000001947</c:v>
                </c:pt>
                <c:pt idx="919">
                  <c:v>32.55360000000195</c:v>
                </c:pt>
                <c:pt idx="920">
                  <c:v>32.553700000001953</c:v>
                </c:pt>
                <c:pt idx="921">
                  <c:v>32.553800000001957</c:v>
                </c:pt>
                <c:pt idx="922">
                  <c:v>32.55390000000196</c:v>
                </c:pt>
                <c:pt idx="923">
                  <c:v>32.554000000001963</c:v>
                </c:pt>
                <c:pt idx="924">
                  <c:v>32.554100000001966</c:v>
                </c:pt>
                <c:pt idx="925">
                  <c:v>32.55420000000197</c:v>
                </c:pt>
                <c:pt idx="926">
                  <c:v>32.554300000001973</c:v>
                </c:pt>
                <c:pt idx="927">
                  <c:v>32.554400000001976</c:v>
                </c:pt>
                <c:pt idx="928">
                  <c:v>32.55450000000198</c:v>
                </c:pt>
                <c:pt idx="929">
                  <c:v>32.554600000001983</c:v>
                </c:pt>
                <c:pt idx="930">
                  <c:v>32.554700000001986</c:v>
                </c:pt>
                <c:pt idx="931">
                  <c:v>32.55480000000199</c:v>
                </c:pt>
                <c:pt idx="932">
                  <c:v>32.554900000001993</c:v>
                </c:pt>
                <c:pt idx="933">
                  <c:v>32.555000000001996</c:v>
                </c:pt>
                <c:pt idx="934">
                  <c:v>32.555100000002</c:v>
                </c:pt>
                <c:pt idx="935">
                  <c:v>32.555200000002003</c:v>
                </c:pt>
                <c:pt idx="936">
                  <c:v>32.555300000002006</c:v>
                </c:pt>
                <c:pt idx="937">
                  <c:v>32.55540000000201</c:v>
                </c:pt>
                <c:pt idx="938">
                  <c:v>32.555500000002013</c:v>
                </c:pt>
                <c:pt idx="939">
                  <c:v>32.555600000002016</c:v>
                </c:pt>
                <c:pt idx="940">
                  <c:v>32.55570000000202</c:v>
                </c:pt>
                <c:pt idx="941">
                  <c:v>32.555800000002023</c:v>
                </c:pt>
                <c:pt idx="942">
                  <c:v>32.555900000002026</c:v>
                </c:pt>
                <c:pt idx="943">
                  <c:v>32.55600000000203</c:v>
                </c:pt>
                <c:pt idx="944">
                  <c:v>32.556100000002033</c:v>
                </c:pt>
                <c:pt idx="945">
                  <c:v>32.556200000002036</c:v>
                </c:pt>
                <c:pt idx="946">
                  <c:v>32.556300000002039</c:v>
                </c:pt>
                <c:pt idx="947">
                  <c:v>32.556400000002043</c:v>
                </c:pt>
                <c:pt idx="948">
                  <c:v>32.556500000002046</c:v>
                </c:pt>
                <c:pt idx="949">
                  <c:v>32.556600000002049</c:v>
                </c:pt>
                <c:pt idx="950">
                  <c:v>32.556700000002053</c:v>
                </c:pt>
                <c:pt idx="951">
                  <c:v>32.556800000002056</c:v>
                </c:pt>
                <c:pt idx="952">
                  <c:v>32.556900000002059</c:v>
                </c:pt>
                <c:pt idx="953">
                  <c:v>32.557000000002063</c:v>
                </c:pt>
                <c:pt idx="954">
                  <c:v>32.557100000002066</c:v>
                </c:pt>
                <c:pt idx="955">
                  <c:v>32.557200000002069</c:v>
                </c:pt>
                <c:pt idx="956">
                  <c:v>32.557300000002073</c:v>
                </c:pt>
                <c:pt idx="957">
                  <c:v>32.557400000002076</c:v>
                </c:pt>
                <c:pt idx="958">
                  <c:v>32.557500000002079</c:v>
                </c:pt>
                <c:pt idx="959">
                  <c:v>32.557600000002083</c:v>
                </c:pt>
                <c:pt idx="960">
                  <c:v>32.557700000002086</c:v>
                </c:pt>
                <c:pt idx="961">
                  <c:v>32.557800000002089</c:v>
                </c:pt>
                <c:pt idx="962">
                  <c:v>32.557900000002093</c:v>
                </c:pt>
                <c:pt idx="963">
                  <c:v>32.558000000002096</c:v>
                </c:pt>
                <c:pt idx="964">
                  <c:v>32.558100000002099</c:v>
                </c:pt>
                <c:pt idx="965">
                  <c:v>32.558200000002103</c:v>
                </c:pt>
                <c:pt idx="966">
                  <c:v>32.558300000002106</c:v>
                </c:pt>
                <c:pt idx="967">
                  <c:v>32.558400000002109</c:v>
                </c:pt>
                <c:pt idx="968">
                  <c:v>32.558500000002113</c:v>
                </c:pt>
                <c:pt idx="969">
                  <c:v>32.558600000002116</c:v>
                </c:pt>
                <c:pt idx="970">
                  <c:v>32.558700000002119</c:v>
                </c:pt>
                <c:pt idx="971">
                  <c:v>32.558800000002122</c:v>
                </c:pt>
                <c:pt idx="972">
                  <c:v>32.558900000002126</c:v>
                </c:pt>
                <c:pt idx="973">
                  <c:v>32.559000000002129</c:v>
                </c:pt>
                <c:pt idx="974">
                  <c:v>32.559100000002132</c:v>
                </c:pt>
                <c:pt idx="975">
                  <c:v>32.559200000002136</c:v>
                </c:pt>
                <c:pt idx="976">
                  <c:v>32.559300000002139</c:v>
                </c:pt>
                <c:pt idx="977">
                  <c:v>32.559400000002142</c:v>
                </c:pt>
                <c:pt idx="978">
                  <c:v>32.559500000002146</c:v>
                </c:pt>
                <c:pt idx="979">
                  <c:v>32.559600000002149</c:v>
                </c:pt>
                <c:pt idx="980">
                  <c:v>32.559700000002152</c:v>
                </c:pt>
                <c:pt idx="981">
                  <c:v>32.559800000002156</c:v>
                </c:pt>
                <c:pt idx="982">
                  <c:v>32.559900000002159</c:v>
                </c:pt>
                <c:pt idx="983">
                  <c:v>32.560000000002162</c:v>
                </c:pt>
                <c:pt idx="984">
                  <c:v>32.560100000002166</c:v>
                </c:pt>
                <c:pt idx="985">
                  <c:v>32.560200000002169</c:v>
                </c:pt>
                <c:pt idx="986">
                  <c:v>32.560300000002172</c:v>
                </c:pt>
                <c:pt idx="987">
                  <c:v>32.560400000002176</c:v>
                </c:pt>
                <c:pt idx="988">
                  <c:v>32.560500000002179</c:v>
                </c:pt>
                <c:pt idx="989">
                  <c:v>32.560600000002182</c:v>
                </c:pt>
                <c:pt idx="990">
                  <c:v>32.560700000002186</c:v>
                </c:pt>
                <c:pt idx="991">
                  <c:v>32.560800000002189</c:v>
                </c:pt>
                <c:pt idx="992">
                  <c:v>32.560900000002192</c:v>
                </c:pt>
                <c:pt idx="993">
                  <c:v>32.561000000002196</c:v>
                </c:pt>
                <c:pt idx="994">
                  <c:v>32.561100000002199</c:v>
                </c:pt>
                <c:pt idx="995">
                  <c:v>32.561200000002202</c:v>
                </c:pt>
                <c:pt idx="996">
                  <c:v>32.561300000002205</c:v>
                </c:pt>
                <c:pt idx="997">
                  <c:v>32.561400000002209</c:v>
                </c:pt>
                <c:pt idx="998">
                  <c:v>32.561500000002212</c:v>
                </c:pt>
                <c:pt idx="999">
                  <c:v>32.561600000002215</c:v>
                </c:pt>
                <c:pt idx="1000">
                  <c:v>32.561700000002219</c:v>
                </c:pt>
              </c:numCache>
            </c:numRef>
          </c:xVal>
          <c:yVal>
            <c:numRef>
              <c:f>Calculs!$T$4:$T$1004</c:f>
              <c:numCache>
                <c:formatCode>0.00</c:formatCode>
                <c:ptCount val="1001"/>
                <c:pt idx="0">
                  <c:v>25.457931000000006</c:v>
                </c:pt>
                <c:pt idx="1">
                  <c:v>25.457926095000005</c:v>
                </c:pt>
                <c:pt idx="2">
                  <c:v>25.457911380000002</c:v>
                </c:pt>
                <c:pt idx="3">
                  <c:v>25.457886855000002</c:v>
                </c:pt>
                <c:pt idx="4">
                  <c:v>25.457852520000003</c:v>
                </c:pt>
                <c:pt idx="5">
                  <c:v>25.457808375000003</c:v>
                </c:pt>
                <c:pt idx="6">
                  <c:v>25.457754420000004</c:v>
                </c:pt>
                <c:pt idx="7">
                  <c:v>25.457690655000004</c:v>
                </c:pt>
                <c:pt idx="8">
                  <c:v>25.457617080000002</c:v>
                </c:pt>
                <c:pt idx="9">
                  <c:v>25.457533695000002</c:v>
                </c:pt>
                <c:pt idx="10">
                  <c:v>25.457440500000001</c:v>
                </c:pt>
                <c:pt idx="11">
                  <c:v>25.457347305000003</c:v>
                </c:pt>
                <c:pt idx="12">
                  <c:v>25.457263920000003</c:v>
                </c:pt>
                <c:pt idx="13">
                  <c:v>25.457190345000001</c:v>
                </c:pt>
                <c:pt idx="14">
                  <c:v>25.457126580000001</c:v>
                </c:pt>
                <c:pt idx="15">
                  <c:v>25.457072625000002</c:v>
                </c:pt>
                <c:pt idx="16">
                  <c:v>25.457028480000002</c:v>
                </c:pt>
                <c:pt idx="17">
                  <c:v>25.456994144999999</c:v>
                </c:pt>
                <c:pt idx="18">
                  <c:v>25.456969620000002</c:v>
                </c:pt>
                <c:pt idx="19">
                  <c:v>25.456954905</c:v>
                </c:pt>
                <c:pt idx="20">
                  <c:v>25.456949999999999</c:v>
                </c:pt>
                <c:pt idx="21">
                  <c:v>25.456949999999999</c:v>
                </c:pt>
                <c:pt idx="22">
                  <c:v>25.456949999999999</c:v>
                </c:pt>
                <c:pt idx="23">
                  <c:v>25.456949999999999</c:v>
                </c:pt>
                <c:pt idx="24">
                  <c:v>25.456949999999999</c:v>
                </c:pt>
                <c:pt idx="25">
                  <c:v>25.456949999999999</c:v>
                </c:pt>
                <c:pt idx="26">
                  <c:v>25.456949999999999</c:v>
                </c:pt>
                <c:pt idx="27">
                  <c:v>25.456949999999999</c:v>
                </c:pt>
                <c:pt idx="28">
                  <c:v>25.456949999999999</c:v>
                </c:pt>
                <c:pt idx="29">
                  <c:v>25.456949999999999</c:v>
                </c:pt>
                <c:pt idx="30">
                  <c:v>25.456949999999999</c:v>
                </c:pt>
                <c:pt idx="31">
                  <c:v>25.456949999999999</c:v>
                </c:pt>
                <c:pt idx="32">
                  <c:v>25.456949999999999</c:v>
                </c:pt>
                <c:pt idx="33">
                  <c:v>25.456949999999999</c:v>
                </c:pt>
                <c:pt idx="34">
                  <c:v>25.456949999999999</c:v>
                </c:pt>
                <c:pt idx="35">
                  <c:v>25.456949999999999</c:v>
                </c:pt>
                <c:pt idx="36">
                  <c:v>25.456949999999999</c:v>
                </c:pt>
                <c:pt idx="37">
                  <c:v>25.456949999999999</c:v>
                </c:pt>
                <c:pt idx="38">
                  <c:v>25.456949999999999</c:v>
                </c:pt>
                <c:pt idx="39">
                  <c:v>25.456949999999999</c:v>
                </c:pt>
                <c:pt idx="40">
                  <c:v>25.456949999999999</c:v>
                </c:pt>
                <c:pt idx="41">
                  <c:v>25.456949999999999</c:v>
                </c:pt>
                <c:pt idx="42">
                  <c:v>25.456949999999999</c:v>
                </c:pt>
                <c:pt idx="43">
                  <c:v>25.456949999999999</c:v>
                </c:pt>
                <c:pt idx="44">
                  <c:v>25.456949999999999</c:v>
                </c:pt>
                <c:pt idx="45">
                  <c:v>25.456949999999999</c:v>
                </c:pt>
                <c:pt idx="46">
                  <c:v>25.456949999999999</c:v>
                </c:pt>
                <c:pt idx="47">
                  <c:v>25.456949999999999</c:v>
                </c:pt>
                <c:pt idx="48">
                  <c:v>25.456949999999999</c:v>
                </c:pt>
                <c:pt idx="49">
                  <c:v>25.456949999999999</c:v>
                </c:pt>
                <c:pt idx="50">
                  <c:v>25.456949999999999</c:v>
                </c:pt>
                <c:pt idx="51">
                  <c:v>25.456949999999999</c:v>
                </c:pt>
                <c:pt idx="52">
                  <c:v>25.456949999999999</c:v>
                </c:pt>
                <c:pt idx="53">
                  <c:v>25.456949999999999</c:v>
                </c:pt>
                <c:pt idx="54">
                  <c:v>25.456949999999999</c:v>
                </c:pt>
                <c:pt idx="55">
                  <c:v>25.456949999999999</c:v>
                </c:pt>
                <c:pt idx="56">
                  <c:v>25.456949999999999</c:v>
                </c:pt>
                <c:pt idx="57">
                  <c:v>25.456949999999999</c:v>
                </c:pt>
                <c:pt idx="58">
                  <c:v>25.456949999999999</c:v>
                </c:pt>
                <c:pt idx="59">
                  <c:v>25.456949999999999</c:v>
                </c:pt>
                <c:pt idx="60">
                  <c:v>25.456949999999999</c:v>
                </c:pt>
                <c:pt idx="61">
                  <c:v>25.456949999999999</c:v>
                </c:pt>
                <c:pt idx="62">
                  <c:v>25.456949999999999</c:v>
                </c:pt>
                <c:pt idx="63">
                  <c:v>25.456949999999999</c:v>
                </c:pt>
                <c:pt idx="64">
                  <c:v>25.456949999999999</c:v>
                </c:pt>
                <c:pt idx="65">
                  <c:v>25.456949999999999</c:v>
                </c:pt>
                <c:pt idx="66">
                  <c:v>25.456949999999999</c:v>
                </c:pt>
                <c:pt idx="67">
                  <c:v>25.456949999999999</c:v>
                </c:pt>
                <c:pt idx="68">
                  <c:v>25.456949999999999</c:v>
                </c:pt>
                <c:pt idx="69">
                  <c:v>25.456949999999999</c:v>
                </c:pt>
                <c:pt idx="70">
                  <c:v>25.456949999999999</c:v>
                </c:pt>
                <c:pt idx="71">
                  <c:v>25.456949999999999</c:v>
                </c:pt>
                <c:pt idx="72">
                  <c:v>25.456949999999999</c:v>
                </c:pt>
                <c:pt idx="73">
                  <c:v>25.456949999999999</c:v>
                </c:pt>
                <c:pt idx="74">
                  <c:v>25.456949999999999</c:v>
                </c:pt>
                <c:pt idx="75">
                  <c:v>25.456949999999999</c:v>
                </c:pt>
                <c:pt idx="76">
                  <c:v>25.456949999999999</c:v>
                </c:pt>
                <c:pt idx="77">
                  <c:v>25.456949999999999</c:v>
                </c:pt>
                <c:pt idx="78">
                  <c:v>25.456949999999999</c:v>
                </c:pt>
                <c:pt idx="79">
                  <c:v>25.456949999999999</c:v>
                </c:pt>
                <c:pt idx="80">
                  <c:v>25.456949999999999</c:v>
                </c:pt>
                <c:pt idx="81">
                  <c:v>25.456949999999999</c:v>
                </c:pt>
                <c:pt idx="82">
                  <c:v>25.456949999999999</c:v>
                </c:pt>
                <c:pt idx="83">
                  <c:v>25.456949999999999</c:v>
                </c:pt>
                <c:pt idx="84">
                  <c:v>25.456949999999999</c:v>
                </c:pt>
                <c:pt idx="85">
                  <c:v>25.456949999999999</c:v>
                </c:pt>
                <c:pt idx="86">
                  <c:v>25.456949999999999</c:v>
                </c:pt>
                <c:pt idx="87">
                  <c:v>25.456949999999999</c:v>
                </c:pt>
                <c:pt idx="88">
                  <c:v>25.456949999999999</c:v>
                </c:pt>
                <c:pt idx="89">
                  <c:v>25.456949999999999</c:v>
                </c:pt>
                <c:pt idx="90">
                  <c:v>25.456949999999999</c:v>
                </c:pt>
                <c:pt idx="91">
                  <c:v>25.456949999999999</c:v>
                </c:pt>
                <c:pt idx="92">
                  <c:v>25.456949999999999</c:v>
                </c:pt>
                <c:pt idx="93">
                  <c:v>25.456949999999999</c:v>
                </c:pt>
                <c:pt idx="94">
                  <c:v>25.456949999999999</c:v>
                </c:pt>
                <c:pt idx="95">
                  <c:v>25.456949999999999</c:v>
                </c:pt>
                <c:pt idx="96">
                  <c:v>25.456949999999999</c:v>
                </c:pt>
                <c:pt idx="97">
                  <c:v>25.456949999999999</c:v>
                </c:pt>
                <c:pt idx="98">
                  <c:v>25.456949999999999</c:v>
                </c:pt>
                <c:pt idx="99">
                  <c:v>25.456949999999999</c:v>
                </c:pt>
                <c:pt idx="100">
                  <c:v>25.456949999999999</c:v>
                </c:pt>
                <c:pt idx="101">
                  <c:v>25.456949999999999</c:v>
                </c:pt>
                <c:pt idx="102">
                  <c:v>25.456949999999999</c:v>
                </c:pt>
                <c:pt idx="103">
                  <c:v>25.456949999999999</c:v>
                </c:pt>
                <c:pt idx="104">
                  <c:v>25.456949999999999</c:v>
                </c:pt>
                <c:pt idx="105">
                  <c:v>25.456949999999999</c:v>
                </c:pt>
                <c:pt idx="106">
                  <c:v>25.456949999999999</c:v>
                </c:pt>
                <c:pt idx="107">
                  <c:v>25.456949999999999</c:v>
                </c:pt>
                <c:pt idx="108">
                  <c:v>25.456949999999999</c:v>
                </c:pt>
                <c:pt idx="109">
                  <c:v>25.456949999999999</c:v>
                </c:pt>
                <c:pt idx="110">
                  <c:v>25.456949999999999</c:v>
                </c:pt>
                <c:pt idx="111">
                  <c:v>25.456949999999999</c:v>
                </c:pt>
                <c:pt idx="112">
                  <c:v>25.456949999999999</c:v>
                </c:pt>
                <c:pt idx="113">
                  <c:v>25.456949999999999</c:v>
                </c:pt>
                <c:pt idx="114">
                  <c:v>25.456949999999999</c:v>
                </c:pt>
                <c:pt idx="115">
                  <c:v>25.456949999999999</c:v>
                </c:pt>
                <c:pt idx="116">
                  <c:v>25.456949999999999</c:v>
                </c:pt>
                <c:pt idx="117">
                  <c:v>25.456949999999999</c:v>
                </c:pt>
                <c:pt idx="118">
                  <c:v>25.456949999999999</c:v>
                </c:pt>
                <c:pt idx="119">
                  <c:v>25.456949999999999</c:v>
                </c:pt>
                <c:pt idx="120">
                  <c:v>25.456949999999999</c:v>
                </c:pt>
                <c:pt idx="121">
                  <c:v>25.456949999999999</c:v>
                </c:pt>
                <c:pt idx="122">
                  <c:v>25.456949999999999</c:v>
                </c:pt>
                <c:pt idx="123">
                  <c:v>25.456949999999999</c:v>
                </c:pt>
                <c:pt idx="124">
                  <c:v>25.456949999999999</c:v>
                </c:pt>
                <c:pt idx="125">
                  <c:v>25.456949999999999</c:v>
                </c:pt>
                <c:pt idx="126">
                  <c:v>25.456949999999999</c:v>
                </c:pt>
                <c:pt idx="127">
                  <c:v>25.456949999999999</c:v>
                </c:pt>
                <c:pt idx="128">
                  <c:v>25.456949999999999</c:v>
                </c:pt>
                <c:pt idx="129">
                  <c:v>25.456949999999999</c:v>
                </c:pt>
                <c:pt idx="130">
                  <c:v>25.456949999999999</c:v>
                </c:pt>
                <c:pt idx="131">
                  <c:v>25.456949999999999</c:v>
                </c:pt>
                <c:pt idx="132">
                  <c:v>25.456949999999999</c:v>
                </c:pt>
                <c:pt idx="133">
                  <c:v>25.456949999999999</c:v>
                </c:pt>
                <c:pt idx="134">
                  <c:v>25.456949999999999</c:v>
                </c:pt>
                <c:pt idx="135">
                  <c:v>25.456949999999999</c:v>
                </c:pt>
                <c:pt idx="136">
                  <c:v>25.456949999999999</c:v>
                </c:pt>
                <c:pt idx="137">
                  <c:v>25.456949999999999</c:v>
                </c:pt>
                <c:pt idx="138">
                  <c:v>25.456949999999999</c:v>
                </c:pt>
                <c:pt idx="139">
                  <c:v>25.456949999999999</c:v>
                </c:pt>
                <c:pt idx="140">
                  <c:v>25.456949999999999</c:v>
                </c:pt>
                <c:pt idx="141">
                  <c:v>25.456949999999999</c:v>
                </c:pt>
                <c:pt idx="142">
                  <c:v>25.456949999999999</c:v>
                </c:pt>
                <c:pt idx="143">
                  <c:v>25.456949999999999</c:v>
                </c:pt>
                <c:pt idx="144">
                  <c:v>25.456949999999999</c:v>
                </c:pt>
                <c:pt idx="145">
                  <c:v>25.456949999999999</c:v>
                </c:pt>
                <c:pt idx="146">
                  <c:v>25.456949999999999</c:v>
                </c:pt>
                <c:pt idx="147">
                  <c:v>25.456949999999999</c:v>
                </c:pt>
                <c:pt idx="148">
                  <c:v>25.456949999999999</c:v>
                </c:pt>
                <c:pt idx="149">
                  <c:v>25.456949999999999</c:v>
                </c:pt>
                <c:pt idx="150">
                  <c:v>25.456949999999999</c:v>
                </c:pt>
                <c:pt idx="151">
                  <c:v>25.456949999999999</c:v>
                </c:pt>
                <c:pt idx="152">
                  <c:v>25.456949999999999</c:v>
                </c:pt>
                <c:pt idx="153">
                  <c:v>25.456949999999999</c:v>
                </c:pt>
                <c:pt idx="154">
                  <c:v>25.456949999999999</c:v>
                </c:pt>
                <c:pt idx="155">
                  <c:v>25.456949999999999</c:v>
                </c:pt>
                <c:pt idx="156">
                  <c:v>25.456949999999999</c:v>
                </c:pt>
                <c:pt idx="157">
                  <c:v>25.456949999999999</c:v>
                </c:pt>
                <c:pt idx="158">
                  <c:v>25.456949999999999</c:v>
                </c:pt>
                <c:pt idx="159">
                  <c:v>25.456949999999999</c:v>
                </c:pt>
                <c:pt idx="160">
                  <c:v>25.456949999999999</c:v>
                </c:pt>
                <c:pt idx="161">
                  <c:v>25.456949999999999</c:v>
                </c:pt>
                <c:pt idx="162">
                  <c:v>25.456949999999999</c:v>
                </c:pt>
                <c:pt idx="163">
                  <c:v>25.456949999999999</c:v>
                </c:pt>
                <c:pt idx="164">
                  <c:v>25.456949999999999</c:v>
                </c:pt>
                <c:pt idx="165">
                  <c:v>25.456949999999999</c:v>
                </c:pt>
                <c:pt idx="166">
                  <c:v>25.456949999999999</c:v>
                </c:pt>
                <c:pt idx="167">
                  <c:v>25.456949999999999</c:v>
                </c:pt>
                <c:pt idx="168">
                  <c:v>25.456949999999999</c:v>
                </c:pt>
                <c:pt idx="169">
                  <c:v>25.456949999999999</c:v>
                </c:pt>
                <c:pt idx="170">
                  <c:v>25.456949999999999</c:v>
                </c:pt>
                <c:pt idx="171">
                  <c:v>25.456949999999999</c:v>
                </c:pt>
                <c:pt idx="172">
                  <c:v>25.456949999999999</c:v>
                </c:pt>
                <c:pt idx="173">
                  <c:v>25.456949999999999</c:v>
                </c:pt>
                <c:pt idx="174">
                  <c:v>25.456949999999999</c:v>
                </c:pt>
                <c:pt idx="175">
                  <c:v>25.456949999999999</c:v>
                </c:pt>
                <c:pt idx="176">
                  <c:v>25.456949999999999</c:v>
                </c:pt>
                <c:pt idx="177">
                  <c:v>25.456949999999999</c:v>
                </c:pt>
                <c:pt idx="178">
                  <c:v>25.456949999999999</c:v>
                </c:pt>
                <c:pt idx="179">
                  <c:v>25.456949999999999</c:v>
                </c:pt>
                <c:pt idx="180">
                  <c:v>25.456949999999999</c:v>
                </c:pt>
                <c:pt idx="181">
                  <c:v>25.456949999999999</c:v>
                </c:pt>
                <c:pt idx="182">
                  <c:v>25.456949999999999</c:v>
                </c:pt>
                <c:pt idx="183">
                  <c:v>25.456949999999999</c:v>
                </c:pt>
                <c:pt idx="184">
                  <c:v>25.456949999999999</c:v>
                </c:pt>
                <c:pt idx="185">
                  <c:v>25.456949999999999</c:v>
                </c:pt>
                <c:pt idx="186">
                  <c:v>25.456949999999999</c:v>
                </c:pt>
                <c:pt idx="187">
                  <c:v>25.456949999999999</c:v>
                </c:pt>
                <c:pt idx="188">
                  <c:v>25.456949999999999</c:v>
                </c:pt>
                <c:pt idx="189">
                  <c:v>25.456949999999999</c:v>
                </c:pt>
                <c:pt idx="190">
                  <c:v>25.456949999999999</c:v>
                </c:pt>
                <c:pt idx="191">
                  <c:v>25.456949999999999</c:v>
                </c:pt>
                <c:pt idx="192">
                  <c:v>25.456949999999999</c:v>
                </c:pt>
                <c:pt idx="193">
                  <c:v>25.456949999999999</c:v>
                </c:pt>
                <c:pt idx="194">
                  <c:v>25.456949999999999</c:v>
                </c:pt>
                <c:pt idx="195">
                  <c:v>25.456949999999999</c:v>
                </c:pt>
                <c:pt idx="196">
                  <c:v>25.456949999999999</c:v>
                </c:pt>
                <c:pt idx="197">
                  <c:v>25.456949999999999</c:v>
                </c:pt>
                <c:pt idx="198">
                  <c:v>25.456949999999999</c:v>
                </c:pt>
                <c:pt idx="199">
                  <c:v>25.456949999999999</c:v>
                </c:pt>
                <c:pt idx="200">
                  <c:v>25.456949999999999</c:v>
                </c:pt>
                <c:pt idx="201">
                  <c:v>25.456949999999999</c:v>
                </c:pt>
                <c:pt idx="202">
                  <c:v>25.456949999999999</c:v>
                </c:pt>
                <c:pt idx="203">
                  <c:v>25.456949999999999</c:v>
                </c:pt>
                <c:pt idx="204">
                  <c:v>25.456949999999999</c:v>
                </c:pt>
                <c:pt idx="205">
                  <c:v>25.456949999999999</c:v>
                </c:pt>
                <c:pt idx="206">
                  <c:v>25.456949999999999</c:v>
                </c:pt>
                <c:pt idx="207">
                  <c:v>25.456949999999999</c:v>
                </c:pt>
                <c:pt idx="208">
                  <c:v>25.456949999999999</c:v>
                </c:pt>
                <c:pt idx="209">
                  <c:v>25.456949999999999</c:v>
                </c:pt>
                <c:pt idx="210">
                  <c:v>25.456949999999999</c:v>
                </c:pt>
                <c:pt idx="211">
                  <c:v>25.456949999999999</c:v>
                </c:pt>
                <c:pt idx="212">
                  <c:v>25.456949999999999</c:v>
                </c:pt>
                <c:pt idx="213">
                  <c:v>25.456949999999999</c:v>
                </c:pt>
                <c:pt idx="214">
                  <c:v>25.456949999999999</c:v>
                </c:pt>
                <c:pt idx="215">
                  <c:v>25.456949999999999</c:v>
                </c:pt>
                <c:pt idx="216">
                  <c:v>25.456949999999999</c:v>
                </c:pt>
                <c:pt idx="217">
                  <c:v>25.456949999999999</c:v>
                </c:pt>
                <c:pt idx="218">
                  <c:v>25.456949999999999</c:v>
                </c:pt>
                <c:pt idx="219">
                  <c:v>25.456949999999999</c:v>
                </c:pt>
                <c:pt idx="220">
                  <c:v>25.456949999999999</c:v>
                </c:pt>
                <c:pt idx="221">
                  <c:v>25.456949999999999</c:v>
                </c:pt>
                <c:pt idx="222">
                  <c:v>25.456949999999999</c:v>
                </c:pt>
                <c:pt idx="223">
                  <c:v>25.456949999999999</c:v>
                </c:pt>
                <c:pt idx="224">
                  <c:v>25.456949999999999</c:v>
                </c:pt>
                <c:pt idx="225">
                  <c:v>25.456949999999999</c:v>
                </c:pt>
                <c:pt idx="226">
                  <c:v>25.456949999999999</c:v>
                </c:pt>
                <c:pt idx="227">
                  <c:v>25.456949999999999</c:v>
                </c:pt>
                <c:pt idx="228">
                  <c:v>25.456949999999999</c:v>
                </c:pt>
                <c:pt idx="229">
                  <c:v>25.456949999999999</c:v>
                </c:pt>
                <c:pt idx="230">
                  <c:v>25.456949999999999</c:v>
                </c:pt>
                <c:pt idx="231">
                  <c:v>25.456949999999999</c:v>
                </c:pt>
                <c:pt idx="232">
                  <c:v>25.456949999999999</c:v>
                </c:pt>
                <c:pt idx="233">
                  <c:v>25.456949999999999</c:v>
                </c:pt>
                <c:pt idx="234">
                  <c:v>25.456949999999999</c:v>
                </c:pt>
                <c:pt idx="235">
                  <c:v>25.456949999999999</c:v>
                </c:pt>
                <c:pt idx="236">
                  <c:v>25.456949999999999</c:v>
                </c:pt>
                <c:pt idx="237">
                  <c:v>25.456949999999999</c:v>
                </c:pt>
                <c:pt idx="238">
                  <c:v>25.456949999999999</c:v>
                </c:pt>
                <c:pt idx="239">
                  <c:v>25.456949999999999</c:v>
                </c:pt>
                <c:pt idx="240">
                  <c:v>25.456949999999999</c:v>
                </c:pt>
                <c:pt idx="241">
                  <c:v>25.456949999999999</c:v>
                </c:pt>
                <c:pt idx="242">
                  <c:v>25.456949999999999</c:v>
                </c:pt>
                <c:pt idx="243">
                  <c:v>25.456949999999999</c:v>
                </c:pt>
                <c:pt idx="244">
                  <c:v>25.456949999999999</c:v>
                </c:pt>
                <c:pt idx="245">
                  <c:v>25.456949999999999</c:v>
                </c:pt>
                <c:pt idx="246">
                  <c:v>25.456949999999999</c:v>
                </c:pt>
                <c:pt idx="247">
                  <c:v>25.456949999999999</c:v>
                </c:pt>
                <c:pt idx="248">
                  <c:v>25.456949999999999</c:v>
                </c:pt>
                <c:pt idx="249">
                  <c:v>25.456949999999999</c:v>
                </c:pt>
                <c:pt idx="250">
                  <c:v>25.456949999999999</c:v>
                </c:pt>
                <c:pt idx="251">
                  <c:v>25.456949999999999</c:v>
                </c:pt>
                <c:pt idx="252">
                  <c:v>25.456949999999999</c:v>
                </c:pt>
                <c:pt idx="253">
                  <c:v>25.456949999999999</c:v>
                </c:pt>
                <c:pt idx="254">
                  <c:v>25.456949999999999</c:v>
                </c:pt>
                <c:pt idx="255">
                  <c:v>25.456949999999999</c:v>
                </c:pt>
                <c:pt idx="256">
                  <c:v>25.456949999999999</c:v>
                </c:pt>
                <c:pt idx="257">
                  <c:v>25.456949999999999</c:v>
                </c:pt>
                <c:pt idx="258">
                  <c:v>25.456949999999999</c:v>
                </c:pt>
                <c:pt idx="259">
                  <c:v>25.456949999999999</c:v>
                </c:pt>
                <c:pt idx="260">
                  <c:v>25.456949999999999</c:v>
                </c:pt>
                <c:pt idx="261">
                  <c:v>25.456949999999999</c:v>
                </c:pt>
                <c:pt idx="262">
                  <c:v>25.456949999999999</c:v>
                </c:pt>
                <c:pt idx="263">
                  <c:v>25.456949999999999</c:v>
                </c:pt>
                <c:pt idx="264">
                  <c:v>25.456949999999999</c:v>
                </c:pt>
                <c:pt idx="265">
                  <c:v>25.456949999999999</c:v>
                </c:pt>
                <c:pt idx="266">
                  <c:v>25.456949999999999</c:v>
                </c:pt>
                <c:pt idx="267">
                  <c:v>25.456949999999999</c:v>
                </c:pt>
                <c:pt idx="268">
                  <c:v>25.456949999999999</c:v>
                </c:pt>
                <c:pt idx="269">
                  <c:v>25.456949999999999</c:v>
                </c:pt>
                <c:pt idx="270">
                  <c:v>25.456949999999999</c:v>
                </c:pt>
                <c:pt idx="271">
                  <c:v>25.456949999999999</c:v>
                </c:pt>
                <c:pt idx="272">
                  <c:v>25.456949999999999</c:v>
                </c:pt>
                <c:pt idx="273">
                  <c:v>25.456949999999999</c:v>
                </c:pt>
                <c:pt idx="274">
                  <c:v>25.456949999999999</c:v>
                </c:pt>
                <c:pt idx="275">
                  <c:v>25.456949999999999</c:v>
                </c:pt>
                <c:pt idx="276">
                  <c:v>25.456949999999999</c:v>
                </c:pt>
                <c:pt idx="277">
                  <c:v>25.456949999999999</c:v>
                </c:pt>
                <c:pt idx="278">
                  <c:v>25.456949999999999</c:v>
                </c:pt>
                <c:pt idx="279">
                  <c:v>25.456949999999999</c:v>
                </c:pt>
                <c:pt idx="280">
                  <c:v>25.456949999999999</c:v>
                </c:pt>
                <c:pt idx="281">
                  <c:v>25.456949999999999</c:v>
                </c:pt>
                <c:pt idx="282">
                  <c:v>25.456949999999999</c:v>
                </c:pt>
                <c:pt idx="283">
                  <c:v>25.456949999999999</c:v>
                </c:pt>
                <c:pt idx="284">
                  <c:v>25.456949999999999</c:v>
                </c:pt>
                <c:pt idx="285">
                  <c:v>25.456949999999999</c:v>
                </c:pt>
                <c:pt idx="286">
                  <c:v>25.456949999999999</c:v>
                </c:pt>
                <c:pt idx="287">
                  <c:v>25.456949999999999</c:v>
                </c:pt>
                <c:pt idx="288">
                  <c:v>25.456949999999999</c:v>
                </c:pt>
                <c:pt idx="289">
                  <c:v>25.456949999999999</c:v>
                </c:pt>
                <c:pt idx="290">
                  <c:v>25.456949999999999</c:v>
                </c:pt>
                <c:pt idx="291">
                  <c:v>25.456949999999999</c:v>
                </c:pt>
                <c:pt idx="292">
                  <c:v>25.456949999999999</c:v>
                </c:pt>
                <c:pt idx="293">
                  <c:v>25.456949999999999</c:v>
                </c:pt>
                <c:pt idx="294">
                  <c:v>25.456949999999999</c:v>
                </c:pt>
                <c:pt idx="295">
                  <c:v>25.456949999999999</c:v>
                </c:pt>
                <c:pt idx="296">
                  <c:v>25.456949999999999</c:v>
                </c:pt>
                <c:pt idx="297">
                  <c:v>25.456949999999999</c:v>
                </c:pt>
                <c:pt idx="298">
                  <c:v>25.456949999999999</c:v>
                </c:pt>
                <c:pt idx="299">
                  <c:v>25.456949999999999</c:v>
                </c:pt>
                <c:pt idx="300">
                  <c:v>25.456949999999999</c:v>
                </c:pt>
                <c:pt idx="301">
                  <c:v>25.456949999999999</c:v>
                </c:pt>
                <c:pt idx="302">
                  <c:v>25.456949999999999</c:v>
                </c:pt>
                <c:pt idx="303">
                  <c:v>25.456949999999999</c:v>
                </c:pt>
                <c:pt idx="304">
                  <c:v>25.456949999999999</c:v>
                </c:pt>
                <c:pt idx="305">
                  <c:v>25.456949999999999</c:v>
                </c:pt>
                <c:pt idx="306">
                  <c:v>25.456949999999999</c:v>
                </c:pt>
                <c:pt idx="307">
                  <c:v>25.456949999999999</c:v>
                </c:pt>
                <c:pt idx="308">
                  <c:v>25.456949999999999</c:v>
                </c:pt>
                <c:pt idx="309">
                  <c:v>25.456949999999999</c:v>
                </c:pt>
                <c:pt idx="310">
                  <c:v>25.456949999999999</c:v>
                </c:pt>
                <c:pt idx="311">
                  <c:v>25.456949999999999</c:v>
                </c:pt>
                <c:pt idx="312">
                  <c:v>25.456949999999999</c:v>
                </c:pt>
                <c:pt idx="313">
                  <c:v>25.456949999999999</c:v>
                </c:pt>
                <c:pt idx="314">
                  <c:v>25.456949999999999</c:v>
                </c:pt>
                <c:pt idx="315">
                  <c:v>25.456949999999999</c:v>
                </c:pt>
                <c:pt idx="316">
                  <c:v>25.456949999999999</c:v>
                </c:pt>
                <c:pt idx="317">
                  <c:v>25.456949999999999</c:v>
                </c:pt>
                <c:pt idx="318">
                  <c:v>25.456949999999999</c:v>
                </c:pt>
                <c:pt idx="319">
                  <c:v>25.456949999999999</c:v>
                </c:pt>
                <c:pt idx="320">
                  <c:v>25.456949999999999</c:v>
                </c:pt>
                <c:pt idx="321">
                  <c:v>25.456949999999999</c:v>
                </c:pt>
                <c:pt idx="322">
                  <c:v>25.456949999999999</c:v>
                </c:pt>
                <c:pt idx="323">
                  <c:v>25.456949999999999</c:v>
                </c:pt>
                <c:pt idx="324">
                  <c:v>25.456949999999999</c:v>
                </c:pt>
                <c:pt idx="325">
                  <c:v>25.456949999999999</c:v>
                </c:pt>
                <c:pt idx="326">
                  <c:v>25.456949999999999</c:v>
                </c:pt>
                <c:pt idx="327">
                  <c:v>25.456949999999999</c:v>
                </c:pt>
                <c:pt idx="328">
                  <c:v>25.456949999999999</c:v>
                </c:pt>
                <c:pt idx="329">
                  <c:v>25.456949999999999</c:v>
                </c:pt>
                <c:pt idx="330">
                  <c:v>25.456949999999999</c:v>
                </c:pt>
                <c:pt idx="331">
                  <c:v>25.456949999999999</c:v>
                </c:pt>
                <c:pt idx="332">
                  <c:v>25.456949999999999</c:v>
                </c:pt>
                <c:pt idx="333">
                  <c:v>25.456949999999999</c:v>
                </c:pt>
                <c:pt idx="334">
                  <c:v>25.456949999999999</c:v>
                </c:pt>
                <c:pt idx="335">
                  <c:v>25.456949999999999</c:v>
                </c:pt>
                <c:pt idx="336">
                  <c:v>25.456949999999999</c:v>
                </c:pt>
                <c:pt idx="337">
                  <c:v>25.456949999999999</c:v>
                </c:pt>
                <c:pt idx="338">
                  <c:v>25.456949999999999</c:v>
                </c:pt>
                <c:pt idx="339">
                  <c:v>25.456949999999999</c:v>
                </c:pt>
                <c:pt idx="340">
                  <c:v>25.456949999999999</c:v>
                </c:pt>
                <c:pt idx="341">
                  <c:v>25.456949999999999</c:v>
                </c:pt>
                <c:pt idx="342">
                  <c:v>25.456949999999999</c:v>
                </c:pt>
                <c:pt idx="343">
                  <c:v>25.456949999999999</c:v>
                </c:pt>
                <c:pt idx="344">
                  <c:v>25.456949999999999</c:v>
                </c:pt>
                <c:pt idx="345">
                  <c:v>25.456949999999999</c:v>
                </c:pt>
                <c:pt idx="346">
                  <c:v>25.456949999999999</c:v>
                </c:pt>
                <c:pt idx="347">
                  <c:v>25.456949999999999</c:v>
                </c:pt>
                <c:pt idx="348">
                  <c:v>25.456949999999999</c:v>
                </c:pt>
                <c:pt idx="349">
                  <c:v>25.456949999999999</c:v>
                </c:pt>
                <c:pt idx="350">
                  <c:v>25.456949999999999</c:v>
                </c:pt>
                <c:pt idx="351">
                  <c:v>25.456949999999999</c:v>
                </c:pt>
                <c:pt idx="352">
                  <c:v>25.456949999999999</c:v>
                </c:pt>
                <c:pt idx="353">
                  <c:v>25.456949999999999</c:v>
                </c:pt>
                <c:pt idx="354">
                  <c:v>25.456949999999999</c:v>
                </c:pt>
                <c:pt idx="355">
                  <c:v>25.456949999999999</c:v>
                </c:pt>
                <c:pt idx="356">
                  <c:v>25.456949999999999</c:v>
                </c:pt>
                <c:pt idx="357">
                  <c:v>25.456949999999999</c:v>
                </c:pt>
                <c:pt idx="358">
                  <c:v>25.456949999999999</c:v>
                </c:pt>
                <c:pt idx="359">
                  <c:v>25.456949999999999</c:v>
                </c:pt>
                <c:pt idx="360">
                  <c:v>25.456949999999999</c:v>
                </c:pt>
                <c:pt idx="361">
                  <c:v>25.456949999999999</c:v>
                </c:pt>
                <c:pt idx="362">
                  <c:v>25.456949999999999</c:v>
                </c:pt>
                <c:pt idx="363">
                  <c:v>25.456949999999999</c:v>
                </c:pt>
                <c:pt idx="364">
                  <c:v>25.456949999999999</c:v>
                </c:pt>
                <c:pt idx="365">
                  <c:v>25.456949999999999</c:v>
                </c:pt>
                <c:pt idx="366">
                  <c:v>25.456949999999999</c:v>
                </c:pt>
                <c:pt idx="367">
                  <c:v>25.456949999999999</c:v>
                </c:pt>
                <c:pt idx="368">
                  <c:v>25.456949999999999</c:v>
                </c:pt>
                <c:pt idx="369">
                  <c:v>25.456949999999999</c:v>
                </c:pt>
                <c:pt idx="370">
                  <c:v>25.456949999999999</c:v>
                </c:pt>
                <c:pt idx="371">
                  <c:v>25.456949999999999</c:v>
                </c:pt>
                <c:pt idx="372">
                  <c:v>25.456949999999999</c:v>
                </c:pt>
                <c:pt idx="373">
                  <c:v>25.456949999999999</c:v>
                </c:pt>
                <c:pt idx="374">
                  <c:v>25.456949999999999</c:v>
                </c:pt>
                <c:pt idx="375">
                  <c:v>25.456949999999999</c:v>
                </c:pt>
                <c:pt idx="376">
                  <c:v>25.456949999999999</c:v>
                </c:pt>
                <c:pt idx="377">
                  <c:v>25.456949999999999</c:v>
                </c:pt>
                <c:pt idx="378">
                  <c:v>25.456949999999999</c:v>
                </c:pt>
                <c:pt idx="379">
                  <c:v>25.456949999999999</c:v>
                </c:pt>
                <c:pt idx="380">
                  <c:v>25.456949999999999</c:v>
                </c:pt>
                <c:pt idx="381">
                  <c:v>25.456949999999999</c:v>
                </c:pt>
                <c:pt idx="382">
                  <c:v>25.456949999999999</c:v>
                </c:pt>
                <c:pt idx="383">
                  <c:v>25.456949999999999</c:v>
                </c:pt>
                <c:pt idx="384">
                  <c:v>25.456949999999999</c:v>
                </c:pt>
                <c:pt idx="385">
                  <c:v>25.456949999999999</c:v>
                </c:pt>
                <c:pt idx="386">
                  <c:v>25.456949999999999</c:v>
                </c:pt>
                <c:pt idx="387">
                  <c:v>25.456949999999999</c:v>
                </c:pt>
                <c:pt idx="388">
                  <c:v>25.456949999999999</c:v>
                </c:pt>
                <c:pt idx="389">
                  <c:v>25.456949999999999</c:v>
                </c:pt>
                <c:pt idx="390">
                  <c:v>25.456949999999999</c:v>
                </c:pt>
                <c:pt idx="391">
                  <c:v>25.456949999999999</c:v>
                </c:pt>
                <c:pt idx="392">
                  <c:v>25.456949999999999</c:v>
                </c:pt>
                <c:pt idx="393">
                  <c:v>25.456949999999999</c:v>
                </c:pt>
                <c:pt idx="394">
                  <c:v>25.456949999999999</c:v>
                </c:pt>
                <c:pt idx="395">
                  <c:v>25.456949999999999</c:v>
                </c:pt>
                <c:pt idx="396">
                  <c:v>25.456949999999999</c:v>
                </c:pt>
                <c:pt idx="397">
                  <c:v>25.456949999999999</c:v>
                </c:pt>
                <c:pt idx="398">
                  <c:v>25.456949999999999</c:v>
                </c:pt>
                <c:pt idx="399">
                  <c:v>25.456949999999999</c:v>
                </c:pt>
                <c:pt idx="400">
                  <c:v>25.456949999999999</c:v>
                </c:pt>
                <c:pt idx="401">
                  <c:v>25.456949999999999</c:v>
                </c:pt>
                <c:pt idx="402">
                  <c:v>25.456949999999999</c:v>
                </c:pt>
                <c:pt idx="403">
                  <c:v>25.456949999999999</c:v>
                </c:pt>
                <c:pt idx="404">
                  <c:v>25.456949999999999</c:v>
                </c:pt>
                <c:pt idx="405">
                  <c:v>25.456949999999999</c:v>
                </c:pt>
                <c:pt idx="406">
                  <c:v>25.456949999999999</c:v>
                </c:pt>
                <c:pt idx="407">
                  <c:v>25.456949999999999</c:v>
                </c:pt>
                <c:pt idx="408">
                  <c:v>25.456949999999999</c:v>
                </c:pt>
                <c:pt idx="409">
                  <c:v>25.456949999999999</c:v>
                </c:pt>
                <c:pt idx="410">
                  <c:v>25.456949999999999</c:v>
                </c:pt>
                <c:pt idx="411">
                  <c:v>25.456949999999999</c:v>
                </c:pt>
                <c:pt idx="412">
                  <c:v>25.456949999999999</c:v>
                </c:pt>
                <c:pt idx="413">
                  <c:v>25.456949999999999</c:v>
                </c:pt>
                <c:pt idx="414">
                  <c:v>25.456949999999999</c:v>
                </c:pt>
                <c:pt idx="415">
                  <c:v>25.456949999999999</c:v>
                </c:pt>
                <c:pt idx="416">
                  <c:v>25.456949999999999</c:v>
                </c:pt>
                <c:pt idx="417">
                  <c:v>25.456949999999999</c:v>
                </c:pt>
                <c:pt idx="418">
                  <c:v>25.456949999999999</c:v>
                </c:pt>
                <c:pt idx="419">
                  <c:v>25.456949999999999</c:v>
                </c:pt>
                <c:pt idx="420">
                  <c:v>25.456949999999999</c:v>
                </c:pt>
                <c:pt idx="421">
                  <c:v>25.456949999999999</c:v>
                </c:pt>
                <c:pt idx="422">
                  <c:v>25.456949999999999</c:v>
                </c:pt>
                <c:pt idx="423">
                  <c:v>25.456949999999999</c:v>
                </c:pt>
                <c:pt idx="424">
                  <c:v>25.456949999999999</c:v>
                </c:pt>
                <c:pt idx="425">
                  <c:v>25.456949999999999</c:v>
                </c:pt>
                <c:pt idx="426">
                  <c:v>25.456949999999999</c:v>
                </c:pt>
                <c:pt idx="427">
                  <c:v>25.456949999999999</c:v>
                </c:pt>
                <c:pt idx="428">
                  <c:v>25.456949999999999</c:v>
                </c:pt>
                <c:pt idx="429">
                  <c:v>25.456949999999999</c:v>
                </c:pt>
                <c:pt idx="430">
                  <c:v>25.456949999999999</c:v>
                </c:pt>
                <c:pt idx="431">
                  <c:v>25.456949999999999</c:v>
                </c:pt>
                <c:pt idx="432">
                  <c:v>25.456949999999999</c:v>
                </c:pt>
                <c:pt idx="433">
                  <c:v>25.456949999999999</c:v>
                </c:pt>
                <c:pt idx="434">
                  <c:v>25.456949999999999</c:v>
                </c:pt>
                <c:pt idx="435">
                  <c:v>25.456949999999999</c:v>
                </c:pt>
                <c:pt idx="436">
                  <c:v>25.456949999999999</c:v>
                </c:pt>
                <c:pt idx="437">
                  <c:v>25.456949999999999</c:v>
                </c:pt>
                <c:pt idx="438">
                  <c:v>25.456949999999999</c:v>
                </c:pt>
                <c:pt idx="439">
                  <c:v>25.456949999999999</c:v>
                </c:pt>
                <c:pt idx="440">
                  <c:v>25.456949999999999</c:v>
                </c:pt>
                <c:pt idx="441">
                  <c:v>25.456949999999999</c:v>
                </c:pt>
                <c:pt idx="442">
                  <c:v>25.456949999999999</c:v>
                </c:pt>
                <c:pt idx="443">
                  <c:v>25.456949999999999</c:v>
                </c:pt>
                <c:pt idx="444">
                  <c:v>25.456949999999999</c:v>
                </c:pt>
                <c:pt idx="445">
                  <c:v>25.456949999999999</c:v>
                </c:pt>
                <c:pt idx="446">
                  <c:v>25.456949999999999</c:v>
                </c:pt>
                <c:pt idx="447">
                  <c:v>25.456949999999999</c:v>
                </c:pt>
                <c:pt idx="448">
                  <c:v>25.456949999999999</c:v>
                </c:pt>
                <c:pt idx="449">
                  <c:v>25.456949999999999</c:v>
                </c:pt>
                <c:pt idx="450">
                  <c:v>25.456949999999999</c:v>
                </c:pt>
                <c:pt idx="451">
                  <c:v>25.456949999999999</c:v>
                </c:pt>
                <c:pt idx="452">
                  <c:v>25.456949999999999</c:v>
                </c:pt>
                <c:pt idx="453">
                  <c:v>25.456949999999999</c:v>
                </c:pt>
                <c:pt idx="454">
                  <c:v>25.456949999999999</c:v>
                </c:pt>
                <c:pt idx="455">
                  <c:v>25.456949999999999</c:v>
                </c:pt>
                <c:pt idx="456">
                  <c:v>25.456949999999999</c:v>
                </c:pt>
                <c:pt idx="457">
                  <c:v>25.456949999999999</c:v>
                </c:pt>
                <c:pt idx="458">
                  <c:v>25.456949999999999</c:v>
                </c:pt>
                <c:pt idx="459">
                  <c:v>25.456949999999999</c:v>
                </c:pt>
                <c:pt idx="460">
                  <c:v>25.456949999999999</c:v>
                </c:pt>
                <c:pt idx="461">
                  <c:v>25.456949999999999</c:v>
                </c:pt>
                <c:pt idx="462">
                  <c:v>25.456949999999999</c:v>
                </c:pt>
                <c:pt idx="463">
                  <c:v>25.456949999999999</c:v>
                </c:pt>
                <c:pt idx="464">
                  <c:v>25.456949999999999</c:v>
                </c:pt>
                <c:pt idx="465">
                  <c:v>25.456949999999999</c:v>
                </c:pt>
                <c:pt idx="466">
                  <c:v>25.456949999999999</c:v>
                </c:pt>
                <c:pt idx="467">
                  <c:v>25.456949999999999</c:v>
                </c:pt>
                <c:pt idx="468">
                  <c:v>25.456949999999999</c:v>
                </c:pt>
                <c:pt idx="469">
                  <c:v>25.456949999999999</c:v>
                </c:pt>
                <c:pt idx="470">
                  <c:v>25.456949999999999</c:v>
                </c:pt>
                <c:pt idx="471">
                  <c:v>25.456949999999999</c:v>
                </c:pt>
                <c:pt idx="472">
                  <c:v>25.456949999999999</c:v>
                </c:pt>
                <c:pt idx="473">
                  <c:v>25.456949999999999</c:v>
                </c:pt>
                <c:pt idx="474">
                  <c:v>25.456949999999999</c:v>
                </c:pt>
                <c:pt idx="475">
                  <c:v>25.456949999999999</c:v>
                </c:pt>
                <c:pt idx="476">
                  <c:v>25.456949999999999</c:v>
                </c:pt>
                <c:pt idx="477">
                  <c:v>25.456949999999999</c:v>
                </c:pt>
                <c:pt idx="478">
                  <c:v>25.456949999999999</c:v>
                </c:pt>
                <c:pt idx="479">
                  <c:v>25.456949999999999</c:v>
                </c:pt>
                <c:pt idx="480">
                  <c:v>25.456949999999999</c:v>
                </c:pt>
                <c:pt idx="481">
                  <c:v>25.456949999999999</c:v>
                </c:pt>
                <c:pt idx="482">
                  <c:v>25.456949999999999</c:v>
                </c:pt>
                <c:pt idx="483">
                  <c:v>25.456949999999999</c:v>
                </c:pt>
                <c:pt idx="484">
                  <c:v>25.456949999999999</c:v>
                </c:pt>
                <c:pt idx="485">
                  <c:v>25.456949999999999</c:v>
                </c:pt>
                <c:pt idx="486">
                  <c:v>25.456949999999999</c:v>
                </c:pt>
                <c:pt idx="487">
                  <c:v>25.456949999999999</c:v>
                </c:pt>
                <c:pt idx="488">
                  <c:v>25.456949999999999</c:v>
                </c:pt>
                <c:pt idx="489">
                  <c:v>25.456949999999999</c:v>
                </c:pt>
                <c:pt idx="490">
                  <c:v>25.456949999999999</c:v>
                </c:pt>
                <c:pt idx="491">
                  <c:v>25.456949999999999</c:v>
                </c:pt>
                <c:pt idx="492">
                  <c:v>25.456949999999999</c:v>
                </c:pt>
                <c:pt idx="493">
                  <c:v>25.456949999999999</c:v>
                </c:pt>
                <c:pt idx="494">
                  <c:v>25.456949999999999</c:v>
                </c:pt>
                <c:pt idx="495">
                  <c:v>25.456949999999999</c:v>
                </c:pt>
                <c:pt idx="496">
                  <c:v>25.456949999999999</c:v>
                </c:pt>
                <c:pt idx="497">
                  <c:v>25.456949999999999</c:v>
                </c:pt>
                <c:pt idx="498">
                  <c:v>25.456949999999999</c:v>
                </c:pt>
                <c:pt idx="499">
                  <c:v>25.456949999999999</c:v>
                </c:pt>
                <c:pt idx="500">
                  <c:v>25.456949999999999</c:v>
                </c:pt>
                <c:pt idx="501">
                  <c:v>25.456949999999999</c:v>
                </c:pt>
                <c:pt idx="502">
                  <c:v>25.456949999999999</c:v>
                </c:pt>
                <c:pt idx="503">
                  <c:v>25.456949999999999</c:v>
                </c:pt>
                <c:pt idx="504">
                  <c:v>25.456949999999999</c:v>
                </c:pt>
                <c:pt idx="505">
                  <c:v>25.456949999999999</c:v>
                </c:pt>
                <c:pt idx="506">
                  <c:v>25.456949999999999</c:v>
                </c:pt>
                <c:pt idx="507">
                  <c:v>25.456949999999999</c:v>
                </c:pt>
                <c:pt idx="508">
                  <c:v>25.456949999999999</c:v>
                </c:pt>
                <c:pt idx="509">
                  <c:v>25.456949999999999</c:v>
                </c:pt>
                <c:pt idx="510">
                  <c:v>25.456949999999999</c:v>
                </c:pt>
                <c:pt idx="511">
                  <c:v>25.456949999999999</c:v>
                </c:pt>
                <c:pt idx="512">
                  <c:v>25.456949999999999</c:v>
                </c:pt>
                <c:pt idx="513">
                  <c:v>25.456949999999999</c:v>
                </c:pt>
                <c:pt idx="514">
                  <c:v>25.456949999999999</c:v>
                </c:pt>
                <c:pt idx="515">
                  <c:v>25.456949999999999</c:v>
                </c:pt>
                <c:pt idx="516">
                  <c:v>25.456949999999999</c:v>
                </c:pt>
                <c:pt idx="517">
                  <c:v>25.456949999999999</c:v>
                </c:pt>
                <c:pt idx="518">
                  <c:v>25.456949999999999</c:v>
                </c:pt>
                <c:pt idx="519">
                  <c:v>25.456949999999999</c:v>
                </c:pt>
                <c:pt idx="520">
                  <c:v>25.456949999999999</c:v>
                </c:pt>
                <c:pt idx="521">
                  <c:v>25.456949999999999</c:v>
                </c:pt>
                <c:pt idx="522">
                  <c:v>25.456949999999999</c:v>
                </c:pt>
                <c:pt idx="523">
                  <c:v>25.456949999999999</c:v>
                </c:pt>
                <c:pt idx="524">
                  <c:v>25.456949999999999</c:v>
                </c:pt>
                <c:pt idx="525">
                  <c:v>25.456949999999999</c:v>
                </c:pt>
                <c:pt idx="526">
                  <c:v>25.456949999999999</c:v>
                </c:pt>
                <c:pt idx="527">
                  <c:v>25.456949999999999</c:v>
                </c:pt>
                <c:pt idx="528">
                  <c:v>25.456949999999999</c:v>
                </c:pt>
                <c:pt idx="529">
                  <c:v>25.456949999999999</c:v>
                </c:pt>
                <c:pt idx="530">
                  <c:v>25.456949999999999</c:v>
                </c:pt>
                <c:pt idx="531">
                  <c:v>25.456949999999999</c:v>
                </c:pt>
                <c:pt idx="532">
                  <c:v>25.456949999999999</c:v>
                </c:pt>
                <c:pt idx="533">
                  <c:v>25.456949999999999</c:v>
                </c:pt>
                <c:pt idx="534">
                  <c:v>25.456949999999999</c:v>
                </c:pt>
                <c:pt idx="535">
                  <c:v>25.456949999999999</c:v>
                </c:pt>
                <c:pt idx="536">
                  <c:v>25.456949999999999</c:v>
                </c:pt>
                <c:pt idx="537">
                  <c:v>25.456949999999999</c:v>
                </c:pt>
                <c:pt idx="538">
                  <c:v>25.456949999999999</c:v>
                </c:pt>
                <c:pt idx="539">
                  <c:v>25.456949999999999</c:v>
                </c:pt>
                <c:pt idx="540">
                  <c:v>25.456949999999999</c:v>
                </c:pt>
                <c:pt idx="541">
                  <c:v>25.456949999999999</c:v>
                </c:pt>
                <c:pt idx="542">
                  <c:v>25.456949999999999</c:v>
                </c:pt>
                <c:pt idx="543">
                  <c:v>25.456949999999999</c:v>
                </c:pt>
                <c:pt idx="544">
                  <c:v>25.456949999999999</c:v>
                </c:pt>
                <c:pt idx="545">
                  <c:v>25.456949999999999</c:v>
                </c:pt>
                <c:pt idx="546">
                  <c:v>25.456949999999999</c:v>
                </c:pt>
                <c:pt idx="547">
                  <c:v>25.456949999999999</c:v>
                </c:pt>
                <c:pt idx="548">
                  <c:v>25.456949999999999</c:v>
                </c:pt>
                <c:pt idx="549">
                  <c:v>25.456949999999999</c:v>
                </c:pt>
                <c:pt idx="550">
                  <c:v>25.456949999999999</c:v>
                </c:pt>
                <c:pt idx="551">
                  <c:v>25.456949999999999</c:v>
                </c:pt>
                <c:pt idx="552">
                  <c:v>25.456949999999999</c:v>
                </c:pt>
                <c:pt idx="553">
                  <c:v>25.456949999999999</c:v>
                </c:pt>
                <c:pt idx="554">
                  <c:v>25.456949999999999</c:v>
                </c:pt>
                <c:pt idx="555">
                  <c:v>25.456949999999999</c:v>
                </c:pt>
                <c:pt idx="556">
                  <c:v>25.456949999999999</c:v>
                </c:pt>
                <c:pt idx="557">
                  <c:v>25.456949999999999</c:v>
                </c:pt>
                <c:pt idx="558">
                  <c:v>25.456949999999999</c:v>
                </c:pt>
                <c:pt idx="559">
                  <c:v>25.456949999999999</c:v>
                </c:pt>
                <c:pt idx="560">
                  <c:v>25.456949999999999</c:v>
                </c:pt>
                <c:pt idx="561">
                  <c:v>25.456949999999999</c:v>
                </c:pt>
                <c:pt idx="562">
                  <c:v>25.456949999999999</c:v>
                </c:pt>
                <c:pt idx="563">
                  <c:v>25.456949999999999</c:v>
                </c:pt>
                <c:pt idx="564">
                  <c:v>25.456949999999999</c:v>
                </c:pt>
                <c:pt idx="565">
                  <c:v>25.456949999999999</c:v>
                </c:pt>
                <c:pt idx="566">
                  <c:v>25.456949999999999</c:v>
                </c:pt>
                <c:pt idx="567">
                  <c:v>25.456949999999999</c:v>
                </c:pt>
                <c:pt idx="568">
                  <c:v>25.456949999999999</c:v>
                </c:pt>
                <c:pt idx="569">
                  <c:v>25.456949999999999</c:v>
                </c:pt>
                <c:pt idx="570">
                  <c:v>25.456949999999999</c:v>
                </c:pt>
                <c:pt idx="571">
                  <c:v>25.456949999999999</c:v>
                </c:pt>
                <c:pt idx="572">
                  <c:v>25.456949999999999</c:v>
                </c:pt>
                <c:pt idx="573">
                  <c:v>25.456949999999999</c:v>
                </c:pt>
                <c:pt idx="574">
                  <c:v>25.456949999999999</c:v>
                </c:pt>
                <c:pt idx="575">
                  <c:v>25.456949999999999</c:v>
                </c:pt>
                <c:pt idx="576">
                  <c:v>25.456949999999999</c:v>
                </c:pt>
                <c:pt idx="577">
                  <c:v>25.456949999999999</c:v>
                </c:pt>
                <c:pt idx="578">
                  <c:v>25.456949999999999</c:v>
                </c:pt>
                <c:pt idx="579">
                  <c:v>25.456949999999999</c:v>
                </c:pt>
                <c:pt idx="580">
                  <c:v>25.456949999999999</c:v>
                </c:pt>
                <c:pt idx="581">
                  <c:v>25.456949999999999</c:v>
                </c:pt>
                <c:pt idx="582">
                  <c:v>25.456949999999999</c:v>
                </c:pt>
                <c:pt idx="583">
                  <c:v>25.456949999999999</c:v>
                </c:pt>
                <c:pt idx="584">
                  <c:v>25.456949999999999</c:v>
                </c:pt>
                <c:pt idx="585">
                  <c:v>25.456949999999999</c:v>
                </c:pt>
                <c:pt idx="586">
                  <c:v>25.456949999999999</c:v>
                </c:pt>
                <c:pt idx="587">
                  <c:v>25.456949999999999</c:v>
                </c:pt>
                <c:pt idx="588">
                  <c:v>25.456949999999999</c:v>
                </c:pt>
                <c:pt idx="589">
                  <c:v>25.456949999999999</c:v>
                </c:pt>
                <c:pt idx="590">
                  <c:v>25.456949999999999</c:v>
                </c:pt>
                <c:pt idx="591">
                  <c:v>25.456949999999999</c:v>
                </c:pt>
                <c:pt idx="592">
                  <c:v>25.456949999999999</c:v>
                </c:pt>
                <c:pt idx="593">
                  <c:v>25.456949999999999</c:v>
                </c:pt>
                <c:pt idx="594">
                  <c:v>25.456949999999999</c:v>
                </c:pt>
                <c:pt idx="595">
                  <c:v>25.456949999999999</c:v>
                </c:pt>
                <c:pt idx="596">
                  <c:v>25.456949999999999</c:v>
                </c:pt>
                <c:pt idx="597">
                  <c:v>25.456949999999999</c:v>
                </c:pt>
                <c:pt idx="598">
                  <c:v>25.456949999999999</c:v>
                </c:pt>
                <c:pt idx="599">
                  <c:v>25.456949999999999</c:v>
                </c:pt>
                <c:pt idx="600">
                  <c:v>25.456949999999999</c:v>
                </c:pt>
                <c:pt idx="601">
                  <c:v>25.456949999999999</c:v>
                </c:pt>
                <c:pt idx="602">
                  <c:v>25.456949999999999</c:v>
                </c:pt>
                <c:pt idx="603">
                  <c:v>25.456949999999999</c:v>
                </c:pt>
                <c:pt idx="604">
                  <c:v>25.456949999999999</c:v>
                </c:pt>
                <c:pt idx="605">
                  <c:v>25.456949999999999</c:v>
                </c:pt>
                <c:pt idx="606">
                  <c:v>25.456949999999999</c:v>
                </c:pt>
                <c:pt idx="607">
                  <c:v>25.456949999999999</c:v>
                </c:pt>
                <c:pt idx="608">
                  <c:v>25.456949999999999</c:v>
                </c:pt>
                <c:pt idx="609">
                  <c:v>25.456949999999999</c:v>
                </c:pt>
                <c:pt idx="610">
                  <c:v>25.456949999999999</c:v>
                </c:pt>
                <c:pt idx="611">
                  <c:v>25.456949999999999</c:v>
                </c:pt>
                <c:pt idx="612">
                  <c:v>25.456949999999999</c:v>
                </c:pt>
                <c:pt idx="613">
                  <c:v>25.456949999999999</c:v>
                </c:pt>
                <c:pt idx="614">
                  <c:v>25.456949999999999</c:v>
                </c:pt>
                <c:pt idx="615">
                  <c:v>25.456949999999999</c:v>
                </c:pt>
                <c:pt idx="616">
                  <c:v>25.456949999999999</c:v>
                </c:pt>
                <c:pt idx="617">
                  <c:v>25.456949999999999</c:v>
                </c:pt>
                <c:pt idx="618">
                  <c:v>25.456949999999999</c:v>
                </c:pt>
                <c:pt idx="619">
                  <c:v>25.456949999999999</c:v>
                </c:pt>
                <c:pt idx="620">
                  <c:v>25.456949999999999</c:v>
                </c:pt>
                <c:pt idx="621">
                  <c:v>25.456949999999999</c:v>
                </c:pt>
                <c:pt idx="622">
                  <c:v>25.456949999999999</c:v>
                </c:pt>
                <c:pt idx="623">
                  <c:v>25.456949999999999</c:v>
                </c:pt>
                <c:pt idx="624">
                  <c:v>25.456949999999999</c:v>
                </c:pt>
                <c:pt idx="625">
                  <c:v>25.456949999999999</c:v>
                </c:pt>
                <c:pt idx="626">
                  <c:v>25.456949999999999</c:v>
                </c:pt>
                <c:pt idx="627">
                  <c:v>25.456949999999999</c:v>
                </c:pt>
                <c:pt idx="628">
                  <c:v>25.456949999999999</c:v>
                </c:pt>
                <c:pt idx="629">
                  <c:v>25.456949999999999</c:v>
                </c:pt>
                <c:pt idx="630">
                  <c:v>25.456949999999999</c:v>
                </c:pt>
                <c:pt idx="631">
                  <c:v>25.456949999999999</c:v>
                </c:pt>
                <c:pt idx="632">
                  <c:v>25.456949999999999</c:v>
                </c:pt>
                <c:pt idx="633">
                  <c:v>25.456949999999999</c:v>
                </c:pt>
                <c:pt idx="634">
                  <c:v>25.456949999999999</c:v>
                </c:pt>
                <c:pt idx="635">
                  <c:v>25.456949999999999</c:v>
                </c:pt>
                <c:pt idx="636">
                  <c:v>25.456949999999999</c:v>
                </c:pt>
                <c:pt idx="637">
                  <c:v>25.456949999999999</c:v>
                </c:pt>
                <c:pt idx="638">
                  <c:v>25.456949999999999</c:v>
                </c:pt>
                <c:pt idx="639">
                  <c:v>25.456949999999999</c:v>
                </c:pt>
                <c:pt idx="640">
                  <c:v>25.456949999999999</c:v>
                </c:pt>
                <c:pt idx="641">
                  <c:v>25.456949999999999</c:v>
                </c:pt>
                <c:pt idx="642">
                  <c:v>25.456949999999999</c:v>
                </c:pt>
                <c:pt idx="643">
                  <c:v>25.456949999999999</c:v>
                </c:pt>
                <c:pt idx="644">
                  <c:v>25.456949999999999</c:v>
                </c:pt>
                <c:pt idx="645">
                  <c:v>25.456949999999999</c:v>
                </c:pt>
                <c:pt idx="646">
                  <c:v>25.456949999999999</c:v>
                </c:pt>
                <c:pt idx="647">
                  <c:v>25.456949999999999</c:v>
                </c:pt>
                <c:pt idx="648">
                  <c:v>25.456949999999999</c:v>
                </c:pt>
                <c:pt idx="649">
                  <c:v>25.456949999999999</c:v>
                </c:pt>
                <c:pt idx="650">
                  <c:v>25.456949999999999</c:v>
                </c:pt>
                <c:pt idx="651">
                  <c:v>25.456949999999999</c:v>
                </c:pt>
                <c:pt idx="652">
                  <c:v>25.456949999999999</c:v>
                </c:pt>
                <c:pt idx="653">
                  <c:v>25.456949999999999</c:v>
                </c:pt>
                <c:pt idx="654">
                  <c:v>25.456949999999999</c:v>
                </c:pt>
                <c:pt idx="655">
                  <c:v>25.456949999999999</c:v>
                </c:pt>
                <c:pt idx="656">
                  <c:v>25.456949999999999</c:v>
                </c:pt>
                <c:pt idx="657">
                  <c:v>25.456949999999999</c:v>
                </c:pt>
                <c:pt idx="658">
                  <c:v>25.456949999999999</c:v>
                </c:pt>
                <c:pt idx="659">
                  <c:v>25.456949999999999</c:v>
                </c:pt>
                <c:pt idx="660">
                  <c:v>25.456949999999999</c:v>
                </c:pt>
                <c:pt idx="661">
                  <c:v>25.456949999999999</c:v>
                </c:pt>
                <c:pt idx="662">
                  <c:v>25.456949999999999</c:v>
                </c:pt>
                <c:pt idx="663">
                  <c:v>25.456949999999999</c:v>
                </c:pt>
                <c:pt idx="664">
                  <c:v>25.456949999999999</c:v>
                </c:pt>
                <c:pt idx="665">
                  <c:v>25.456949999999999</c:v>
                </c:pt>
                <c:pt idx="666">
                  <c:v>25.456949999999999</c:v>
                </c:pt>
                <c:pt idx="667">
                  <c:v>25.456949999999999</c:v>
                </c:pt>
                <c:pt idx="668">
                  <c:v>25.456949999999999</c:v>
                </c:pt>
                <c:pt idx="669">
                  <c:v>25.456949999999999</c:v>
                </c:pt>
                <c:pt idx="670">
                  <c:v>25.456949999999999</c:v>
                </c:pt>
                <c:pt idx="671">
                  <c:v>25.456949999999999</c:v>
                </c:pt>
                <c:pt idx="672">
                  <c:v>25.456949999999999</c:v>
                </c:pt>
                <c:pt idx="673">
                  <c:v>25.456949999999999</c:v>
                </c:pt>
                <c:pt idx="674">
                  <c:v>25.456949999999999</c:v>
                </c:pt>
                <c:pt idx="675">
                  <c:v>25.456949999999999</c:v>
                </c:pt>
                <c:pt idx="676">
                  <c:v>25.456949999999999</c:v>
                </c:pt>
                <c:pt idx="677">
                  <c:v>25.456949999999999</c:v>
                </c:pt>
                <c:pt idx="678">
                  <c:v>25.456949999999999</c:v>
                </c:pt>
                <c:pt idx="679">
                  <c:v>25.456949999999999</c:v>
                </c:pt>
                <c:pt idx="680">
                  <c:v>25.456949999999999</c:v>
                </c:pt>
                <c:pt idx="681">
                  <c:v>25.456949999999999</c:v>
                </c:pt>
                <c:pt idx="682">
                  <c:v>25.456949999999999</c:v>
                </c:pt>
                <c:pt idx="683">
                  <c:v>25.456949999999999</c:v>
                </c:pt>
                <c:pt idx="684">
                  <c:v>25.456949999999999</c:v>
                </c:pt>
                <c:pt idx="685">
                  <c:v>25.456949999999999</c:v>
                </c:pt>
                <c:pt idx="686">
                  <c:v>25.456949999999999</c:v>
                </c:pt>
                <c:pt idx="687">
                  <c:v>25.456949999999999</c:v>
                </c:pt>
                <c:pt idx="688">
                  <c:v>25.456949999999999</c:v>
                </c:pt>
                <c:pt idx="689">
                  <c:v>25.456949999999999</c:v>
                </c:pt>
                <c:pt idx="690">
                  <c:v>25.456949999999999</c:v>
                </c:pt>
                <c:pt idx="691">
                  <c:v>25.456949999999999</c:v>
                </c:pt>
                <c:pt idx="692">
                  <c:v>25.456949999999999</c:v>
                </c:pt>
                <c:pt idx="693">
                  <c:v>25.456949999999999</c:v>
                </c:pt>
                <c:pt idx="694">
                  <c:v>25.456949999999999</c:v>
                </c:pt>
                <c:pt idx="695">
                  <c:v>25.456949999999999</c:v>
                </c:pt>
                <c:pt idx="696">
                  <c:v>25.456949999999999</c:v>
                </c:pt>
                <c:pt idx="697">
                  <c:v>25.456949999999999</c:v>
                </c:pt>
                <c:pt idx="698">
                  <c:v>25.456949999999999</c:v>
                </c:pt>
                <c:pt idx="699">
                  <c:v>25.456949999999999</c:v>
                </c:pt>
                <c:pt idx="700">
                  <c:v>25.456949999999999</c:v>
                </c:pt>
                <c:pt idx="701">
                  <c:v>25.456949999999999</c:v>
                </c:pt>
                <c:pt idx="702">
                  <c:v>25.456949999999999</c:v>
                </c:pt>
                <c:pt idx="703">
                  <c:v>25.456949999999999</c:v>
                </c:pt>
                <c:pt idx="704">
                  <c:v>25.456949999999999</c:v>
                </c:pt>
                <c:pt idx="705">
                  <c:v>25.456949999999999</c:v>
                </c:pt>
                <c:pt idx="706">
                  <c:v>25.456949999999999</c:v>
                </c:pt>
                <c:pt idx="707">
                  <c:v>25.456949999999999</c:v>
                </c:pt>
                <c:pt idx="708">
                  <c:v>25.456949999999999</c:v>
                </c:pt>
                <c:pt idx="709">
                  <c:v>25.456949999999999</c:v>
                </c:pt>
                <c:pt idx="710">
                  <c:v>25.456949999999999</c:v>
                </c:pt>
                <c:pt idx="711">
                  <c:v>25.456949999999999</c:v>
                </c:pt>
                <c:pt idx="712">
                  <c:v>25.456949999999999</c:v>
                </c:pt>
                <c:pt idx="713">
                  <c:v>25.456949999999999</c:v>
                </c:pt>
                <c:pt idx="714">
                  <c:v>25.456949999999999</c:v>
                </c:pt>
                <c:pt idx="715">
                  <c:v>25.456949999999999</c:v>
                </c:pt>
                <c:pt idx="716">
                  <c:v>25.456949999999999</c:v>
                </c:pt>
                <c:pt idx="717">
                  <c:v>25.456949999999999</c:v>
                </c:pt>
                <c:pt idx="718">
                  <c:v>25.456949999999999</c:v>
                </c:pt>
                <c:pt idx="719">
                  <c:v>25.456949999999999</c:v>
                </c:pt>
                <c:pt idx="720">
                  <c:v>25.456949999999999</c:v>
                </c:pt>
                <c:pt idx="721">
                  <c:v>25.456949999999999</c:v>
                </c:pt>
                <c:pt idx="722">
                  <c:v>25.456949999999999</c:v>
                </c:pt>
                <c:pt idx="723">
                  <c:v>25.456949999999999</c:v>
                </c:pt>
                <c:pt idx="724">
                  <c:v>25.456949999999999</c:v>
                </c:pt>
                <c:pt idx="725">
                  <c:v>25.456949999999999</c:v>
                </c:pt>
                <c:pt idx="726">
                  <c:v>25.456949999999999</c:v>
                </c:pt>
                <c:pt idx="727">
                  <c:v>25.456949999999999</c:v>
                </c:pt>
                <c:pt idx="728">
                  <c:v>25.456949999999999</c:v>
                </c:pt>
                <c:pt idx="729">
                  <c:v>25.456949999999999</c:v>
                </c:pt>
                <c:pt idx="730">
                  <c:v>25.456949999999999</c:v>
                </c:pt>
                <c:pt idx="731">
                  <c:v>25.456949999999999</c:v>
                </c:pt>
                <c:pt idx="732">
                  <c:v>25.456949999999999</c:v>
                </c:pt>
                <c:pt idx="733">
                  <c:v>25.456949999999999</c:v>
                </c:pt>
                <c:pt idx="734">
                  <c:v>25.456949999999999</c:v>
                </c:pt>
                <c:pt idx="735">
                  <c:v>25.456949999999999</c:v>
                </c:pt>
                <c:pt idx="736">
                  <c:v>25.456949999999999</c:v>
                </c:pt>
                <c:pt idx="737">
                  <c:v>25.456949999999999</c:v>
                </c:pt>
                <c:pt idx="738">
                  <c:v>25.456949999999999</c:v>
                </c:pt>
                <c:pt idx="739">
                  <c:v>25.456949999999999</c:v>
                </c:pt>
                <c:pt idx="740">
                  <c:v>25.456949999999999</c:v>
                </c:pt>
                <c:pt idx="741">
                  <c:v>25.456949999999999</c:v>
                </c:pt>
                <c:pt idx="742">
                  <c:v>25.456949999999999</c:v>
                </c:pt>
                <c:pt idx="743">
                  <c:v>25.456949999999999</c:v>
                </c:pt>
                <c:pt idx="744">
                  <c:v>25.456949999999999</c:v>
                </c:pt>
                <c:pt idx="745">
                  <c:v>25.456949999999999</c:v>
                </c:pt>
                <c:pt idx="746">
                  <c:v>25.456949999999999</c:v>
                </c:pt>
                <c:pt idx="747">
                  <c:v>25.456949999999999</c:v>
                </c:pt>
                <c:pt idx="748">
                  <c:v>25.456949999999999</c:v>
                </c:pt>
                <c:pt idx="749">
                  <c:v>25.456949999999999</c:v>
                </c:pt>
                <c:pt idx="750">
                  <c:v>25.456949999999999</c:v>
                </c:pt>
                <c:pt idx="751">
                  <c:v>25.456949999999999</c:v>
                </c:pt>
                <c:pt idx="752">
                  <c:v>25.456949999999999</c:v>
                </c:pt>
                <c:pt idx="753">
                  <c:v>25.456949999999999</c:v>
                </c:pt>
                <c:pt idx="754">
                  <c:v>25.456949999999999</c:v>
                </c:pt>
                <c:pt idx="755">
                  <c:v>25.456949999999999</c:v>
                </c:pt>
                <c:pt idx="756">
                  <c:v>25.456949999999999</c:v>
                </c:pt>
                <c:pt idx="757">
                  <c:v>25.456949999999999</c:v>
                </c:pt>
                <c:pt idx="758">
                  <c:v>25.456949999999999</c:v>
                </c:pt>
                <c:pt idx="759">
                  <c:v>25.456949999999999</c:v>
                </c:pt>
                <c:pt idx="760">
                  <c:v>25.456949999999999</c:v>
                </c:pt>
                <c:pt idx="761">
                  <c:v>25.456949999999999</c:v>
                </c:pt>
                <c:pt idx="762">
                  <c:v>25.456949999999999</c:v>
                </c:pt>
                <c:pt idx="763">
                  <c:v>25.456949999999999</c:v>
                </c:pt>
                <c:pt idx="764">
                  <c:v>25.456949999999999</c:v>
                </c:pt>
                <c:pt idx="765">
                  <c:v>25.456949999999999</c:v>
                </c:pt>
                <c:pt idx="766">
                  <c:v>25.456949999999999</c:v>
                </c:pt>
                <c:pt idx="767">
                  <c:v>25.456949999999999</c:v>
                </c:pt>
                <c:pt idx="768">
                  <c:v>25.456949999999999</c:v>
                </c:pt>
                <c:pt idx="769">
                  <c:v>25.456949999999999</c:v>
                </c:pt>
                <c:pt idx="770">
                  <c:v>25.456949999999999</c:v>
                </c:pt>
                <c:pt idx="771">
                  <c:v>25.456949999999999</c:v>
                </c:pt>
                <c:pt idx="772">
                  <c:v>25.456949999999999</c:v>
                </c:pt>
                <c:pt idx="773">
                  <c:v>25.456949999999999</c:v>
                </c:pt>
                <c:pt idx="774">
                  <c:v>25.456949999999999</c:v>
                </c:pt>
                <c:pt idx="775">
                  <c:v>25.456949999999999</c:v>
                </c:pt>
                <c:pt idx="776">
                  <c:v>25.456949999999999</c:v>
                </c:pt>
                <c:pt idx="777">
                  <c:v>25.456949999999999</c:v>
                </c:pt>
                <c:pt idx="778">
                  <c:v>25.456949999999999</c:v>
                </c:pt>
                <c:pt idx="779">
                  <c:v>25.456949999999999</c:v>
                </c:pt>
                <c:pt idx="780">
                  <c:v>25.456949999999999</c:v>
                </c:pt>
                <c:pt idx="781">
                  <c:v>25.456949999999999</c:v>
                </c:pt>
                <c:pt idx="782">
                  <c:v>25.456949999999999</c:v>
                </c:pt>
                <c:pt idx="783">
                  <c:v>25.456949999999999</c:v>
                </c:pt>
                <c:pt idx="784">
                  <c:v>25.456949999999999</c:v>
                </c:pt>
                <c:pt idx="785">
                  <c:v>25.456949999999999</c:v>
                </c:pt>
                <c:pt idx="786">
                  <c:v>25.456949999999999</c:v>
                </c:pt>
                <c:pt idx="787">
                  <c:v>25.456949999999999</c:v>
                </c:pt>
                <c:pt idx="788">
                  <c:v>25.456949999999999</c:v>
                </c:pt>
                <c:pt idx="789">
                  <c:v>25.456949999999999</c:v>
                </c:pt>
                <c:pt idx="790">
                  <c:v>25.456949999999999</c:v>
                </c:pt>
                <c:pt idx="791">
                  <c:v>25.456949999999999</c:v>
                </c:pt>
                <c:pt idx="792">
                  <c:v>25.456949999999999</c:v>
                </c:pt>
                <c:pt idx="793">
                  <c:v>25.456949999999999</c:v>
                </c:pt>
                <c:pt idx="794">
                  <c:v>25.456949999999999</c:v>
                </c:pt>
                <c:pt idx="795">
                  <c:v>25.456949999999999</c:v>
                </c:pt>
                <c:pt idx="796">
                  <c:v>25.456949999999999</c:v>
                </c:pt>
                <c:pt idx="797">
                  <c:v>25.456949999999999</c:v>
                </c:pt>
                <c:pt idx="798">
                  <c:v>25.456949999999999</c:v>
                </c:pt>
                <c:pt idx="799">
                  <c:v>25.456949999999999</c:v>
                </c:pt>
                <c:pt idx="800">
                  <c:v>25.456949999999999</c:v>
                </c:pt>
                <c:pt idx="801">
                  <c:v>25.456949999999999</c:v>
                </c:pt>
                <c:pt idx="802">
                  <c:v>25.456949999999999</c:v>
                </c:pt>
                <c:pt idx="803">
                  <c:v>25.456949999999999</c:v>
                </c:pt>
                <c:pt idx="804">
                  <c:v>25.456949999999999</c:v>
                </c:pt>
                <c:pt idx="805">
                  <c:v>25.456949999999999</c:v>
                </c:pt>
                <c:pt idx="806">
                  <c:v>25.456949999999999</c:v>
                </c:pt>
                <c:pt idx="807">
                  <c:v>25.456949999999999</c:v>
                </c:pt>
                <c:pt idx="808">
                  <c:v>25.456949999999999</c:v>
                </c:pt>
                <c:pt idx="809">
                  <c:v>25.456949999999999</c:v>
                </c:pt>
                <c:pt idx="810">
                  <c:v>25.456949999999999</c:v>
                </c:pt>
                <c:pt idx="811">
                  <c:v>25.456949999999999</c:v>
                </c:pt>
                <c:pt idx="812">
                  <c:v>25.456949999999999</c:v>
                </c:pt>
                <c:pt idx="813">
                  <c:v>25.456949999999999</c:v>
                </c:pt>
                <c:pt idx="814">
                  <c:v>25.456949999999999</c:v>
                </c:pt>
                <c:pt idx="815">
                  <c:v>25.456949999999999</c:v>
                </c:pt>
                <c:pt idx="816">
                  <c:v>25.456949999999999</c:v>
                </c:pt>
                <c:pt idx="817">
                  <c:v>25.456949999999999</c:v>
                </c:pt>
                <c:pt idx="818">
                  <c:v>25.456949999999999</c:v>
                </c:pt>
                <c:pt idx="819">
                  <c:v>25.456949999999999</c:v>
                </c:pt>
                <c:pt idx="820">
                  <c:v>25.456949999999999</c:v>
                </c:pt>
                <c:pt idx="821">
                  <c:v>25.456949999999999</c:v>
                </c:pt>
                <c:pt idx="822">
                  <c:v>25.456949999999999</c:v>
                </c:pt>
                <c:pt idx="823">
                  <c:v>25.456949999999999</c:v>
                </c:pt>
                <c:pt idx="824">
                  <c:v>25.456949999999999</c:v>
                </c:pt>
                <c:pt idx="825">
                  <c:v>25.456949999999999</c:v>
                </c:pt>
                <c:pt idx="826">
                  <c:v>25.456949999999999</c:v>
                </c:pt>
                <c:pt idx="827">
                  <c:v>25.456949999999999</c:v>
                </c:pt>
                <c:pt idx="828">
                  <c:v>25.456949999999999</c:v>
                </c:pt>
                <c:pt idx="829">
                  <c:v>25.456949999999999</c:v>
                </c:pt>
                <c:pt idx="830">
                  <c:v>25.456949999999999</c:v>
                </c:pt>
                <c:pt idx="831">
                  <c:v>25.456949999999999</c:v>
                </c:pt>
                <c:pt idx="832">
                  <c:v>25.456949999999999</c:v>
                </c:pt>
                <c:pt idx="833">
                  <c:v>25.456949999999999</c:v>
                </c:pt>
                <c:pt idx="834">
                  <c:v>25.456949999999999</c:v>
                </c:pt>
                <c:pt idx="835">
                  <c:v>25.456949999999999</c:v>
                </c:pt>
                <c:pt idx="836">
                  <c:v>25.456949999999999</c:v>
                </c:pt>
                <c:pt idx="837">
                  <c:v>25.456949999999999</c:v>
                </c:pt>
                <c:pt idx="838">
                  <c:v>25.456949999999999</c:v>
                </c:pt>
                <c:pt idx="839">
                  <c:v>25.456949999999999</c:v>
                </c:pt>
                <c:pt idx="840">
                  <c:v>25.456949999999999</c:v>
                </c:pt>
                <c:pt idx="841">
                  <c:v>25.456949999999999</c:v>
                </c:pt>
                <c:pt idx="842">
                  <c:v>25.456949999999999</c:v>
                </c:pt>
                <c:pt idx="843">
                  <c:v>25.456949999999999</c:v>
                </c:pt>
                <c:pt idx="844">
                  <c:v>25.456949999999999</c:v>
                </c:pt>
                <c:pt idx="845">
                  <c:v>25.456949999999999</c:v>
                </c:pt>
                <c:pt idx="846">
                  <c:v>25.456949999999999</c:v>
                </c:pt>
                <c:pt idx="847">
                  <c:v>25.456949999999999</c:v>
                </c:pt>
                <c:pt idx="848">
                  <c:v>25.456949999999999</c:v>
                </c:pt>
                <c:pt idx="849">
                  <c:v>25.456949999999999</c:v>
                </c:pt>
                <c:pt idx="850">
                  <c:v>25.456949999999999</c:v>
                </c:pt>
                <c:pt idx="851">
                  <c:v>25.456949999999999</c:v>
                </c:pt>
                <c:pt idx="852">
                  <c:v>25.456949999999999</c:v>
                </c:pt>
                <c:pt idx="853">
                  <c:v>25.456949999999999</c:v>
                </c:pt>
                <c:pt idx="854">
                  <c:v>25.456949999999999</c:v>
                </c:pt>
                <c:pt idx="855">
                  <c:v>25.456949999999999</c:v>
                </c:pt>
                <c:pt idx="856">
                  <c:v>25.456949999999999</c:v>
                </c:pt>
                <c:pt idx="857">
                  <c:v>25.456949999999999</c:v>
                </c:pt>
                <c:pt idx="858">
                  <c:v>25.456949999999999</c:v>
                </c:pt>
                <c:pt idx="859">
                  <c:v>25.456949999999999</c:v>
                </c:pt>
                <c:pt idx="860">
                  <c:v>25.456949999999999</c:v>
                </c:pt>
                <c:pt idx="861">
                  <c:v>25.456949999999999</c:v>
                </c:pt>
                <c:pt idx="862">
                  <c:v>25.456949999999999</c:v>
                </c:pt>
                <c:pt idx="863">
                  <c:v>25.456949999999999</c:v>
                </c:pt>
                <c:pt idx="864">
                  <c:v>25.456949999999999</c:v>
                </c:pt>
                <c:pt idx="865">
                  <c:v>25.456949999999999</c:v>
                </c:pt>
                <c:pt idx="866">
                  <c:v>25.456949999999999</c:v>
                </c:pt>
                <c:pt idx="867">
                  <c:v>25.456949999999999</c:v>
                </c:pt>
                <c:pt idx="868">
                  <c:v>25.456949999999999</c:v>
                </c:pt>
                <c:pt idx="869">
                  <c:v>25.456949999999999</c:v>
                </c:pt>
                <c:pt idx="870">
                  <c:v>25.456949999999999</c:v>
                </c:pt>
                <c:pt idx="871">
                  <c:v>25.456949999999999</c:v>
                </c:pt>
                <c:pt idx="872">
                  <c:v>25.456949999999999</c:v>
                </c:pt>
                <c:pt idx="873">
                  <c:v>25.456949999999999</c:v>
                </c:pt>
                <c:pt idx="874">
                  <c:v>25.456949999999999</c:v>
                </c:pt>
                <c:pt idx="875">
                  <c:v>25.456949999999999</c:v>
                </c:pt>
                <c:pt idx="876">
                  <c:v>25.456949999999999</c:v>
                </c:pt>
                <c:pt idx="877">
                  <c:v>25.456949999999999</c:v>
                </c:pt>
                <c:pt idx="878">
                  <c:v>25.456949999999999</c:v>
                </c:pt>
                <c:pt idx="879">
                  <c:v>25.456949999999999</c:v>
                </c:pt>
                <c:pt idx="880">
                  <c:v>25.456949999999999</c:v>
                </c:pt>
                <c:pt idx="881">
                  <c:v>25.456949999999999</c:v>
                </c:pt>
                <c:pt idx="882">
                  <c:v>25.456949999999999</c:v>
                </c:pt>
                <c:pt idx="883">
                  <c:v>25.456949999999999</c:v>
                </c:pt>
                <c:pt idx="884">
                  <c:v>25.456949999999999</c:v>
                </c:pt>
                <c:pt idx="885">
                  <c:v>25.456949999999999</c:v>
                </c:pt>
                <c:pt idx="886">
                  <c:v>25.456949999999999</c:v>
                </c:pt>
                <c:pt idx="887">
                  <c:v>25.456949999999999</c:v>
                </c:pt>
                <c:pt idx="888">
                  <c:v>25.456949999999999</c:v>
                </c:pt>
                <c:pt idx="889">
                  <c:v>25.456949999999999</c:v>
                </c:pt>
                <c:pt idx="890">
                  <c:v>25.456949999999999</c:v>
                </c:pt>
                <c:pt idx="891">
                  <c:v>25.456949999999999</c:v>
                </c:pt>
                <c:pt idx="892">
                  <c:v>25.456949999999999</c:v>
                </c:pt>
                <c:pt idx="893">
                  <c:v>25.456949999999999</c:v>
                </c:pt>
                <c:pt idx="894">
                  <c:v>25.456949999999999</c:v>
                </c:pt>
                <c:pt idx="895">
                  <c:v>25.456949999999999</c:v>
                </c:pt>
                <c:pt idx="896">
                  <c:v>25.456949999999999</c:v>
                </c:pt>
                <c:pt idx="897">
                  <c:v>25.456949999999999</c:v>
                </c:pt>
                <c:pt idx="898">
                  <c:v>25.456949999999999</c:v>
                </c:pt>
                <c:pt idx="899">
                  <c:v>25.456949999999999</c:v>
                </c:pt>
                <c:pt idx="900">
                  <c:v>25.456949999999999</c:v>
                </c:pt>
                <c:pt idx="901">
                  <c:v>25.456949999999999</c:v>
                </c:pt>
                <c:pt idx="902">
                  <c:v>25.456949999999999</c:v>
                </c:pt>
                <c:pt idx="903">
                  <c:v>25.456949999999999</c:v>
                </c:pt>
                <c:pt idx="904">
                  <c:v>25.456949999999999</c:v>
                </c:pt>
                <c:pt idx="905">
                  <c:v>25.456949999999999</c:v>
                </c:pt>
                <c:pt idx="906">
                  <c:v>25.456949999999999</c:v>
                </c:pt>
                <c:pt idx="907">
                  <c:v>25.456949999999999</c:v>
                </c:pt>
                <c:pt idx="908">
                  <c:v>25.456949999999999</c:v>
                </c:pt>
                <c:pt idx="909">
                  <c:v>25.456949999999999</c:v>
                </c:pt>
                <c:pt idx="910">
                  <c:v>25.456949999999999</c:v>
                </c:pt>
                <c:pt idx="911">
                  <c:v>25.456949999999999</c:v>
                </c:pt>
                <c:pt idx="912">
                  <c:v>25.456949999999999</c:v>
                </c:pt>
                <c:pt idx="913">
                  <c:v>25.456949999999999</c:v>
                </c:pt>
                <c:pt idx="914">
                  <c:v>25.456949999999999</c:v>
                </c:pt>
                <c:pt idx="915">
                  <c:v>25.456949999999999</c:v>
                </c:pt>
                <c:pt idx="916">
                  <c:v>25.456949999999999</c:v>
                </c:pt>
                <c:pt idx="917">
                  <c:v>25.456949999999999</c:v>
                </c:pt>
                <c:pt idx="918">
                  <c:v>25.456949999999999</c:v>
                </c:pt>
                <c:pt idx="919">
                  <c:v>25.456949999999999</c:v>
                </c:pt>
                <c:pt idx="920">
                  <c:v>25.456949999999999</c:v>
                </c:pt>
                <c:pt idx="921">
                  <c:v>25.456949999999999</c:v>
                </c:pt>
                <c:pt idx="922">
                  <c:v>25.456949999999999</c:v>
                </c:pt>
                <c:pt idx="923">
                  <c:v>25.456949999999999</c:v>
                </c:pt>
                <c:pt idx="924">
                  <c:v>25.456949999999999</c:v>
                </c:pt>
                <c:pt idx="925">
                  <c:v>25.456949999999999</c:v>
                </c:pt>
                <c:pt idx="926">
                  <c:v>25.456949999999999</c:v>
                </c:pt>
                <c:pt idx="927">
                  <c:v>25.456949999999999</c:v>
                </c:pt>
                <c:pt idx="928">
                  <c:v>25.456949999999999</c:v>
                </c:pt>
                <c:pt idx="929">
                  <c:v>25.456949999999999</c:v>
                </c:pt>
                <c:pt idx="930">
                  <c:v>25.456949999999999</c:v>
                </c:pt>
                <c:pt idx="931">
                  <c:v>25.456949999999999</c:v>
                </c:pt>
                <c:pt idx="932">
                  <c:v>25.456949999999999</c:v>
                </c:pt>
                <c:pt idx="933">
                  <c:v>25.456949999999999</c:v>
                </c:pt>
                <c:pt idx="934">
                  <c:v>25.456949999999999</c:v>
                </c:pt>
                <c:pt idx="935">
                  <c:v>25.456949999999999</c:v>
                </c:pt>
                <c:pt idx="936">
                  <c:v>25.456949999999999</c:v>
                </c:pt>
                <c:pt idx="937">
                  <c:v>25.456949999999999</c:v>
                </c:pt>
                <c:pt idx="938">
                  <c:v>25.456949999999999</c:v>
                </c:pt>
                <c:pt idx="939">
                  <c:v>25.456949999999999</c:v>
                </c:pt>
                <c:pt idx="940">
                  <c:v>25.456949999999999</c:v>
                </c:pt>
                <c:pt idx="941">
                  <c:v>25.456949999999999</c:v>
                </c:pt>
                <c:pt idx="942">
                  <c:v>25.456949999999999</c:v>
                </c:pt>
                <c:pt idx="943">
                  <c:v>25.456949999999999</c:v>
                </c:pt>
                <c:pt idx="944">
                  <c:v>25.456949999999999</c:v>
                </c:pt>
                <c:pt idx="945">
                  <c:v>25.456949999999999</c:v>
                </c:pt>
                <c:pt idx="946">
                  <c:v>25.456949999999999</c:v>
                </c:pt>
                <c:pt idx="947">
                  <c:v>25.456949999999999</c:v>
                </c:pt>
                <c:pt idx="948">
                  <c:v>25.456949999999999</c:v>
                </c:pt>
                <c:pt idx="949">
                  <c:v>25.456949999999999</c:v>
                </c:pt>
                <c:pt idx="950">
                  <c:v>25.456949999999999</c:v>
                </c:pt>
                <c:pt idx="951">
                  <c:v>25.456949999999999</c:v>
                </c:pt>
                <c:pt idx="952">
                  <c:v>25.456949999999999</c:v>
                </c:pt>
                <c:pt idx="953">
                  <c:v>25.456949999999999</c:v>
                </c:pt>
                <c:pt idx="954">
                  <c:v>25.456949999999999</c:v>
                </c:pt>
                <c:pt idx="955">
                  <c:v>25.456949999999999</c:v>
                </c:pt>
                <c:pt idx="956">
                  <c:v>25.456949999999999</c:v>
                </c:pt>
                <c:pt idx="957">
                  <c:v>25.456949999999999</c:v>
                </c:pt>
                <c:pt idx="958">
                  <c:v>25.456949999999999</c:v>
                </c:pt>
                <c:pt idx="959">
                  <c:v>25.456949999999999</c:v>
                </c:pt>
                <c:pt idx="960">
                  <c:v>25.456949999999999</c:v>
                </c:pt>
                <c:pt idx="961">
                  <c:v>25.456949999999999</c:v>
                </c:pt>
                <c:pt idx="962">
                  <c:v>25.456949999999999</c:v>
                </c:pt>
                <c:pt idx="963">
                  <c:v>25.456949999999999</c:v>
                </c:pt>
                <c:pt idx="964">
                  <c:v>25.456949999999999</c:v>
                </c:pt>
                <c:pt idx="965">
                  <c:v>25.456949999999999</c:v>
                </c:pt>
                <c:pt idx="966">
                  <c:v>25.456949999999999</c:v>
                </c:pt>
                <c:pt idx="967">
                  <c:v>25.456949999999999</c:v>
                </c:pt>
                <c:pt idx="968">
                  <c:v>25.456949999999999</c:v>
                </c:pt>
                <c:pt idx="969">
                  <c:v>25.456949999999999</c:v>
                </c:pt>
                <c:pt idx="970">
                  <c:v>25.456949999999999</c:v>
                </c:pt>
                <c:pt idx="971">
                  <c:v>25.456949999999999</c:v>
                </c:pt>
                <c:pt idx="972">
                  <c:v>25.456949999999999</c:v>
                </c:pt>
                <c:pt idx="973">
                  <c:v>25.456949999999999</c:v>
                </c:pt>
                <c:pt idx="974">
                  <c:v>25.456949999999999</c:v>
                </c:pt>
                <c:pt idx="975">
                  <c:v>25.456949999999999</c:v>
                </c:pt>
                <c:pt idx="976">
                  <c:v>25.456949999999999</c:v>
                </c:pt>
                <c:pt idx="977">
                  <c:v>25.456949999999999</c:v>
                </c:pt>
                <c:pt idx="978">
                  <c:v>25.456949999999999</c:v>
                </c:pt>
                <c:pt idx="979">
                  <c:v>25.456949999999999</c:v>
                </c:pt>
                <c:pt idx="980">
                  <c:v>25.456949999999999</c:v>
                </c:pt>
                <c:pt idx="981">
                  <c:v>25.456949999999999</c:v>
                </c:pt>
                <c:pt idx="982">
                  <c:v>25.456949999999999</c:v>
                </c:pt>
                <c:pt idx="983">
                  <c:v>25.456949999999999</c:v>
                </c:pt>
                <c:pt idx="984">
                  <c:v>25.456949999999999</c:v>
                </c:pt>
                <c:pt idx="985">
                  <c:v>25.456949999999999</c:v>
                </c:pt>
                <c:pt idx="986">
                  <c:v>25.456949999999999</c:v>
                </c:pt>
                <c:pt idx="987">
                  <c:v>25.456949999999999</c:v>
                </c:pt>
                <c:pt idx="988">
                  <c:v>25.456949999999999</c:v>
                </c:pt>
                <c:pt idx="989">
                  <c:v>25.456949999999999</c:v>
                </c:pt>
                <c:pt idx="990">
                  <c:v>25.456949999999999</c:v>
                </c:pt>
                <c:pt idx="991">
                  <c:v>25.456949999999999</c:v>
                </c:pt>
                <c:pt idx="992">
                  <c:v>25.456949999999999</c:v>
                </c:pt>
                <c:pt idx="993">
                  <c:v>25.456949999999999</c:v>
                </c:pt>
                <c:pt idx="994">
                  <c:v>25.456949999999999</c:v>
                </c:pt>
                <c:pt idx="995">
                  <c:v>25.456949999999999</c:v>
                </c:pt>
                <c:pt idx="996">
                  <c:v>25.456949999999999</c:v>
                </c:pt>
                <c:pt idx="997">
                  <c:v>25.456949999999999</c:v>
                </c:pt>
                <c:pt idx="998">
                  <c:v>25.456949999999999</c:v>
                </c:pt>
                <c:pt idx="999">
                  <c:v>25.456949999999999</c:v>
                </c:pt>
                <c:pt idx="1000">
                  <c:v>25.456949999999999</c:v>
                </c:pt>
              </c:numCache>
            </c:numRef>
          </c:yVal>
          <c:smooth val="0"/>
          <c:extLst>
            <c:ext xmlns:c16="http://schemas.microsoft.com/office/drawing/2014/chart" uri="{C3380CC4-5D6E-409C-BE32-E72D297353CC}">
              <c16:uniqueId val="{00000001-B98B-46BB-BB51-DAAA2071230C}"/>
            </c:ext>
          </c:extLst>
        </c:ser>
        <c:ser>
          <c:idx val="0"/>
          <c:order val="2"/>
          <c:tx>
            <c:strRef>
              <c:f>Courbes!$B$133</c:f>
              <c:strCache>
                <c:ptCount val="1"/>
                <c:pt idx="0">
                  <c:v>Traînée</c:v>
                </c:pt>
              </c:strCache>
            </c:strRef>
          </c:tx>
          <c:spPr>
            <a:ln w="25400">
              <a:solidFill>
                <a:srgbClr val="800000"/>
              </a:solidFill>
              <a:prstDash val="solid"/>
            </a:ln>
          </c:spPr>
          <c:marker>
            <c:symbol val="none"/>
          </c:marker>
          <c:xVal>
            <c:numRef>
              <c:f>Calculs!$B$4:$B$1004</c:f>
              <c:numCache>
                <c:formatCode>0.00</c:formatCode>
                <c:ptCount val="1001"/>
                <c:pt idx="0">
                  <c:v>3.2</c:v>
                </c:pt>
                <c:pt idx="1">
                  <c:v>3.21</c:v>
                </c:pt>
                <c:pt idx="2">
                  <c:v>3.2199999999999998</c:v>
                </c:pt>
                <c:pt idx="3">
                  <c:v>3.2299999999999995</c:v>
                </c:pt>
                <c:pt idx="4">
                  <c:v>3.2399999999999993</c:v>
                </c:pt>
                <c:pt idx="5">
                  <c:v>3.2499999999999991</c:v>
                </c:pt>
                <c:pt idx="6">
                  <c:v>3.2599999999999989</c:v>
                </c:pt>
                <c:pt idx="7">
                  <c:v>3.2699999999999987</c:v>
                </c:pt>
                <c:pt idx="8">
                  <c:v>3.2799999999999985</c:v>
                </c:pt>
                <c:pt idx="9">
                  <c:v>3.2899999999999983</c:v>
                </c:pt>
                <c:pt idx="10">
                  <c:v>3.299999999999998</c:v>
                </c:pt>
                <c:pt idx="11">
                  <c:v>3.3099999999999978</c:v>
                </c:pt>
                <c:pt idx="12">
                  <c:v>3.3199999999999976</c:v>
                </c:pt>
                <c:pt idx="13">
                  <c:v>3.3299999999999974</c:v>
                </c:pt>
                <c:pt idx="14">
                  <c:v>3.3399999999999972</c:v>
                </c:pt>
                <c:pt idx="15">
                  <c:v>3.349999999999997</c:v>
                </c:pt>
                <c:pt idx="16">
                  <c:v>3.3599999999999968</c:v>
                </c:pt>
                <c:pt idx="17">
                  <c:v>3.3699999999999966</c:v>
                </c:pt>
                <c:pt idx="18">
                  <c:v>3.3799999999999963</c:v>
                </c:pt>
                <c:pt idx="19">
                  <c:v>3.3899999999999961</c:v>
                </c:pt>
                <c:pt idx="20">
                  <c:v>3.3999999999999959</c:v>
                </c:pt>
                <c:pt idx="21">
                  <c:v>3.4099999999999957</c:v>
                </c:pt>
                <c:pt idx="22">
                  <c:v>3.4199999999999955</c:v>
                </c:pt>
                <c:pt idx="23">
                  <c:v>3.4299999999999953</c:v>
                </c:pt>
                <c:pt idx="24">
                  <c:v>3.4399999999999951</c:v>
                </c:pt>
                <c:pt idx="25">
                  <c:v>3.4499999999999948</c:v>
                </c:pt>
                <c:pt idx="26">
                  <c:v>3.4599999999999946</c:v>
                </c:pt>
                <c:pt idx="27">
                  <c:v>3.4699999999999944</c:v>
                </c:pt>
                <c:pt idx="28">
                  <c:v>3.4799999999999942</c:v>
                </c:pt>
                <c:pt idx="29">
                  <c:v>3.489999999999994</c:v>
                </c:pt>
                <c:pt idx="30">
                  <c:v>3.4999999999999938</c:v>
                </c:pt>
                <c:pt idx="31">
                  <c:v>3.5099999999999936</c:v>
                </c:pt>
                <c:pt idx="32">
                  <c:v>3.5199999999999934</c:v>
                </c:pt>
                <c:pt idx="33">
                  <c:v>3.5299999999999931</c:v>
                </c:pt>
                <c:pt idx="34">
                  <c:v>3.5399999999999929</c:v>
                </c:pt>
                <c:pt idx="35">
                  <c:v>3.5499999999999927</c:v>
                </c:pt>
                <c:pt idx="36">
                  <c:v>3.5599999999999925</c:v>
                </c:pt>
                <c:pt idx="37">
                  <c:v>3.5699999999999923</c:v>
                </c:pt>
                <c:pt idx="38">
                  <c:v>3.5799999999999921</c:v>
                </c:pt>
                <c:pt idx="39">
                  <c:v>3.5899999999999919</c:v>
                </c:pt>
                <c:pt idx="40">
                  <c:v>3.5999999999999917</c:v>
                </c:pt>
                <c:pt idx="41">
                  <c:v>3.6099999999999914</c:v>
                </c:pt>
                <c:pt idx="42">
                  <c:v>3.6199999999999912</c:v>
                </c:pt>
                <c:pt idx="43">
                  <c:v>3.629999999999991</c:v>
                </c:pt>
                <c:pt idx="44">
                  <c:v>3.6399999999999908</c:v>
                </c:pt>
                <c:pt idx="45">
                  <c:v>3.6499999999999906</c:v>
                </c:pt>
                <c:pt idx="46">
                  <c:v>3.6599999999999904</c:v>
                </c:pt>
                <c:pt idx="47">
                  <c:v>3.6699999999999902</c:v>
                </c:pt>
                <c:pt idx="48">
                  <c:v>3.6799999999999899</c:v>
                </c:pt>
                <c:pt idx="49">
                  <c:v>3.6899999999999897</c:v>
                </c:pt>
                <c:pt idx="50">
                  <c:v>3.6999999999999895</c:v>
                </c:pt>
                <c:pt idx="51">
                  <c:v>3.7099999999999893</c:v>
                </c:pt>
                <c:pt idx="52">
                  <c:v>3.7199999999999891</c:v>
                </c:pt>
                <c:pt idx="53">
                  <c:v>3.7299999999999889</c:v>
                </c:pt>
                <c:pt idx="54">
                  <c:v>3.7399999999999887</c:v>
                </c:pt>
                <c:pt idx="55">
                  <c:v>3.7499999999999885</c:v>
                </c:pt>
                <c:pt idx="56">
                  <c:v>3.7599999999999882</c:v>
                </c:pt>
                <c:pt idx="57">
                  <c:v>3.769999999999988</c:v>
                </c:pt>
                <c:pt idx="58">
                  <c:v>3.7799999999999878</c:v>
                </c:pt>
                <c:pt idx="59">
                  <c:v>3.7899999999999876</c:v>
                </c:pt>
                <c:pt idx="60">
                  <c:v>3.7999999999999874</c:v>
                </c:pt>
                <c:pt idx="61">
                  <c:v>3.8099999999999872</c:v>
                </c:pt>
                <c:pt idx="62">
                  <c:v>3.819999999999987</c:v>
                </c:pt>
                <c:pt idx="63">
                  <c:v>3.8299999999999867</c:v>
                </c:pt>
                <c:pt idx="64">
                  <c:v>3.8399999999999865</c:v>
                </c:pt>
                <c:pt idx="65">
                  <c:v>3.8499999999999863</c:v>
                </c:pt>
                <c:pt idx="66">
                  <c:v>3.8599999999999861</c:v>
                </c:pt>
                <c:pt idx="67">
                  <c:v>3.8699999999999859</c:v>
                </c:pt>
                <c:pt idx="68">
                  <c:v>3.8799999999999857</c:v>
                </c:pt>
                <c:pt idx="69">
                  <c:v>3.8899999999999855</c:v>
                </c:pt>
                <c:pt idx="70">
                  <c:v>3.8999999999999853</c:v>
                </c:pt>
                <c:pt idx="71">
                  <c:v>3.909999999999985</c:v>
                </c:pt>
                <c:pt idx="72">
                  <c:v>3.9199999999999848</c:v>
                </c:pt>
                <c:pt idx="73">
                  <c:v>3.9299999999999846</c:v>
                </c:pt>
                <c:pt idx="74">
                  <c:v>3.9399999999999844</c:v>
                </c:pt>
                <c:pt idx="75">
                  <c:v>3.9499999999999842</c:v>
                </c:pt>
                <c:pt idx="76">
                  <c:v>3.959999999999984</c:v>
                </c:pt>
                <c:pt idx="77">
                  <c:v>3.9699999999999838</c:v>
                </c:pt>
                <c:pt idx="78">
                  <c:v>3.9799999999999836</c:v>
                </c:pt>
                <c:pt idx="79">
                  <c:v>3.9899999999999833</c:v>
                </c:pt>
                <c:pt idx="80">
                  <c:v>3.9999999999999831</c:v>
                </c:pt>
                <c:pt idx="81">
                  <c:v>4.0099999999999829</c:v>
                </c:pt>
                <c:pt idx="82">
                  <c:v>4.0199999999999827</c:v>
                </c:pt>
                <c:pt idx="83">
                  <c:v>4.0299999999999825</c:v>
                </c:pt>
                <c:pt idx="84">
                  <c:v>4.0399999999999823</c:v>
                </c:pt>
                <c:pt idx="85">
                  <c:v>4.0499999999999821</c:v>
                </c:pt>
                <c:pt idx="86">
                  <c:v>4.0599999999999818</c:v>
                </c:pt>
                <c:pt idx="87">
                  <c:v>4.0699999999999816</c:v>
                </c:pt>
                <c:pt idx="88">
                  <c:v>4.0799999999999814</c:v>
                </c:pt>
                <c:pt idx="89">
                  <c:v>4.0899999999999812</c:v>
                </c:pt>
                <c:pt idx="90">
                  <c:v>4.099999999999981</c:v>
                </c:pt>
                <c:pt idx="91">
                  <c:v>4.1099999999999808</c:v>
                </c:pt>
                <c:pt idx="92">
                  <c:v>4.1199999999999806</c:v>
                </c:pt>
                <c:pt idx="93">
                  <c:v>4.1299999999999804</c:v>
                </c:pt>
                <c:pt idx="94">
                  <c:v>4.1399999999999801</c:v>
                </c:pt>
                <c:pt idx="95">
                  <c:v>4.1499999999999799</c:v>
                </c:pt>
                <c:pt idx="96">
                  <c:v>4.1599999999999797</c:v>
                </c:pt>
                <c:pt idx="97">
                  <c:v>4.1699999999999795</c:v>
                </c:pt>
                <c:pt idx="98">
                  <c:v>4.1799999999999793</c:v>
                </c:pt>
                <c:pt idx="99">
                  <c:v>4.1899999999999791</c:v>
                </c:pt>
                <c:pt idx="100">
                  <c:v>4.1999999999999789</c:v>
                </c:pt>
                <c:pt idx="101">
                  <c:v>4.2999999999999785</c:v>
                </c:pt>
                <c:pt idx="102">
                  <c:v>4.3999999999999782</c:v>
                </c:pt>
                <c:pt idx="103">
                  <c:v>4.4999999999999778</c:v>
                </c:pt>
                <c:pt idx="104">
                  <c:v>4.5999999999999774</c:v>
                </c:pt>
                <c:pt idx="105">
                  <c:v>4.6999999999999771</c:v>
                </c:pt>
                <c:pt idx="106">
                  <c:v>4.7999999999999767</c:v>
                </c:pt>
                <c:pt idx="107">
                  <c:v>4.8999999999999764</c:v>
                </c:pt>
                <c:pt idx="108">
                  <c:v>4.999999999999976</c:v>
                </c:pt>
                <c:pt idx="109">
                  <c:v>5.0999999999999757</c:v>
                </c:pt>
                <c:pt idx="110">
                  <c:v>5.1999999999999753</c:v>
                </c:pt>
                <c:pt idx="111">
                  <c:v>5.299999999999975</c:v>
                </c:pt>
                <c:pt idx="112">
                  <c:v>5.3999999999999746</c:v>
                </c:pt>
                <c:pt idx="113">
                  <c:v>5.4999999999999742</c:v>
                </c:pt>
                <c:pt idx="114">
                  <c:v>5.5999999999999739</c:v>
                </c:pt>
                <c:pt idx="115">
                  <c:v>5.6999999999999735</c:v>
                </c:pt>
                <c:pt idx="116">
                  <c:v>5.7999999999999732</c:v>
                </c:pt>
                <c:pt idx="117">
                  <c:v>5.8999999999999728</c:v>
                </c:pt>
                <c:pt idx="118">
                  <c:v>5.9999999999999725</c:v>
                </c:pt>
                <c:pt idx="119">
                  <c:v>6.0999999999999721</c:v>
                </c:pt>
                <c:pt idx="120">
                  <c:v>6.1999999999999718</c:v>
                </c:pt>
                <c:pt idx="121">
                  <c:v>6.2999999999999714</c:v>
                </c:pt>
                <c:pt idx="122">
                  <c:v>6.399999999999971</c:v>
                </c:pt>
                <c:pt idx="123">
                  <c:v>6.4999999999999707</c:v>
                </c:pt>
                <c:pt idx="124">
                  <c:v>6.5999999999999703</c:v>
                </c:pt>
                <c:pt idx="125">
                  <c:v>6.69999999999997</c:v>
                </c:pt>
                <c:pt idx="126">
                  <c:v>6.7999999999999696</c:v>
                </c:pt>
                <c:pt idx="127">
                  <c:v>6.8999999999999693</c:v>
                </c:pt>
                <c:pt idx="128">
                  <c:v>6.9999999999999689</c:v>
                </c:pt>
                <c:pt idx="129">
                  <c:v>7.0999999999999686</c:v>
                </c:pt>
                <c:pt idx="130">
                  <c:v>7.1999999999999682</c:v>
                </c:pt>
                <c:pt idx="131">
                  <c:v>7.2999999999999678</c:v>
                </c:pt>
                <c:pt idx="132">
                  <c:v>7.3999999999999675</c:v>
                </c:pt>
                <c:pt idx="133">
                  <c:v>7.4999999999999671</c:v>
                </c:pt>
                <c:pt idx="134">
                  <c:v>7.5999999999999668</c:v>
                </c:pt>
                <c:pt idx="135">
                  <c:v>7.6999999999999664</c:v>
                </c:pt>
                <c:pt idx="136">
                  <c:v>7.7999999999999661</c:v>
                </c:pt>
                <c:pt idx="137">
                  <c:v>7.8999999999999657</c:v>
                </c:pt>
                <c:pt idx="138">
                  <c:v>7.9999999999999654</c:v>
                </c:pt>
                <c:pt idx="139">
                  <c:v>8.0999999999999659</c:v>
                </c:pt>
                <c:pt idx="140">
                  <c:v>8.1999999999999655</c:v>
                </c:pt>
                <c:pt idx="141">
                  <c:v>8.2999999999999652</c:v>
                </c:pt>
                <c:pt idx="142">
                  <c:v>8.3999999999999648</c:v>
                </c:pt>
                <c:pt idx="143">
                  <c:v>8.4999999999999645</c:v>
                </c:pt>
                <c:pt idx="144">
                  <c:v>8.5999999999999641</c:v>
                </c:pt>
                <c:pt idx="145">
                  <c:v>8.6999999999999638</c:v>
                </c:pt>
                <c:pt idx="146">
                  <c:v>8.7999999999999634</c:v>
                </c:pt>
                <c:pt idx="147">
                  <c:v>8.8999999999999631</c:v>
                </c:pt>
                <c:pt idx="148">
                  <c:v>8.9999999999999627</c:v>
                </c:pt>
                <c:pt idx="149">
                  <c:v>9.0999999999999623</c:v>
                </c:pt>
                <c:pt idx="150">
                  <c:v>9.199999999999962</c:v>
                </c:pt>
                <c:pt idx="151">
                  <c:v>9.2999999999999616</c:v>
                </c:pt>
                <c:pt idx="152">
                  <c:v>9.3999999999999613</c:v>
                </c:pt>
                <c:pt idx="153">
                  <c:v>9.4999999999999609</c:v>
                </c:pt>
                <c:pt idx="154">
                  <c:v>9.5999999999999606</c:v>
                </c:pt>
                <c:pt idx="155">
                  <c:v>9.6999999999999602</c:v>
                </c:pt>
                <c:pt idx="156">
                  <c:v>9.7999999999999599</c:v>
                </c:pt>
                <c:pt idx="157">
                  <c:v>9.8999999999999595</c:v>
                </c:pt>
                <c:pt idx="158">
                  <c:v>9.9999999999999591</c:v>
                </c:pt>
                <c:pt idx="159">
                  <c:v>10.099999999999959</c:v>
                </c:pt>
                <c:pt idx="160">
                  <c:v>10.199999999999958</c:v>
                </c:pt>
                <c:pt idx="161">
                  <c:v>10.299999999999958</c:v>
                </c:pt>
                <c:pt idx="162">
                  <c:v>10.399999999999958</c:v>
                </c:pt>
                <c:pt idx="163">
                  <c:v>10.499999999999957</c:v>
                </c:pt>
                <c:pt idx="164">
                  <c:v>10.599999999999957</c:v>
                </c:pt>
                <c:pt idx="165">
                  <c:v>10.699999999999957</c:v>
                </c:pt>
                <c:pt idx="166">
                  <c:v>10.799999999999956</c:v>
                </c:pt>
                <c:pt idx="167">
                  <c:v>10.899999999999956</c:v>
                </c:pt>
                <c:pt idx="168">
                  <c:v>10.999999999999956</c:v>
                </c:pt>
                <c:pt idx="169">
                  <c:v>11.099999999999955</c:v>
                </c:pt>
                <c:pt idx="170">
                  <c:v>11.199999999999955</c:v>
                </c:pt>
                <c:pt idx="171">
                  <c:v>11.299999999999955</c:v>
                </c:pt>
                <c:pt idx="172">
                  <c:v>11.399999999999954</c:v>
                </c:pt>
                <c:pt idx="173">
                  <c:v>11.499999999999954</c:v>
                </c:pt>
                <c:pt idx="174">
                  <c:v>11.599999999999953</c:v>
                </c:pt>
                <c:pt idx="175">
                  <c:v>11.699999999999953</c:v>
                </c:pt>
                <c:pt idx="176">
                  <c:v>11.799999999999953</c:v>
                </c:pt>
                <c:pt idx="177">
                  <c:v>11.899999999999952</c:v>
                </c:pt>
                <c:pt idx="178">
                  <c:v>11.999999999999952</c:v>
                </c:pt>
                <c:pt idx="179">
                  <c:v>12.099999999999952</c:v>
                </c:pt>
                <c:pt idx="180">
                  <c:v>12.199999999999951</c:v>
                </c:pt>
                <c:pt idx="181">
                  <c:v>12.299999999999951</c:v>
                </c:pt>
                <c:pt idx="182">
                  <c:v>12.399999999999951</c:v>
                </c:pt>
                <c:pt idx="183">
                  <c:v>12.49999999999995</c:v>
                </c:pt>
                <c:pt idx="184">
                  <c:v>12.59999999999995</c:v>
                </c:pt>
                <c:pt idx="185">
                  <c:v>12.69999999999995</c:v>
                </c:pt>
                <c:pt idx="186">
                  <c:v>12.799999999999949</c:v>
                </c:pt>
                <c:pt idx="187">
                  <c:v>12.899999999999949</c:v>
                </c:pt>
                <c:pt idx="188">
                  <c:v>12.999999999999948</c:v>
                </c:pt>
                <c:pt idx="189">
                  <c:v>13.099999999999948</c:v>
                </c:pt>
                <c:pt idx="190">
                  <c:v>13.199999999999948</c:v>
                </c:pt>
                <c:pt idx="191">
                  <c:v>13.299999999999947</c:v>
                </c:pt>
                <c:pt idx="192">
                  <c:v>13.399999999999947</c:v>
                </c:pt>
                <c:pt idx="193">
                  <c:v>13.499999999999947</c:v>
                </c:pt>
                <c:pt idx="194">
                  <c:v>13.599999999999946</c:v>
                </c:pt>
                <c:pt idx="195">
                  <c:v>13.699999999999946</c:v>
                </c:pt>
                <c:pt idx="196">
                  <c:v>13.799999999999946</c:v>
                </c:pt>
                <c:pt idx="197">
                  <c:v>13.899999999999945</c:v>
                </c:pt>
                <c:pt idx="198">
                  <c:v>13.999999999999945</c:v>
                </c:pt>
                <c:pt idx="199">
                  <c:v>14.099999999999945</c:v>
                </c:pt>
                <c:pt idx="200">
                  <c:v>14.199999999999944</c:v>
                </c:pt>
                <c:pt idx="201">
                  <c:v>14.299999999999944</c:v>
                </c:pt>
                <c:pt idx="202">
                  <c:v>14.399999999999944</c:v>
                </c:pt>
                <c:pt idx="203">
                  <c:v>14.499999999999943</c:v>
                </c:pt>
                <c:pt idx="204">
                  <c:v>14.599999999999943</c:v>
                </c:pt>
                <c:pt idx="205">
                  <c:v>14.699999999999942</c:v>
                </c:pt>
                <c:pt idx="206">
                  <c:v>14.799999999999942</c:v>
                </c:pt>
                <c:pt idx="207">
                  <c:v>14.899999999999942</c:v>
                </c:pt>
                <c:pt idx="208">
                  <c:v>14.999999999999941</c:v>
                </c:pt>
                <c:pt idx="209">
                  <c:v>15.099999999999941</c:v>
                </c:pt>
                <c:pt idx="210">
                  <c:v>15.199999999999941</c:v>
                </c:pt>
                <c:pt idx="211">
                  <c:v>15.29999999999994</c:v>
                </c:pt>
                <c:pt idx="212">
                  <c:v>15.39999999999994</c:v>
                </c:pt>
                <c:pt idx="213">
                  <c:v>15.49999999999994</c:v>
                </c:pt>
                <c:pt idx="214">
                  <c:v>15.599999999999939</c:v>
                </c:pt>
                <c:pt idx="215">
                  <c:v>15.699999999999939</c:v>
                </c:pt>
                <c:pt idx="216">
                  <c:v>15.799999999999939</c:v>
                </c:pt>
                <c:pt idx="217">
                  <c:v>15.899999999999938</c:v>
                </c:pt>
                <c:pt idx="218">
                  <c:v>15.999999999999938</c:v>
                </c:pt>
                <c:pt idx="219">
                  <c:v>16.099999999999937</c:v>
                </c:pt>
                <c:pt idx="220">
                  <c:v>16.199999999999939</c:v>
                </c:pt>
                <c:pt idx="221">
                  <c:v>16.29999999999994</c:v>
                </c:pt>
                <c:pt idx="222">
                  <c:v>16.399999999999942</c:v>
                </c:pt>
                <c:pt idx="223">
                  <c:v>16.499999999999943</c:v>
                </c:pt>
                <c:pt idx="224">
                  <c:v>16.599999999999945</c:v>
                </c:pt>
                <c:pt idx="225">
                  <c:v>16.699999999999946</c:v>
                </c:pt>
                <c:pt idx="226">
                  <c:v>16.799999999999947</c:v>
                </c:pt>
                <c:pt idx="227">
                  <c:v>16.899999999999949</c:v>
                </c:pt>
                <c:pt idx="228">
                  <c:v>16.99999999999995</c:v>
                </c:pt>
                <c:pt idx="229">
                  <c:v>17.099999999999952</c:v>
                </c:pt>
                <c:pt idx="230">
                  <c:v>17.199999999999953</c:v>
                </c:pt>
                <c:pt idx="231">
                  <c:v>17.299999999999955</c:v>
                </c:pt>
                <c:pt idx="232">
                  <c:v>17.399999999999956</c:v>
                </c:pt>
                <c:pt idx="233">
                  <c:v>17.499999999999957</c:v>
                </c:pt>
                <c:pt idx="234">
                  <c:v>17.599999999999959</c:v>
                </c:pt>
                <c:pt idx="235">
                  <c:v>17.69999999999996</c:v>
                </c:pt>
                <c:pt idx="236">
                  <c:v>17.799999999999962</c:v>
                </c:pt>
                <c:pt idx="237">
                  <c:v>17.899999999999963</c:v>
                </c:pt>
                <c:pt idx="238">
                  <c:v>17.999999999999964</c:v>
                </c:pt>
                <c:pt idx="239">
                  <c:v>18.099999999999966</c:v>
                </c:pt>
                <c:pt idx="240">
                  <c:v>18.199999999999967</c:v>
                </c:pt>
                <c:pt idx="241">
                  <c:v>18.299999999999969</c:v>
                </c:pt>
                <c:pt idx="242">
                  <c:v>18.39999999999997</c:v>
                </c:pt>
                <c:pt idx="243">
                  <c:v>18.499999999999972</c:v>
                </c:pt>
                <c:pt idx="244">
                  <c:v>18.599999999999973</c:v>
                </c:pt>
                <c:pt idx="245">
                  <c:v>18.699999999999974</c:v>
                </c:pt>
                <c:pt idx="246">
                  <c:v>18.799999999999976</c:v>
                </c:pt>
                <c:pt idx="247">
                  <c:v>18.899999999999977</c:v>
                </c:pt>
                <c:pt idx="248">
                  <c:v>18.999999999999979</c:v>
                </c:pt>
                <c:pt idx="249">
                  <c:v>19.09999999999998</c:v>
                </c:pt>
                <c:pt idx="250">
                  <c:v>19.199999999999982</c:v>
                </c:pt>
                <c:pt idx="251">
                  <c:v>19.299999999999983</c:v>
                </c:pt>
                <c:pt idx="252">
                  <c:v>19.399999999999984</c:v>
                </c:pt>
                <c:pt idx="253">
                  <c:v>19.499999999999986</c:v>
                </c:pt>
                <c:pt idx="254">
                  <c:v>19.599999999999987</c:v>
                </c:pt>
                <c:pt idx="255">
                  <c:v>19.699999999999989</c:v>
                </c:pt>
                <c:pt idx="256">
                  <c:v>19.79999999999999</c:v>
                </c:pt>
                <c:pt idx="257">
                  <c:v>19.899999999999991</c:v>
                </c:pt>
                <c:pt idx="258">
                  <c:v>19.999999999999993</c:v>
                </c:pt>
                <c:pt idx="259">
                  <c:v>20.099999999999994</c:v>
                </c:pt>
                <c:pt idx="260">
                  <c:v>20.199999999999996</c:v>
                </c:pt>
                <c:pt idx="261">
                  <c:v>20.299999999999997</c:v>
                </c:pt>
                <c:pt idx="262">
                  <c:v>20.399999999999999</c:v>
                </c:pt>
                <c:pt idx="263">
                  <c:v>20.5</c:v>
                </c:pt>
                <c:pt idx="264">
                  <c:v>20.6</c:v>
                </c:pt>
                <c:pt idx="265">
                  <c:v>20.700000000000003</c:v>
                </c:pt>
                <c:pt idx="266">
                  <c:v>20.800000000000004</c:v>
                </c:pt>
                <c:pt idx="267">
                  <c:v>20.900000000000006</c:v>
                </c:pt>
                <c:pt idx="268">
                  <c:v>21.000000000000007</c:v>
                </c:pt>
                <c:pt idx="269">
                  <c:v>21.100000000000009</c:v>
                </c:pt>
                <c:pt idx="270">
                  <c:v>21.20000000000001</c:v>
                </c:pt>
                <c:pt idx="271">
                  <c:v>21.300000000000011</c:v>
                </c:pt>
                <c:pt idx="272">
                  <c:v>21.400000000000013</c:v>
                </c:pt>
                <c:pt idx="273">
                  <c:v>21.500000000000014</c:v>
                </c:pt>
                <c:pt idx="274">
                  <c:v>21.600000000000016</c:v>
                </c:pt>
                <c:pt idx="275">
                  <c:v>21.700000000000017</c:v>
                </c:pt>
                <c:pt idx="276">
                  <c:v>21.800000000000018</c:v>
                </c:pt>
                <c:pt idx="277">
                  <c:v>21.90000000000002</c:v>
                </c:pt>
                <c:pt idx="278">
                  <c:v>22.000000000000021</c:v>
                </c:pt>
                <c:pt idx="279">
                  <c:v>22.100000000000023</c:v>
                </c:pt>
                <c:pt idx="280">
                  <c:v>22.200000000000024</c:v>
                </c:pt>
                <c:pt idx="281">
                  <c:v>22.300000000000026</c:v>
                </c:pt>
                <c:pt idx="282">
                  <c:v>22.400000000000027</c:v>
                </c:pt>
                <c:pt idx="283">
                  <c:v>22.500000000000028</c:v>
                </c:pt>
                <c:pt idx="284">
                  <c:v>22.60000000000003</c:v>
                </c:pt>
                <c:pt idx="285">
                  <c:v>22.700000000000031</c:v>
                </c:pt>
                <c:pt idx="286">
                  <c:v>22.800000000000033</c:v>
                </c:pt>
                <c:pt idx="287">
                  <c:v>22.900000000000034</c:v>
                </c:pt>
                <c:pt idx="288">
                  <c:v>23.000000000000036</c:v>
                </c:pt>
                <c:pt idx="289">
                  <c:v>23.100000000000037</c:v>
                </c:pt>
                <c:pt idx="290">
                  <c:v>23.200000000000038</c:v>
                </c:pt>
                <c:pt idx="291">
                  <c:v>23.30000000000004</c:v>
                </c:pt>
                <c:pt idx="292">
                  <c:v>23.400000000000041</c:v>
                </c:pt>
                <c:pt idx="293">
                  <c:v>23.500000000000043</c:v>
                </c:pt>
                <c:pt idx="294">
                  <c:v>23.600000000000044</c:v>
                </c:pt>
                <c:pt idx="295">
                  <c:v>23.700000000000045</c:v>
                </c:pt>
                <c:pt idx="296">
                  <c:v>23.800000000000047</c:v>
                </c:pt>
                <c:pt idx="297">
                  <c:v>23.900000000000048</c:v>
                </c:pt>
                <c:pt idx="298">
                  <c:v>24.00000000000005</c:v>
                </c:pt>
                <c:pt idx="299">
                  <c:v>24.100000000000051</c:v>
                </c:pt>
                <c:pt idx="300">
                  <c:v>24.200000000000053</c:v>
                </c:pt>
                <c:pt idx="301">
                  <c:v>24.300000000000054</c:v>
                </c:pt>
                <c:pt idx="302">
                  <c:v>24.400000000000055</c:v>
                </c:pt>
                <c:pt idx="303">
                  <c:v>24.500000000000057</c:v>
                </c:pt>
                <c:pt idx="304">
                  <c:v>24.600000000000058</c:v>
                </c:pt>
                <c:pt idx="305">
                  <c:v>24.70000000000006</c:v>
                </c:pt>
                <c:pt idx="306">
                  <c:v>24.800000000000061</c:v>
                </c:pt>
                <c:pt idx="307">
                  <c:v>24.900000000000063</c:v>
                </c:pt>
                <c:pt idx="308">
                  <c:v>25.000000000000064</c:v>
                </c:pt>
                <c:pt idx="309">
                  <c:v>25.100000000000065</c:v>
                </c:pt>
                <c:pt idx="310">
                  <c:v>25.200000000000067</c:v>
                </c:pt>
                <c:pt idx="311">
                  <c:v>25.300000000000068</c:v>
                </c:pt>
                <c:pt idx="312">
                  <c:v>25.40000000000007</c:v>
                </c:pt>
                <c:pt idx="313">
                  <c:v>25.500000000000071</c:v>
                </c:pt>
                <c:pt idx="314">
                  <c:v>25.600000000000072</c:v>
                </c:pt>
                <c:pt idx="315">
                  <c:v>25.700000000000074</c:v>
                </c:pt>
                <c:pt idx="316">
                  <c:v>25.800000000000075</c:v>
                </c:pt>
                <c:pt idx="317">
                  <c:v>25.900000000000077</c:v>
                </c:pt>
                <c:pt idx="318">
                  <c:v>26.000000000000078</c:v>
                </c:pt>
                <c:pt idx="319">
                  <c:v>26.10000000000008</c:v>
                </c:pt>
                <c:pt idx="320">
                  <c:v>26.200000000000081</c:v>
                </c:pt>
                <c:pt idx="321">
                  <c:v>26.300000000000082</c:v>
                </c:pt>
                <c:pt idx="322">
                  <c:v>26.400000000000084</c:v>
                </c:pt>
                <c:pt idx="323">
                  <c:v>26.500000000000085</c:v>
                </c:pt>
                <c:pt idx="324">
                  <c:v>26.600000000000087</c:v>
                </c:pt>
                <c:pt idx="325">
                  <c:v>26.700000000000088</c:v>
                </c:pt>
                <c:pt idx="326">
                  <c:v>26.80000000000009</c:v>
                </c:pt>
                <c:pt idx="327">
                  <c:v>26.900000000000091</c:v>
                </c:pt>
                <c:pt idx="328">
                  <c:v>27.000000000000092</c:v>
                </c:pt>
                <c:pt idx="329">
                  <c:v>27.100000000000094</c:v>
                </c:pt>
                <c:pt idx="330">
                  <c:v>27.200000000000095</c:v>
                </c:pt>
                <c:pt idx="331">
                  <c:v>27.300000000000097</c:v>
                </c:pt>
                <c:pt idx="332">
                  <c:v>27.400000000000098</c:v>
                </c:pt>
                <c:pt idx="333">
                  <c:v>27.500000000000099</c:v>
                </c:pt>
                <c:pt idx="334">
                  <c:v>27.600000000000101</c:v>
                </c:pt>
                <c:pt idx="335">
                  <c:v>27.700000000000102</c:v>
                </c:pt>
                <c:pt idx="336">
                  <c:v>27.800000000000104</c:v>
                </c:pt>
                <c:pt idx="337">
                  <c:v>27.900000000000105</c:v>
                </c:pt>
                <c:pt idx="338">
                  <c:v>28.000000000000107</c:v>
                </c:pt>
                <c:pt idx="339">
                  <c:v>28.100000000000108</c:v>
                </c:pt>
                <c:pt idx="340">
                  <c:v>28.200000000000109</c:v>
                </c:pt>
                <c:pt idx="341">
                  <c:v>28.300000000000111</c:v>
                </c:pt>
                <c:pt idx="342">
                  <c:v>28.400000000000112</c:v>
                </c:pt>
                <c:pt idx="343">
                  <c:v>28.500000000000114</c:v>
                </c:pt>
                <c:pt idx="344">
                  <c:v>28.600000000000115</c:v>
                </c:pt>
                <c:pt idx="345">
                  <c:v>28.700000000000117</c:v>
                </c:pt>
                <c:pt idx="346">
                  <c:v>28.800000000000118</c:v>
                </c:pt>
                <c:pt idx="347">
                  <c:v>28.900000000000119</c:v>
                </c:pt>
                <c:pt idx="348">
                  <c:v>29.000000000000121</c:v>
                </c:pt>
                <c:pt idx="349">
                  <c:v>29.100000000000122</c:v>
                </c:pt>
                <c:pt idx="350">
                  <c:v>29.200000000000124</c:v>
                </c:pt>
                <c:pt idx="351">
                  <c:v>29.300000000000125</c:v>
                </c:pt>
                <c:pt idx="352">
                  <c:v>29.400000000000126</c:v>
                </c:pt>
                <c:pt idx="353">
                  <c:v>29.500000000000128</c:v>
                </c:pt>
                <c:pt idx="354">
                  <c:v>29.600000000000129</c:v>
                </c:pt>
                <c:pt idx="355">
                  <c:v>29.700000000000131</c:v>
                </c:pt>
                <c:pt idx="356">
                  <c:v>29.800000000000132</c:v>
                </c:pt>
                <c:pt idx="357">
                  <c:v>29.900000000000134</c:v>
                </c:pt>
                <c:pt idx="358">
                  <c:v>30.000000000000135</c:v>
                </c:pt>
                <c:pt idx="359">
                  <c:v>30.100000000000136</c:v>
                </c:pt>
                <c:pt idx="360">
                  <c:v>30.200000000000138</c:v>
                </c:pt>
                <c:pt idx="361">
                  <c:v>30.300000000000139</c:v>
                </c:pt>
                <c:pt idx="362">
                  <c:v>30.400000000000141</c:v>
                </c:pt>
                <c:pt idx="363">
                  <c:v>30.500000000000142</c:v>
                </c:pt>
                <c:pt idx="364">
                  <c:v>30.600000000000144</c:v>
                </c:pt>
                <c:pt idx="365">
                  <c:v>30.700000000000145</c:v>
                </c:pt>
                <c:pt idx="366">
                  <c:v>30.800000000000146</c:v>
                </c:pt>
                <c:pt idx="367">
                  <c:v>30.900000000000148</c:v>
                </c:pt>
                <c:pt idx="368">
                  <c:v>31.000000000000149</c:v>
                </c:pt>
                <c:pt idx="369">
                  <c:v>31.100000000000151</c:v>
                </c:pt>
                <c:pt idx="370">
                  <c:v>31.200000000000152</c:v>
                </c:pt>
                <c:pt idx="371">
                  <c:v>31.300000000000153</c:v>
                </c:pt>
                <c:pt idx="372">
                  <c:v>31.400000000000155</c:v>
                </c:pt>
                <c:pt idx="373">
                  <c:v>31.500000000000156</c:v>
                </c:pt>
                <c:pt idx="374">
                  <c:v>31.600000000000158</c:v>
                </c:pt>
                <c:pt idx="375">
                  <c:v>31.700000000000159</c:v>
                </c:pt>
                <c:pt idx="376">
                  <c:v>31.800000000000161</c:v>
                </c:pt>
                <c:pt idx="377">
                  <c:v>31.900000000000162</c:v>
                </c:pt>
                <c:pt idx="378">
                  <c:v>32.000000000000163</c:v>
                </c:pt>
                <c:pt idx="379">
                  <c:v>32.100000000000165</c:v>
                </c:pt>
                <c:pt idx="380">
                  <c:v>32.200000000000166</c:v>
                </c:pt>
                <c:pt idx="381">
                  <c:v>32.300000000000168</c:v>
                </c:pt>
                <c:pt idx="382">
                  <c:v>32.400000000000169</c:v>
                </c:pt>
                <c:pt idx="383">
                  <c:v>32.500000000000171</c:v>
                </c:pt>
                <c:pt idx="384">
                  <c:v>32.500100000000174</c:v>
                </c:pt>
                <c:pt idx="385">
                  <c:v>32.500200000000177</c:v>
                </c:pt>
                <c:pt idx="386">
                  <c:v>32.50030000000018</c:v>
                </c:pt>
                <c:pt idx="387">
                  <c:v>32.500400000000184</c:v>
                </c:pt>
                <c:pt idx="388">
                  <c:v>32.500500000000187</c:v>
                </c:pt>
                <c:pt idx="389">
                  <c:v>32.50060000000019</c:v>
                </c:pt>
                <c:pt idx="390">
                  <c:v>32.500700000000194</c:v>
                </c:pt>
                <c:pt idx="391">
                  <c:v>32.500800000000197</c:v>
                </c:pt>
                <c:pt idx="392">
                  <c:v>32.5009000000002</c:v>
                </c:pt>
                <c:pt idx="393">
                  <c:v>32.501000000000204</c:v>
                </c:pt>
                <c:pt idx="394">
                  <c:v>32.501100000000207</c:v>
                </c:pt>
                <c:pt idx="395">
                  <c:v>32.50120000000021</c:v>
                </c:pt>
                <c:pt idx="396">
                  <c:v>32.501300000000214</c:v>
                </c:pt>
                <c:pt idx="397">
                  <c:v>32.501400000000217</c:v>
                </c:pt>
                <c:pt idx="398">
                  <c:v>32.50150000000022</c:v>
                </c:pt>
                <c:pt idx="399">
                  <c:v>32.501600000000224</c:v>
                </c:pt>
                <c:pt idx="400">
                  <c:v>32.501700000000227</c:v>
                </c:pt>
                <c:pt idx="401">
                  <c:v>32.50180000000023</c:v>
                </c:pt>
                <c:pt idx="402">
                  <c:v>32.501900000000234</c:v>
                </c:pt>
                <c:pt idx="403">
                  <c:v>32.502000000000237</c:v>
                </c:pt>
                <c:pt idx="404">
                  <c:v>32.50210000000024</c:v>
                </c:pt>
                <c:pt idx="405">
                  <c:v>32.502200000000244</c:v>
                </c:pt>
                <c:pt idx="406">
                  <c:v>32.502300000000247</c:v>
                </c:pt>
                <c:pt idx="407">
                  <c:v>32.50240000000025</c:v>
                </c:pt>
                <c:pt idx="408">
                  <c:v>32.502500000000254</c:v>
                </c:pt>
                <c:pt idx="409">
                  <c:v>32.502600000000257</c:v>
                </c:pt>
                <c:pt idx="410">
                  <c:v>32.50270000000026</c:v>
                </c:pt>
                <c:pt idx="411">
                  <c:v>32.502800000000263</c:v>
                </c:pt>
                <c:pt idx="412">
                  <c:v>32.502900000000267</c:v>
                </c:pt>
                <c:pt idx="413">
                  <c:v>32.50300000000027</c:v>
                </c:pt>
                <c:pt idx="414">
                  <c:v>32.503100000000273</c:v>
                </c:pt>
                <c:pt idx="415">
                  <c:v>32.503200000000277</c:v>
                </c:pt>
                <c:pt idx="416">
                  <c:v>32.50330000000028</c:v>
                </c:pt>
                <c:pt idx="417">
                  <c:v>32.503400000000283</c:v>
                </c:pt>
                <c:pt idx="418">
                  <c:v>32.503500000000287</c:v>
                </c:pt>
                <c:pt idx="419">
                  <c:v>32.50360000000029</c:v>
                </c:pt>
                <c:pt idx="420">
                  <c:v>32.503700000000293</c:v>
                </c:pt>
                <c:pt idx="421">
                  <c:v>32.503800000000297</c:v>
                </c:pt>
                <c:pt idx="422">
                  <c:v>32.5039000000003</c:v>
                </c:pt>
                <c:pt idx="423">
                  <c:v>32.504000000000303</c:v>
                </c:pt>
                <c:pt idx="424">
                  <c:v>32.504100000000307</c:v>
                </c:pt>
                <c:pt idx="425">
                  <c:v>32.50420000000031</c:v>
                </c:pt>
                <c:pt idx="426">
                  <c:v>32.504300000000313</c:v>
                </c:pt>
                <c:pt idx="427">
                  <c:v>32.504400000000317</c:v>
                </c:pt>
                <c:pt idx="428">
                  <c:v>32.50450000000032</c:v>
                </c:pt>
                <c:pt idx="429">
                  <c:v>32.504600000000323</c:v>
                </c:pt>
                <c:pt idx="430">
                  <c:v>32.504700000000327</c:v>
                </c:pt>
                <c:pt idx="431">
                  <c:v>32.50480000000033</c:v>
                </c:pt>
                <c:pt idx="432">
                  <c:v>32.504900000000333</c:v>
                </c:pt>
                <c:pt idx="433">
                  <c:v>32.505000000000337</c:v>
                </c:pt>
                <c:pt idx="434">
                  <c:v>32.50510000000034</c:v>
                </c:pt>
                <c:pt idx="435">
                  <c:v>32.505200000000343</c:v>
                </c:pt>
                <c:pt idx="436">
                  <c:v>32.505300000000346</c:v>
                </c:pt>
                <c:pt idx="437">
                  <c:v>32.50540000000035</c:v>
                </c:pt>
                <c:pt idx="438">
                  <c:v>32.505500000000353</c:v>
                </c:pt>
                <c:pt idx="439">
                  <c:v>32.505600000000356</c:v>
                </c:pt>
                <c:pt idx="440">
                  <c:v>32.50570000000036</c:v>
                </c:pt>
                <c:pt idx="441">
                  <c:v>32.505800000000363</c:v>
                </c:pt>
                <c:pt idx="442">
                  <c:v>32.505900000000366</c:v>
                </c:pt>
                <c:pt idx="443">
                  <c:v>32.50600000000037</c:v>
                </c:pt>
                <c:pt idx="444">
                  <c:v>32.506100000000373</c:v>
                </c:pt>
                <c:pt idx="445">
                  <c:v>32.506200000000376</c:v>
                </c:pt>
                <c:pt idx="446">
                  <c:v>32.50630000000038</c:v>
                </c:pt>
                <c:pt idx="447">
                  <c:v>32.506400000000383</c:v>
                </c:pt>
                <c:pt idx="448">
                  <c:v>32.506500000000386</c:v>
                </c:pt>
                <c:pt idx="449">
                  <c:v>32.50660000000039</c:v>
                </c:pt>
                <c:pt idx="450">
                  <c:v>32.506700000000393</c:v>
                </c:pt>
                <c:pt idx="451">
                  <c:v>32.506800000000396</c:v>
                </c:pt>
                <c:pt idx="452">
                  <c:v>32.5069000000004</c:v>
                </c:pt>
                <c:pt idx="453">
                  <c:v>32.507000000000403</c:v>
                </c:pt>
                <c:pt idx="454">
                  <c:v>32.507100000000406</c:v>
                </c:pt>
                <c:pt idx="455">
                  <c:v>32.50720000000041</c:v>
                </c:pt>
                <c:pt idx="456">
                  <c:v>32.507300000000413</c:v>
                </c:pt>
                <c:pt idx="457">
                  <c:v>32.507400000000416</c:v>
                </c:pt>
                <c:pt idx="458">
                  <c:v>32.50750000000042</c:v>
                </c:pt>
                <c:pt idx="459">
                  <c:v>32.507600000000423</c:v>
                </c:pt>
                <c:pt idx="460">
                  <c:v>32.507700000000426</c:v>
                </c:pt>
                <c:pt idx="461">
                  <c:v>32.507800000000429</c:v>
                </c:pt>
                <c:pt idx="462">
                  <c:v>32.507900000000433</c:v>
                </c:pt>
                <c:pt idx="463">
                  <c:v>32.508000000000436</c:v>
                </c:pt>
                <c:pt idx="464">
                  <c:v>32.508100000000439</c:v>
                </c:pt>
                <c:pt idx="465">
                  <c:v>32.508200000000443</c:v>
                </c:pt>
                <c:pt idx="466">
                  <c:v>32.508300000000446</c:v>
                </c:pt>
                <c:pt idx="467">
                  <c:v>32.508400000000449</c:v>
                </c:pt>
                <c:pt idx="468">
                  <c:v>32.508500000000453</c:v>
                </c:pt>
                <c:pt idx="469">
                  <c:v>32.508600000000456</c:v>
                </c:pt>
                <c:pt idx="470">
                  <c:v>32.508700000000459</c:v>
                </c:pt>
                <c:pt idx="471">
                  <c:v>32.508800000000463</c:v>
                </c:pt>
                <c:pt idx="472">
                  <c:v>32.508900000000466</c:v>
                </c:pt>
                <c:pt idx="473">
                  <c:v>32.509000000000469</c:v>
                </c:pt>
                <c:pt idx="474">
                  <c:v>32.509100000000473</c:v>
                </c:pt>
                <c:pt idx="475">
                  <c:v>32.509200000000476</c:v>
                </c:pt>
                <c:pt idx="476">
                  <c:v>32.509300000000479</c:v>
                </c:pt>
                <c:pt idx="477">
                  <c:v>32.509400000000483</c:v>
                </c:pt>
                <c:pt idx="478">
                  <c:v>32.509500000000486</c:v>
                </c:pt>
                <c:pt idx="479">
                  <c:v>32.509600000000489</c:v>
                </c:pt>
                <c:pt idx="480">
                  <c:v>32.509700000000493</c:v>
                </c:pt>
                <c:pt idx="481">
                  <c:v>32.509800000000496</c:v>
                </c:pt>
                <c:pt idx="482">
                  <c:v>32.509900000000499</c:v>
                </c:pt>
                <c:pt idx="483">
                  <c:v>32.510000000000502</c:v>
                </c:pt>
                <c:pt idx="484">
                  <c:v>32.510100000000506</c:v>
                </c:pt>
                <c:pt idx="485">
                  <c:v>32.510200000000509</c:v>
                </c:pt>
                <c:pt idx="486">
                  <c:v>32.510300000000512</c:v>
                </c:pt>
                <c:pt idx="487">
                  <c:v>32.510400000000516</c:v>
                </c:pt>
                <c:pt idx="488">
                  <c:v>32.510500000000519</c:v>
                </c:pt>
                <c:pt idx="489">
                  <c:v>32.510600000000522</c:v>
                </c:pt>
                <c:pt idx="490">
                  <c:v>32.510700000000526</c:v>
                </c:pt>
                <c:pt idx="491">
                  <c:v>32.510800000000529</c:v>
                </c:pt>
                <c:pt idx="492">
                  <c:v>32.510900000000532</c:v>
                </c:pt>
                <c:pt idx="493">
                  <c:v>32.511000000000536</c:v>
                </c:pt>
                <c:pt idx="494">
                  <c:v>32.511100000000539</c:v>
                </c:pt>
                <c:pt idx="495">
                  <c:v>32.511200000000542</c:v>
                </c:pt>
                <c:pt idx="496">
                  <c:v>32.511300000000546</c:v>
                </c:pt>
                <c:pt idx="497">
                  <c:v>32.511400000000549</c:v>
                </c:pt>
                <c:pt idx="498">
                  <c:v>32.511500000000552</c:v>
                </c:pt>
                <c:pt idx="499">
                  <c:v>32.511600000000556</c:v>
                </c:pt>
                <c:pt idx="500">
                  <c:v>32.511700000000559</c:v>
                </c:pt>
                <c:pt idx="501">
                  <c:v>32.511800000000562</c:v>
                </c:pt>
                <c:pt idx="502">
                  <c:v>32.511900000000566</c:v>
                </c:pt>
                <c:pt idx="503">
                  <c:v>32.512000000000569</c:v>
                </c:pt>
                <c:pt idx="504">
                  <c:v>32.512100000000572</c:v>
                </c:pt>
                <c:pt idx="505">
                  <c:v>32.512200000000576</c:v>
                </c:pt>
                <c:pt idx="506">
                  <c:v>32.512300000000579</c:v>
                </c:pt>
                <c:pt idx="507">
                  <c:v>32.512400000000582</c:v>
                </c:pt>
                <c:pt idx="508">
                  <c:v>32.512500000000585</c:v>
                </c:pt>
                <c:pt idx="509">
                  <c:v>32.512600000000589</c:v>
                </c:pt>
                <c:pt idx="510">
                  <c:v>32.512700000000592</c:v>
                </c:pt>
                <c:pt idx="511">
                  <c:v>32.512800000000595</c:v>
                </c:pt>
                <c:pt idx="512">
                  <c:v>32.512900000000599</c:v>
                </c:pt>
                <c:pt idx="513">
                  <c:v>32.513000000000602</c:v>
                </c:pt>
                <c:pt idx="514">
                  <c:v>32.513100000000605</c:v>
                </c:pt>
                <c:pt idx="515">
                  <c:v>32.513200000000609</c:v>
                </c:pt>
                <c:pt idx="516">
                  <c:v>32.513300000000612</c:v>
                </c:pt>
                <c:pt idx="517">
                  <c:v>32.513400000000615</c:v>
                </c:pt>
                <c:pt idx="518">
                  <c:v>32.513500000000619</c:v>
                </c:pt>
                <c:pt idx="519">
                  <c:v>32.513600000000622</c:v>
                </c:pt>
                <c:pt idx="520">
                  <c:v>32.513700000000625</c:v>
                </c:pt>
                <c:pt idx="521">
                  <c:v>32.513800000000629</c:v>
                </c:pt>
                <c:pt idx="522">
                  <c:v>32.513900000000632</c:v>
                </c:pt>
                <c:pt idx="523">
                  <c:v>32.514000000000635</c:v>
                </c:pt>
                <c:pt idx="524">
                  <c:v>32.514100000000639</c:v>
                </c:pt>
                <c:pt idx="525">
                  <c:v>32.514200000000642</c:v>
                </c:pt>
                <c:pt idx="526">
                  <c:v>32.514300000000645</c:v>
                </c:pt>
                <c:pt idx="527">
                  <c:v>32.514400000000649</c:v>
                </c:pt>
                <c:pt idx="528">
                  <c:v>32.514500000000652</c:v>
                </c:pt>
                <c:pt idx="529">
                  <c:v>32.514600000000655</c:v>
                </c:pt>
                <c:pt idx="530">
                  <c:v>32.514700000000659</c:v>
                </c:pt>
                <c:pt idx="531">
                  <c:v>32.514800000000662</c:v>
                </c:pt>
                <c:pt idx="532">
                  <c:v>32.514900000000665</c:v>
                </c:pt>
                <c:pt idx="533">
                  <c:v>32.515000000000668</c:v>
                </c:pt>
                <c:pt idx="534">
                  <c:v>32.515100000000672</c:v>
                </c:pt>
                <c:pt idx="535">
                  <c:v>32.515200000000675</c:v>
                </c:pt>
                <c:pt idx="536">
                  <c:v>32.515300000000678</c:v>
                </c:pt>
                <c:pt idx="537">
                  <c:v>32.515400000000682</c:v>
                </c:pt>
                <c:pt idx="538">
                  <c:v>32.515500000000685</c:v>
                </c:pt>
                <c:pt idx="539">
                  <c:v>32.515600000000688</c:v>
                </c:pt>
                <c:pt idx="540">
                  <c:v>32.515700000000692</c:v>
                </c:pt>
                <c:pt idx="541">
                  <c:v>32.515800000000695</c:v>
                </c:pt>
                <c:pt idx="542">
                  <c:v>32.515900000000698</c:v>
                </c:pt>
                <c:pt idx="543">
                  <c:v>32.516000000000702</c:v>
                </c:pt>
                <c:pt idx="544">
                  <c:v>32.516100000000705</c:v>
                </c:pt>
                <c:pt idx="545">
                  <c:v>32.516200000000708</c:v>
                </c:pt>
                <c:pt idx="546">
                  <c:v>32.516300000000712</c:v>
                </c:pt>
                <c:pt idx="547">
                  <c:v>32.516400000000715</c:v>
                </c:pt>
                <c:pt idx="548">
                  <c:v>32.516500000000718</c:v>
                </c:pt>
                <c:pt idx="549">
                  <c:v>32.516600000000722</c:v>
                </c:pt>
                <c:pt idx="550">
                  <c:v>32.516700000000725</c:v>
                </c:pt>
                <c:pt idx="551">
                  <c:v>32.516800000000728</c:v>
                </c:pt>
                <c:pt idx="552">
                  <c:v>32.516900000000732</c:v>
                </c:pt>
                <c:pt idx="553">
                  <c:v>32.517000000000735</c:v>
                </c:pt>
                <c:pt idx="554">
                  <c:v>32.517100000000738</c:v>
                </c:pt>
                <c:pt idx="555">
                  <c:v>32.517200000000742</c:v>
                </c:pt>
                <c:pt idx="556">
                  <c:v>32.517300000000745</c:v>
                </c:pt>
                <c:pt idx="557">
                  <c:v>32.517400000000748</c:v>
                </c:pt>
                <c:pt idx="558">
                  <c:v>32.517500000000751</c:v>
                </c:pt>
                <c:pt idx="559">
                  <c:v>32.517600000000755</c:v>
                </c:pt>
                <c:pt idx="560">
                  <c:v>32.517700000000758</c:v>
                </c:pt>
                <c:pt idx="561">
                  <c:v>32.517800000000761</c:v>
                </c:pt>
                <c:pt idx="562">
                  <c:v>32.517900000000765</c:v>
                </c:pt>
                <c:pt idx="563">
                  <c:v>32.518000000000768</c:v>
                </c:pt>
                <c:pt idx="564">
                  <c:v>32.518100000000771</c:v>
                </c:pt>
                <c:pt idx="565">
                  <c:v>32.518200000000775</c:v>
                </c:pt>
                <c:pt idx="566">
                  <c:v>32.518300000000778</c:v>
                </c:pt>
                <c:pt idx="567">
                  <c:v>32.518400000000781</c:v>
                </c:pt>
                <c:pt idx="568">
                  <c:v>32.518500000000785</c:v>
                </c:pt>
                <c:pt idx="569">
                  <c:v>32.518600000000788</c:v>
                </c:pt>
                <c:pt idx="570">
                  <c:v>32.518700000000791</c:v>
                </c:pt>
                <c:pt idx="571">
                  <c:v>32.518800000000795</c:v>
                </c:pt>
                <c:pt idx="572">
                  <c:v>32.518900000000798</c:v>
                </c:pt>
                <c:pt idx="573">
                  <c:v>32.519000000000801</c:v>
                </c:pt>
                <c:pt idx="574">
                  <c:v>32.519100000000805</c:v>
                </c:pt>
                <c:pt idx="575">
                  <c:v>32.519200000000808</c:v>
                </c:pt>
                <c:pt idx="576">
                  <c:v>32.519300000000811</c:v>
                </c:pt>
                <c:pt idx="577">
                  <c:v>32.519400000000815</c:v>
                </c:pt>
                <c:pt idx="578">
                  <c:v>32.519500000000818</c:v>
                </c:pt>
                <c:pt idx="579">
                  <c:v>32.519600000000821</c:v>
                </c:pt>
                <c:pt idx="580">
                  <c:v>32.519700000000825</c:v>
                </c:pt>
                <c:pt idx="581">
                  <c:v>32.519800000000828</c:v>
                </c:pt>
                <c:pt idx="582">
                  <c:v>32.519900000000831</c:v>
                </c:pt>
                <c:pt idx="583">
                  <c:v>32.520000000000834</c:v>
                </c:pt>
                <c:pt idx="584">
                  <c:v>32.520100000000838</c:v>
                </c:pt>
                <c:pt idx="585">
                  <c:v>32.520200000000841</c:v>
                </c:pt>
                <c:pt idx="586">
                  <c:v>32.520300000000844</c:v>
                </c:pt>
                <c:pt idx="587">
                  <c:v>32.520400000000848</c:v>
                </c:pt>
                <c:pt idx="588">
                  <c:v>32.520500000000851</c:v>
                </c:pt>
                <c:pt idx="589">
                  <c:v>32.520600000000854</c:v>
                </c:pt>
                <c:pt idx="590">
                  <c:v>32.520700000000858</c:v>
                </c:pt>
                <c:pt idx="591">
                  <c:v>32.520800000000861</c:v>
                </c:pt>
                <c:pt idx="592">
                  <c:v>32.520900000000864</c:v>
                </c:pt>
                <c:pt idx="593">
                  <c:v>32.521000000000868</c:v>
                </c:pt>
                <c:pt idx="594">
                  <c:v>32.521100000000871</c:v>
                </c:pt>
                <c:pt idx="595">
                  <c:v>32.521200000000874</c:v>
                </c:pt>
                <c:pt idx="596">
                  <c:v>32.521300000000878</c:v>
                </c:pt>
                <c:pt idx="597">
                  <c:v>32.521400000000881</c:v>
                </c:pt>
                <c:pt idx="598">
                  <c:v>32.521500000000884</c:v>
                </c:pt>
                <c:pt idx="599">
                  <c:v>32.521600000000888</c:v>
                </c:pt>
                <c:pt idx="600">
                  <c:v>32.521700000000891</c:v>
                </c:pt>
                <c:pt idx="601">
                  <c:v>32.521800000000894</c:v>
                </c:pt>
                <c:pt idx="602">
                  <c:v>32.521900000000898</c:v>
                </c:pt>
                <c:pt idx="603">
                  <c:v>32.522000000000901</c:v>
                </c:pt>
                <c:pt idx="604">
                  <c:v>32.522100000000904</c:v>
                </c:pt>
                <c:pt idx="605">
                  <c:v>32.522200000000907</c:v>
                </c:pt>
                <c:pt idx="606">
                  <c:v>32.522300000000911</c:v>
                </c:pt>
                <c:pt idx="607">
                  <c:v>32.522400000000914</c:v>
                </c:pt>
                <c:pt idx="608">
                  <c:v>32.522500000000917</c:v>
                </c:pt>
                <c:pt idx="609">
                  <c:v>32.522600000000921</c:v>
                </c:pt>
                <c:pt idx="610">
                  <c:v>32.522700000000924</c:v>
                </c:pt>
                <c:pt idx="611">
                  <c:v>32.522800000000927</c:v>
                </c:pt>
                <c:pt idx="612">
                  <c:v>32.522900000000931</c:v>
                </c:pt>
                <c:pt idx="613">
                  <c:v>32.523000000000934</c:v>
                </c:pt>
                <c:pt idx="614">
                  <c:v>32.523100000000937</c:v>
                </c:pt>
                <c:pt idx="615">
                  <c:v>32.523200000000941</c:v>
                </c:pt>
                <c:pt idx="616">
                  <c:v>32.523300000000944</c:v>
                </c:pt>
                <c:pt idx="617">
                  <c:v>32.523400000000947</c:v>
                </c:pt>
                <c:pt idx="618">
                  <c:v>32.523500000000951</c:v>
                </c:pt>
                <c:pt idx="619">
                  <c:v>32.523600000000954</c:v>
                </c:pt>
                <c:pt idx="620">
                  <c:v>32.523700000000957</c:v>
                </c:pt>
                <c:pt idx="621">
                  <c:v>32.523800000000961</c:v>
                </c:pt>
                <c:pt idx="622">
                  <c:v>32.523900000000964</c:v>
                </c:pt>
                <c:pt idx="623">
                  <c:v>32.524000000000967</c:v>
                </c:pt>
                <c:pt idx="624">
                  <c:v>32.524100000000971</c:v>
                </c:pt>
                <c:pt idx="625">
                  <c:v>32.524200000000974</c:v>
                </c:pt>
                <c:pt idx="626">
                  <c:v>32.524300000000977</c:v>
                </c:pt>
                <c:pt idx="627">
                  <c:v>32.524400000000981</c:v>
                </c:pt>
                <c:pt idx="628">
                  <c:v>32.524500000000984</c:v>
                </c:pt>
                <c:pt idx="629">
                  <c:v>32.524600000000987</c:v>
                </c:pt>
                <c:pt idx="630">
                  <c:v>32.52470000000099</c:v>
                </c:pt>
                <c:pt idx="631">
                  <c:v>32.524800000000994</c:v>
                </c:pt>
                <c:pt idx="632">
                  <c:v>32.524900000000997</c:v>
                </c:pt>
                <c:pt idx="633">
                  <c:v>32.525000000001</c:v>
                </c:pt>
                <c:pt idx="634">
                  <c:v>32.525100000001004</c:v>
                </c:pt>
                <c:pt idx="635">
                  <c:v>32.525200000001007</c:v>
                </c:pt>
                <c:pt idx="636">
                  <c:v>32.52530000000101</c:v>
                </c:pt>
                <c:pt idx="637">
                  <c:v>32.525400000001014</c:v>
                </c:pt>
                <c:pt idx="638">
                  <c:v>32.525500000001017</c:v>
                </c:pt>
                <c:pt idx="639">
                  <c:v>32.52560000000102</c:v>
                </c:pt>
                <c:pt idx="640">
                  <c:v>32.525700000001024</c:v>
                </c:pt>
                <c:pt idx="641">
                  <c:v>32.525800000001027</c:v>
                </c:pt>
                <c:pt idx="642">
                  <c:v>32.52590000000103</c:v>
                </c:pt>
                <c:pt idx="643">
                  <c:v>32.526000000001034</c:v>
                </c:pt>
                <c:pt idx="644">
                  <c:v>32.526100000001037</c:v>
                </c:pt>
                <c:pt idx="645">
                  <c:v>32.52620000000104</c:v>
                </c:pt>
                <c:pt idx="646">
                  <c:v>32.526300000001044</c:v>
                </c:pt>
                <c:pt idx="647">
                  <c:v>32.526400000001047</c:v>
                </c:pt>
                <c:pt idx="648">
                  <c:v>32.52650000000105</c:v>
                </c:pt>
                <c:pt idx="649">
                  <c:v>32.526600000001054</c:v>
                </c:pt>
                <c:pt idx="650">
                  <c:v>32.526700000001057</c:v>
                </c:pt>
                <c:pt idx="651">
                  <c:v>32.52680000000106</c:v>
                </c:pt>
                <c:pt idx="652">
                  <c:v>32.526900000001064</c:v>
                </c:pt>
                <c:pt idx="653">
                  <c:v>32.527000000001067</c:v>
                </c:pt>
                <c:pt idx="654">
                  <c:v>32.52710000000107</c:v>
                </c:pt>
                <c:pt idx="655">
                  <c:v>32.527200000001073</c:v>
                </c:pt>
                <c:pt idx="656">
                  <c:v>32.527300000001077</c:v>
                </c:pt>
                <c:pt idx="657">
                  <c:v>32.52740000000108</c:v>
                </c:pt>
                <c:pt idx="658">
                  <c:v>32.527500000001083</c:v>
                </c:pt>
                <c:pt idx="659">
                  <c:v>32.527600000001087</c:v>
                </c:pt>
                <c:pt idx="660">
                  <c:v>32.52770000000109</c:v>
                </c:pt>
                <c:pt idx="661">
                  <c:v>32.527800000001093</c:v>
                </c:pt>
                <c:pt idx="662">
                  <c:v>32.527900000001097</c:v>
                </c:pt>
                <c:pt idx="663">
                  <c:v>32.5280000000011</c:v>
                </c:pt>
                <c:pt idx="664">
                  <c:v>32.528100000001103</c:v>
                </c:pt>
                <c:pt idx="665">
                  <c:v>32.528200000001107</c:v>
                </c:pt>
                <c:pt idx="666">
                  <c:v>32.52830000000111</c:v>
                </c:pt>
                <c:pt idx="667">
                  <c:v>32.528400000001113</c:v>
                </c:pt>
                <c:pt idx="668">
                  <c:v>32.528500000001117</c:v>
                </c:pt>
                <c:pt idx="669">
                  <c:v>32.52860000000112</c:v>
                </c:pt>
                <c:pt idx="670">
                  <c:v>32.528700000001123</c:v>
                </c:pt>
                <c:pt idx="671">
                  <c:v>32.528800000001127</c:v>
                </c:pt>
                <c:pt idx="672">
                  <c:v>32.52890000000113</c:v>
                </c:pt>
                <c:pt idx="673">
                  <c:v>32.529000000001133</c:v>
                </c:pt>
                <c:pt idx="674">
                  <c:v>32.529100000001137</c:v>
                </c:pt>
                <c:pt idx="675">
                  <c:v>32.52920000000114</c:v>
                </c:pt>
                <c:pt idx="676">
                  <c:v>32.529300000001143</c:v>
                </c:pt>
                <c:pt idx="677">
                  <c:v>32.529400000001147</c:v>
                </c:pt>
                <c:pt idx="678">
                  <c:v>32.52950000000115</c:v>
                </c:pt>
                <c:pt idx="679">
                  <c:v>32.529600000001153</c:v>
                </c:pt>
                <c:pt idx="680">
                  <c:v>32.529700000001156</c:v>
                </c:pt>
                <c:pt idx="681">
                  <c:v>32.52980000000116</c:v>
                </c:pt>
                <c:pt idx="682">
                  <c:v>32.529900000001163</c:v>
                </c:pt>
                <c:pt idx="683">
                  <c:v>32.530000000001166</c:v>
                </c:pt>
                <c:pt idx="684">
                  <c:v>32.53010000000117</c:v>
                </c:pt>
                <c:pt idx="685">
                  <c:v>32.530200000001173</c:v>
                </c:pt>
                <c:pt idx="686">
                  <c:v>32.530300000001176</c:v>
                </c:pt>
                <c:pt idx="687">
                  <c:v>32.53040000000118</c:v>
                </c:pt>
                <c:pt idx="688">
                  <c:v>32.530500000001183</c:v>
                </c:pt>
                <c:pt idx="689">
                  <c:v>32.530600000001186</c:v>
                </c:pt>
                <c:pt idx="690">
                  <c:v>32.53070000000119</c:v>
                </c:pt>
                <c:pt idx="691">
                  <c:v>32.530800000001193</c:v>
                </c:pt>
                <c:pt idx="692">
                  <c:v>32.530900000001196</c:v>
                </c:pt>
                <c:pt idx="693">
                  <c:v>32.5310000000012</c:v>
                </c:pt>
                <c:pt idx="694">
                  <c:v>32.531100000001203</c:v>
                </c:pt>
                <c:pt idx="695">
                  <c:v>32.531200000001206</c:v>
                </c:pt>
                <c:pt idx="696">
                  <c:v>32.53130000000121</c:v>
                </c:pt>
                <c:pt idx="697">
                  <c:v>32.531400000001213</c:v>
                </c:pt>
                <c:pt idx="698">
                  <c:v>32.531500000001216</c:v>
                </c:pt>
                <c:pt idx="699">
                  <c:v>32.53160000000122</c:v>
                </c:pt>
                <c:pt idx="700">
                  <c:v>32.531700000001223</c:v>
                </c:pt>
                <c:pt idx="701">
                  <c:v>32.531800000001226</c:v>
                </c:pt>
                <c:pt idx="702">
                  <c:v>32.53190000000123</c:v>
                </c:pt>
                <c:pt idx="703">
                  <c:v>32.532000000001233</c:v>
                </c:pt>
                <c:pt idx="704">
                  <c:v>32.532100000001236</c:v>
                </c:pt>
                <c:pt idx="705">
                  <c:v>32.532200000001239</c:v>
                </c:pt>
                <c:pt idx="706">
                  <c:v>32.532300000001243</c:v>
                </c:pt>
                <c:pt idx="707">
                  <c:v>32.532400000001246</c:v>
                </c:pt>
                <c:pt idx="708">
                  <c:v>32.532500000001249</c:v>
                </c:pt>
                <c:pt idx="709">
                  <c:v>32.532600000001253</c:v>
                </c:pt>
                <c:pt idx="710">
                  <c:v>32.532700000001256</c:v>
                </c:pt>
                <c:pt idx="711">
                  <c:v>32.532800000001259</c:v>
                </c:pt>
                <c:pt idx="712">
                  <c:v>32.532900000001263</c:v>
                </c:pt>
                <c:pt idx="713">
                  <c:v>32.533000000001266</c:v>
                </c:pt>
                <c:pt idx="714">
                  <c:v>32.533100000001269</c:v>
                </c:pt>
                <c:pt idx="715">
                  <c:v>32.533200000001273</c:v>
                </c:pt>
                <c:pt idx="716">
                  <c:v>32.533300000001276</c:v>
                </c:pt>
                <c:pt idx="717">
                  <c:v>32.533400000001279</c:v>
                </c:pt>
                <c:pt idx="718">
                  <c:v>32.533500000001283</c:v>
                </c:pt>
                <c:pt idx="719">
                  <c:v>32.533600000001286</c:v>
                </c:pt>
                <c:pt idx="720">
                  <c:v>32.533700000001289</c:v>
                </c:pt>
                <c:pt idx="721">
                  <c:v>32.533800000001293</c:v>
                </c:pt>
                <c:pt idx="722">
                  <c:v>32.533900000001296</c:v>
                </c:pt>
                <c:pt idx="723">
                  <c:v>32.534000000001299</c:v>
                </c:pt>
                <c:pt idx="724">
                  <c:v>32.534100000001303</c:v>
                </c:pt>
                <c:pt idx="725">
                  <c:v>32.534200000001306</c:v>
                </c:pt>
                <c:pt idx="726">
                  <c:v>32.534300000001309</c:v>
                </c:pt>
                <c:pt idx="727">
                  <c:v>32.534400000001312</c:v>
                </c:pt>
                <c:pt idx="728">
                  <c:v>32.534500000001316</c:v>
                </c:pt>
                <c:pt idx="729">
                  <c:v>32.534600000001319</c:v>
                </c:pt>
                <c:pt idx="730">
                  <c:v>32.534700000001322</c:v>
                </c:pt>
                <c:pt idx="731">
                  <c:v>32.534800000001326</c:v>
                </c:pt>
                <c:pt idx="732">
                  <c:v>32.534900000001329</c:v>
                </c:pt>
                <c:pt idx="733">
                  <c:v>32.535000000001332</c:v>
                </c:pt>
                <c:pt idx="734">
                  <c:v>32.535100000001336</c:v>
                </c:pt>
                <c:pt idx="735">
                  <c:v>32.535200000001339</c:v>
                </c:pt>
                <c:pt idx="736">
                  <c:v>32.535300000001342</c:v>
                </c:pt>
                <c:pt idx="737">
                  <c:v>32.535400000001346</c:v>
                </c:pt>
                <c:pt idx="738">
                  <c:v>32.535500000001349</c:v>
                </c:pt>
                <c:pt idx="739">
                  <c:v>32.535600000001352</c:v>
                </c:pt>
                <c:pt idx="740">
                  <c:v>32.535700000001356</c:v>
                </c:pt>
                <c:pt idx="741">
                  <c:v>32.535800000001359</c:v>
                </c:pt>
                <c:pt idx="742">
                  <c:v>32.535900000001362</c:v>
                </c:pt>
                <c:pt idx="743">
                  <c:v>32.536000000001366</c:v>
                </c:pt>
                <c:pt idx="744">
                  <c:v>32.536100000001369</c:v>
                </c:pt>
                <c:pt idx="745">
                  <c:v>32.536200000001372</c:v>
                </c:pt>
                <c:pt idx="746">
                  <c:v>32.536300000001376</c:v>
                </c:pt>
                <c:pt idx="747">
                  <c:v>32.536400000001379</c:v>
                </c:pt>
                <c:pt idx="748">
                  <c:v>32.536500000001382</c:v>
                </c:pt>
                <c:pt idx="749">
                  <c:v>32.536600000001386</c:v>
                </c:pt>
                <c:pt idx="750">
                  <c:v>32.536700000001389</c:v>
                </c:pt>
                <c:pt idx="751">
                  <c:v>32.536800000001392</c:v>
                </c:pt>
                <c:pt idx="752">
                  <c:v>32.536900000001395</c:v>
                </c:pt>
                <c:pt idx="753">
                  <c:v>32.537000000001399</c:v>
                </c:pt>
                <c:pt idx="754">
                  <c:v>32.537100000001402</c:v>
                </c:pt>
                <c:pt idx="755">
                  <c:v>32.537200000001405</c:v>
                </c:pt>
                <c:pt idx="756">
                  <c:v>32.537300000001409</c:v>
                </c:pt>
                <c:pt idx="757">
                  <c:v>32.537400000001412</c:v>
                </c:pt>
                <c:pt idx="758">
                  <c:v>32.537500000001415</c:v>
                </c:pt>
                <c:pt idx="759">
                  <c:v>32.537600000001419</c:v>
                </c:pt>
                <c:pt idx="760">
                  <c:v>32.537700000001422</c:v>
                </c:pt>
                <c:pt idx="761">
                  <c:v>32.537800000001425</c:v>
                </c:pt>
                <c:pt idx="762">
                  <c:v>32.537900000001429</c:v>
                </c:pt>
                <c:pt idx="763">
                  <c:v>32.538000000001432</c:v>
                </c:pt>
                <c:pt idx="764">
                  <c:v>32.538100000001435</c:v>
                </c:pt>
                <c:pt idx="765">
                  <c:v>32.538200000001439</c:v>
                </c:pt>
                <c:pt idx="766">
                  <c:v>32.538300000001442</c:v>
                </c:pt>
                <c:pt idx="767">
                  <c:v>32.538400000001445</c:v>
                </c:pt>
                <c:pt idx="768">
                  <c:v>32.538500000001449</c:v>
                </c:pt>
                <c:pt idx="769">
                  <c:v>32.538600000001452</c:v>
                </c:pt>
                <c:pt idx="770">
                  <c:v>32.538700000001455</c:v>
                </c:pt>
                <c:pt idx="771">
                  <c:v>32.538800000001459</c:v>
                </c:pt>
                <c:pt idx="772">
                  <c:v>32.538900000001462</c:v>
                </c:pt>
                <c:pt idx="773">
                  <c:v>32.539000000001465</c:v>
                </c:pt>
                <c:pt idx="774">
                  <c:v>32.539100000001469</c:v>
                </c:pt>
                <c:pt idx="775">
                  <c:v>32.539200000001472</c:v>
                </c:pt>
                <c:pt idx="776">
                  <c:v>32.539300000001475</c:v>
                </c:pt>
                <c:pt idx="777">
                  <c:v>32.539400000001478</c:v>
                </c:pt>
                <c:pt idx="778">
                  <c:v>32.539500000001482</c:v>
                </c:pt>
                <c:pt idx="779">
                  <c:v>32.539600000001485</c:v>
                </c:pt>
                <c:pt idx="780">
                  <c:v>32.539700000001488</c:v>
                </c:pt>
                <c:pt idx="781">
                  <c:v>32.539800000001492</c:v>
                </c:pt>
                <c:pt idx="782">
                  <c:v>32.539900000001495</c:v>
                </c:pt>
                <c:pt idx="783">
                  <c:v>32.540000000001498</c:v>
                </c:pt>
                <c:pt idx="784">
                  <c:v>32.540100000001502</c:v>
                </c:pt>
                <c:pt idx="785">
                  <c:v>32.540200000001505</c:v>
                </c:pt>
                <c:pt idx="786">
                  <c:v>32.540300000001508</c:v>
                </c:pt>
                <c:pt idx="787">
                  <c:v>32.540400000001512</c:v>
                </c:pt>
                <c:pt idx="788">
                  <c:v>32.540500000001515</c:v>
                </c:pt>
                <c:pt idx="789">
                  <c:v>32.540600000001518</c:v>
                </c:pt>
                <c:pt idx="790">
                  <c:v>32.540700000001522</c:v>
                </c:pt>
                <c:pt idx="791">
                  <c:v>32.540800000001525</c:v>
                </c:pt>
                <c:pt idx="792">
                  <c:v>32.540900000001528</c:v>
                </c:pt>
                <c:pt idx="793">
                  <c:v>32.541000000001532</c:v>
                </c:pt>
                <c:pt idx="794">
                  <c:v>32.541100000001535</c:v>
                </c:pt>
                <c:pt idx="795">
                  <c:v>32.541200000001538</c:v>
                </c:pt>
                <c:pt idx="796">
                  <c:v>32.541300000001542</c:v>
                </c:pt>
                <c:pt idx="797">
                  <c:v>32.541400000001545</c:v>
                </c:pt>
                <c:pt idx="798">
                  <c:v>32.541500000001548</c:v>
                </c:pt>
                <c:pt idx="799">
                  <c:v>32.541600000001552</c:v>
                </c:pt>
                <c:pt idx="800">
                  <c:v>32.541700000001555</c:v>
                </c:pt>
                <c:pt idx="801">
                  <c:v>32.541800000001558</c:v>
                </c:pt>
                <c:pt idx="802">
                  <c:v>32.541900000001561</c:v>
                </c:pt>
                <c:pt idx="803">
                  <c:v>32.542000000001565</c:v>
                </c:pt>
                <c:pt idx="804">
                  <c:v>32.542100000001568</c:v>
                </c:pt>
                <c:pt idx="805">
                  <c:v>32.542200000001571</c:v>
                </c:pt>
                <c:pt idx="806">
                  <c:v>32.542300000001575</c:v>
                </c:pt>
                <c:pt idx="807">
                  <c:v>32.542400000001578</c:v>
                </c:pt>
                <c:pt idx="808">
                  <c:v>32.542500000001581</c:v>
                </c:pt>
                <c:pt idx="809">
                  <c:v>32.542600000001585</c:v>
                </c:pt>
                <c:pt idx="810">
                  <c:v>32.542700000001588</c:v>
                </c:pt>
                <c:pt idx="811">
                  <c:v>32.542800000001591</c:v>
                </c:pt>
                <c:pt idx="812">
                  <c:v>32.542900000001595</c:v>
                </c:pt>
                <c:pt idx="813">
                  <c:v>32.543000000001598</c:v>
                </c:pt>
                <c:pt idx="814">
                  <c:v>32.543100000001601</c:v>
                </c:pt>
                <c:pt idx="815">
                  <c:v>32.543200000001605</c:v>
                </c:pt>
                <c:pt idx="816">
                  <c:v>32.543300000001608</c:v>
                </c:pt>
                <c:pt idx="817">
                  <c:v>32.543400000001611</c:v>
                </c:pt>
                <c:pt idx="818">
                  <c:v>32.543500000001615</c:v>
                </c:pt>
                <c:pt idx="819">
                  <c:v>32.543600000001618</c:v>
                </c:pt>
                <c:pt idx="820">
                  <c:v>32.543700000001621</c:v>
                </c:pt>
                <c:pt idx="821">
                  <c:v>32.543800000001625</c:v>
                </c:pt>
                <c:pt idx="822">
                  <c:v>32.543900000001628</c:v>
                </c:pt>
                <c:pt idx="823">
                  <c:v>32.544000000001631</c:v>
                </c:pt>
                <c:pt idx="824">
                  <c:v>32.544100000001634</c:v>
                </c:pt>
                <c:pt idx="825">
                  <c:v>32.544200000001638</c:v>
                </c:pt>
                <c:pt idx="826">
                  <c:v>32.544300000001641</c:v>
                </c:pt>
                <c:pt idx="827">
                  <c:v>32.544400000001644</c:v>
                </c:pt>
                <c:pt idx="828">
                  <c:v>32.544500000001648</c:v>
                </c:pt>
                <c:pt idx="829">
                  <c:v>32.544600000001651</c:v>
                </c:pt>
                <c:pt idx="830">
                  <c:v>32.544700000001654</c:v>
                </c:pt>
                <c:pt idx="831">
                  <c:v>32.544800000001658</c:v>
                </c:pt>
                <c:pt idx="832">
                  <c:v>32.544900000001661</c:v>
                </c:pt>
                <c:pt idx="833">
                  <c:v>32.545000000001664</c:v>
                </c:pt>
                <c:pt idx="834">
                  <c:v>32.545100000001668</c:v>
                </c:pt>
                <c:pt idx="835">
                  <c:v>32.545200000001671</c:v>
                </c:pt>
                <c:pt idx="836">
                  <c:v>32.545300000001674</c:v>
                </c:pt>
                <c:pt idx="837">
                  <c:v>32.545400000001678</c:v>
                </c:pt>
                <c:pt idx="838">
                  <c:v>32.545500000001681</c:v>
                </c:pt>
                <c:pt idx="839">
                  <c:v>32.545600000001684</c:v>
                </c:pt>
                <c:pt idx="840">
                  <c:v>32.545700000001688</c:v>
                </c:pt>
                <c:pt idx="841">
                  <c:v>32.545800000001691</c:v>
                </c:pt>
                <c:pt idx="842">
                  <c:v>32.545900000001694</c:v>
                </c:pt>
                <c:pt idx="843">
                  <c:v>32.546000000001698</c:v>
                </c:pt>
                <c:pt idx="844">
                  <c:v>32.546100000001701</c:v>
                </c:pt>
                <c:pt idx="845">
                  <c:v>32.546200000001704</c:v>
                </c:pt>
                <c:pt idx="846">
                  <c:v>32.546300000001708</c:v>
                </c:pt>
                <c:pt idx="847">
                  <c:v>32.546400000001711</c:v>
                </c:pt>
                <c:pt idx="848">
                  <c:v>32.546500000001714</c:v>
                </c:pt>
                <c:pt idx="849">
                  <c:v>32.546600000001717</c:v>
                </c:pt>
                <c:pt idx="850">
                  <c:v>32.546700000001721</c:v>
                </c:pt>
                <c:pt idx="851">
                  <c:v>32.546800000001724</c:v>
                </c:pt>
                <c:pt idx="852">
                  <c:v>32.546900000001727</c:v>
                </c:pt>
                <c:pt idx="853">
                  <c:v>32.547000000001731</c:v>
                </c:pt>
                <c:pt idx="854">
                  <c:v>32.547100000001734</c:v>
                </c:pt>
                <c:pt idx="855">
                  <c:v>32.547200000001737</c:v>
                </c:pt>
                <c:pt idx="856">
                  <c:v>32.547300000001741</c:v>
                </c:pt>
                <c:pt idx="857">
                  <c:v>32.547400000001744</c:v>
                </c:pt>
                <c:pt idx="858">
                  <c:v>32.547500000001747</c:v>
                </c:pt>
                <c:pt idx="859">
                  <c:v>32.547600000001751</c:v>
                </c:pt>
                <c:pt idx="860">
                  <c:v>32.547700000001754</c:v>
                </c:pt>
                <c:pt idx="861">
                  <c:v>32.547800000001757</c:v>
                </c:pt>
                <c:pt idx="862">
                  <c:v>32.547900000001761</c:v>
                </c:pt>
                <c:pt idx="863">
                  <c:v>32.548000000001764</c:v>
                </c:pt>
                <c:pt idx="864">
                  <c:v>32.548100000001767</c:v>
                </c:pt>
                <c:pt idx="865">
                  <c:v>32.548200000001771</c:v>
                </c:pt>
                <c:pt idx="866">
                  <c:v>32.548300000001774</c:v>
                </c:pt>
                <c:pt idx="867">
                  <c:v>32.548400000001777</c:v>
                </c:pt>
                <c:pt idx="868">
                  <c:v>32.548500000001781</c:v>
                </c:pt>
                <c:pt idx="869">
                  <c:v>32.548600000001784</c:v>
                </c:pt>
                <c:pt idx="870">
                  <c:v>32.548700000001787</c:v>
                </c:pt>
                <c:pt idx="871">
                  <c:v>32.548800000001791</c:v>
                </c:pt>
                <c:pt idx="872">
                  <c:v>32.548900000001794</c:v>
                </c:pt>
                <c:pt idx="873">
                  <c:v>32.549000000001797</c:v>
                </c:pt>
                <c:pt idx="874">
                  <c:v>32.5491000000018</c:v>
                </c:pt>
                <c:pt idx="875">
                  <c:v>32.549200000001804</c:v>
                </c:pt>
                <c:pt idx="876">
                  <c:v>32.549300000001807</c:v>
                </c:pt>
                <c:pt idx="877">
                  <c:v>32.54940000000181</c:v>
                </c:pt>
                <c:pt idx="878">
                  <c:v>32.549500000001814</c:v>
                </c:pt>
                <c:pt idx="879">
                  <c:v>32.549600000001817</c:v>
                </c:pt>
                <c:pt idx="880">
                  <c:v>32.54970000000182</c:v>
                </c:pt>
                <c:pt idx="881">
                  <c:v>32.549800000001824</c:v>
                </c:pt>
                <c:pt idx="882">
                  <c:v>32.549900000001827</c:v>
                </c:pt>
                <c:pt idx="883">
                  <c:v>32.55000000000183</c:v>
                </c:pt>
                <c:pt idx="884">
                  <c:v>32.550100000001834</c:v>
                </c:pt>
                <c:pt idx="885">
                  <c:v>32.550200000001837</c:v>
                </c:pt>
                <c:pt idx="886">
                  <c:v>32.55030000000184</c:v>
                </c:pt>
                <c:pt idx="887">
                  <c:v>32.550400000001844</c:v>
                </c:pt>
                <c:pt idx="888">
                  <c:v>32.550500000001847</c:v>
                </c:pt>
                <c:pt idx="889">
                  <c:v>32.55060000000185</c:v>
                </c:pt>
                <c:pt idx="890">
                  <c:v>32.550700000001854</c:v>
                </c:pt>
                <c:pt idx="891">
                  <c:v>32.550800000001857</c:v>
                </c:pt>
                <c:pt idx="892">
                  <c:v>32.55090000000186</c:v>
                </c:pt>
                <c:pt idx="893">
                  <c:v>32.551000000001864</c:v>
                </c:pt>
                <c:pt idx="894">
                  <c:v>32.551100000001867</c:v>
                </c:pt>
                <c:pt idx="895">
                  <c:v>32.55120000000187</c:v>
                </c:pt>
                <c:pt idx="896">
                  <c:v>32.551300000001874</c:v>
                </c:pt>
                <c:pt idx="897">
                  <c:v>32.551400000001877</c:v>
                </c:pt>
                <c:pt idx="898">
                  <c:v>32.55150000000188</c:v>
                </c:pt>
                <c:pt idx="899">
                  <c:v>32.551600000001883</c:v>
                </c:pt>
                <c:pt idx="900">
                  <c:v>32.551700000001887</c:v>
                </c:pt>
                <c:pt idx="901">
                  <c:v>32.55180000000189</c:v>
                </c:pt>
                <c:pt idx="902">
                  <c:v>32.551900000001893</c:v>
                </c:pt>
                <c:pt idx="903">
                  <c:v>32.552000000001897</c:v>
                </c:pt>
                <c:pt idx="904">
                  <c:v>32.5521000000019</c:v>
                </c:pt>
                <c:pt idx="905">
                  <c:v>32.552200000001903</c:v>
                </c:pt>
                <c:pt idx="906">
                  <c:v>32.552300000001907</c:v>
                </c:pt>
                <c:pt idx="907">
                  <c:v>32.55240000000191</c:v>
                </c:pt>
                <c:pt idx="908">
                  <c:v>32.552500000001913</c:v>
                </c:pt>
                <c:pt idx="909">
                  <c:v>32.552600000001917</c:v>
                </c:pt>
                <c:pt idx="910">
                  <c:v>32.55270000000192</c:v>
                </c:pt>
                <c:pt idx="911">
                  <c:v>32.552800000001923</c:v>
                </c:pt>
                <c:pt idx="912">
                  <c:v>32.552900000001927</c:v>
                </c:pt>
                <c:pt idx="913">
                  <c:v>32.55300000000193</c:v>
                </c:pt>
                <c:pt idx="914">
                  <c:v>32.553100000001933</c:v>
                </c:pt>
                <c:pt idx="915">
                  <c:v>32.553200000001937</c:v>
                </c:pt>
                <c:pt idx="916">
                  <c:v>32.55330000000194</c:v>
                </c:pt>
                <c:pt idx="917">
                  <c:v>32.553400000001943</c:v>
                </c:pt>
                <c:pt idx="918">
                  <c:v>32.553500000001947</c:v>
                </c:pt>
                <c:pt idx="919">
                  <c:v>32.55360000000195</c:v>
                </c:pt>
                <c:pt idx="920">
                  <c:v>32.553700000001953</c:v>
                </c:pt>
                <c:pt idx="921">
                  <c:v>32.553800000001957</c:v>
                </c:pt>
                <c:pt idx="922">
                  <c:v>32.55390000000196</c:v>
                </c:pt>
                <c:pt idx="923">
                  <c:v>32.554000000001963</c:v>
                </c:pt>
                <c:pt idx="924">
                  <c:v>32.554100000001966</c:v>
                </c:pt>
                <c:pt idx="925">
                  <c:v>32.55420000000197</c:v>
                </c:pt>
                <c:pt idx="926">
                  <c:v>32.554300000001973</c:v>
                </c:pt>
                <c:pt idx="927">
                  <c:v>32.554400000001976</c:v>
                </c:pt>
                <c:pt idx="928">
                  <c:v>32.55450000000198</c:v>
                </c:pt>
                <c:pt idx="929">
                  <c:v>32.554600000001983</c:v>
                </c:pt>
                <c:pt idx="930">
                  <c:v>32.554700000001986</c:v>
                </c:pt>
                <c:pt idx="931">
                  <c:v>32.55480000000199</c:v>
                </c:pt>
                <c:pt idx="932">
                  <c:v>32.554900000001993</c:v>
                </c:pt>
                <c:pt idx="933">
                  <c:v>32.555000000001996</c:v>
                </c:pt>
                <c:pt idx="934">
                  <c:v>32.555100000002</c:v>
                </c:pt>
                <c:pt idx="935">
                  <c:v>32.555200000002003</c:v>
                </c:pt>
                <c:pt idx="936">
                  <c:v>32.555300000002006</c:v>
                </c:pt>
                <c:pt idx="937">
                  <c:v>32.55540000000201</c:v>
                </c:pt>
                <c:pt idx="938">
                  <c:v>32.555500000002013</c:v>
                </c:pt>
                <c:pt idx="939">
                  <c:v>32.555600000002016</c:v>
                </c:pt>
                <c:pt idx="940">
                  <c:v>32.55570000000202</c:v>
                </c:pt>
                <c:pt idx="941">
                  <c:v>32.555800000002023</c:v>
                </c:pt>
                <c:pt idx="942">
                  <c:v>32.555900000002026</c:v>
                </c:pt>
                <c:pt idx="943">
                  <c:v>32.55600000000203</c:v>
                </c:pt>
                <c:pt idx="944">
                  <c:v>32.556100000002033</c:v>
                </c:pt>
                <c:pt idx="945">
                  <c:v>32.556200000002036</c:v>
                </c:pt>
                <c:pt idx="946">
                  <c:v>32.556300000002039</c:v>
                </c:pt>
                <c:pt idx="947">
                  <c:v>32.556400000002043</c:v>
                </c:pt>
                <c:pt idx="948">
                  <c:v>32.556500000002046</c:v>
                </c:pt>
                <c:pt idx="949">
                  <c:v>32.556600000002049</c:v>
                </c:pt>
                <c:pt idx="950">
                  <c:v>32.556700000002053</c:v>
                </c:pt>
                <c:pt idx="951">
                  <c:v>32.556800000002056</c:v>
                </c:pt>
                <c:pt idx="952">
                  <c:v>32.556900000002059</c:v>
                </c:pt>
                <c:pt idx="953">
                  <c:v>32.557000000002063</c:v>
                </c:pt>
                <c:pt idx="954">
                  <c:v>32.557100000002066</c:v>
                </c:pt>
                <c:pt idx="955">
                  <c:v>32.557200000002069</c:v>
                </c:pt>
                <c:pt idx="956">
                  <c:v>32.557300000002073</c:v>
                </c:pt>
                <c:pt idx="957">
                  <c:v>32.557400000002076</c:v>
                </c:pt>
                <c:pt idx="958">
                  <c:v>32.557500000002079</c:v>
                </c:pt>
                <c:pt idx="959">
                  <c:v>32.557600000002083</c:v>
                </c:pt>
                <c:pt idx="960">
                  <c:v>32.557700000002086</c:v>
                </c:pt>
                <c:pt idx="961">
                  <c:v>32.557800000002089</c:v>
                </c:pt>
                <c:pt idx="962">
                  <c:v>32.557900000002093</c:v>
                </c:pt>
                <c:pt idx="963">
                  <c:v>32.558000000002096</c:v>
                </c:pt>
                <c:pt idx="964">
                  <c:v>32.558100000002099</c:v>
                </c:pt>
                <c:pt idx="965">
                  <c:v>32.558200000002103</c:v>
                </c:pt>
                <c:pt idx="966">
                  <c:v>32.558300000002106</c:v>
                </c:pt>
                <c:pt idx="967">
                  <c:v>32.558400000002109</c:v>
                </c:pt>
                <c:pt idx="968">
                  <c:v>32.558500000002113</c:v>
                </c:pt>
                <c:pt idx="969">
                  <c:v>32.558600000002116</c:v>
                </c:pt>
                <c:pt idx="970">
                  <c:v>32.558700000002119</c:v>
                </c:pt>
                <c:pt idx="971">
                  <c:v>32.558800000002122</c:v>
                </c:pt>
                <c:pt idx="972">
                  <c:v>32.558900000002126</c:v>
                </c:pt>
                <c:pt idx="973">
                  <c:v>32.559000000002129</c:v>
                </c:pt>
                <c:pt idx="974">
                  <c:v>32.559100000002132</c:v>
                </c:pt>
                <c:pt idx="975">
                  <c:v>32.559200000002136</c:v>
                </c:pt>
                <c:pt idx="976">
                  <c:v>32.559300000002139</c:v>
                </c:pt>
                <c:pt idx="977">
                  <c:v>32.559400000002142</c:v>
                </c:pt>
                <c:pt idx="978">
                  <c:v>32.559500000002146</c:v>
                </c:pt>
                <c:pt idx="979">
                  <c:v>32.559600000002149</c:v>
                </c:pt>
                <c:pt idx="980">
                  <c:v>32.559700000002152</c:v>
                </c:pt>
                <c:pt idx="981">
                  <c:v>32.559800000002156</c:v>
                </c:pt>
                <c:pt idx="982">
                  <c:v>32.559900000002159</c:v>
                </c:pt>
                <c:pt idx="983">
                  <c:v>32.560000000002162</c:v>
                </c:pt>
                <c:pt idx="984">
                  <c:v>32.560100000002166</c:v>
                </c:pt>
                <c:pt idx="985">
                  <c:v>32.560200000002169</c:v>
                </c:pt>
                <c:pt idx="986">
                  <c:v>32.560300000002172</c:v>
                </c:pt>
                <c:pt idx="987">
                  <c:v>32.560400000002176</c:v>
                </c:pt>
                <c:pt idx="988">
                  <c:v>32.560500000002179</c:v>
                </c:pt>
                <c:pt idx="989">
                  <c:v>32.560600000002182</c:v>
                </c:pt>
                <c:pt idx="990">
                  <c:v>32.560700000002186</c:v>
                </c:pt>
                <c:pt idx="991">
                  <c:v>32.560800000002189</c:v>
                </c:pt>
                <c:pt idx="992">
                  <c:v>32.560900000002192</c:v>
                </c:pt>
                <c:pt idx="993">
                  <c:v>32.561000000002196</c:v>
                </c:pt>
                <c:pt idx="994">
                  <c:v>32.561100000002199</c:v>
                </c:pt>
                <c:pt idx="995">
                  <c:v>32.561200000002202</c:v>
                </c:pt>
                <c:pt idx="996">
                  <c:v>32.561300000002205</c:v>
                </c:pt>
                <c:pt idx="997">
                  <c:v>32.561400000002209</c:v>
                </c:pt>
                <c:pt idx="998">
                  <c:v>32.561500000002212</c:v>
                </c:pt>
                <c:pt idx="999">
                  <c:v>32.561600000002215</c:v>
                </c:pt>
                <c:pt idx="1000">
                  <c:v>32.561700000002219</c:v>
                </c:pt>
              </c:numCache>
            </c:numRef>
          </c:xVal>
          <c:yVal>
            <c:numRef>
              <c:f>Calculs!$W$4:$W$1004</c:f>
              <c:numCache>
                <c:formatCode>0.00</c:formatCode>
                <c:ptCount val="1001"/>
                <c:pt idx="0">
                  <c:v>72.422116264538886</c:v>
                </c:pt>
                <c:pt idx="1">
                  <c:v>72.098286578305107</c:v>
                </c:pt>
                <c:pt idx="2">
                  <c:v>71.776301287553892</c:v>
                </c:pt>
                <c:pt idx="3">
                  <c:v>71.456146384914121</c:v>
                </c:pt>
                <c:pt idx="4">
                  <c:v>71.137807997271636</c:v>
                </c:pt>
                <c:pt idx="5">
                  <c:v>70.821272384221587</c:v>
                </c:pt>
                <c:pt idx="6">
                  <c:v>70.506525936541152</c:v>
                </c:pt>
                <c:pt idx="7">
                  <c:v>70.193555174683368</c:v>
                </c:pt>
                <c:pt idx="8">
                  <c:v>69.882346747290654</c:v>
                </c:pt>
                <c:pt idx="9">
                  <c:v>69.572887429728681</c:v>
                </c:pt>
                <c:pt idx="10">
                  <c:v>69.265164122639462</c:v>
                </c:pt>
                <c:pt idx="11">
                  <c:v>68.959160808765702</c:v>
                </c:pt>
                <c:pt idx="12">
                  <c:v>68.654861712614732</c:v>
                </c:pt>
                <c:pt idx="13">
                  <c:v>68.352254324539913</c:v>
                </c:pt>
                <c:pt idx="14">
                  <c:v>68.051326249771662</c:v>
                </c:pt>
                <c:pt idx="15">
                  <c:v>67.752065207153038</c:v>
                </c:pt>
                <c:pt idx="16">
                  <c:v>67.454459027891559</c:v>
                </c:pt>
                <c:pt idx="17">
                  <c:v>67.158495654327155</c:v>
                </c:pt>
                <c:pt idx="18">
                  <c:v>66.864163138715867</c:v>
                </c:pt>
                <c:pt idx="19">
                  <c:v>66.571449642028853</c:v>
                </c:pt>
                <c:pt idx="20">
                  <c:v>66.280343432767026</c:v>
                </c:pt>
                <c:pt idx="21">
                  <c:v>65.990834374123068</c:v>
                </c:pt>
                <c:pt idx="22">
                  <c:v>65.702912378107811</c:v>
                </c:pt>
                <c:pt idx="23">
                  <c:v>65.416565923913467</c:v>
                </c:pt>
                <c:pt idx="24">
                  <c:v>65.131783595892642</c:v>
                </c:pt>
                <c:pt idx="25">
                  <c:v>64.84855408240584</c:v>
                </c:pt>
                <c:pt idx="26">
                  <c:v>64.566866174683682</c:v>
                </c:pt>
                <c:pt idx="27">
                  <c:v>64.286708765703409</c:v>
                </c:pt>
                <c:pt idx="28">
                  <c:v>64.008070849080084</c:v>
                </c:pt>
                <c:pt idx="29">
                  <c:v>63.730941517971551</c:v>
                </c:pt>
                <c:pt idx="30">
                  <c:v>63.455309963997507</c:v>
                </c:pt>
                <c:pt idx="31">
                  <c:v>63.181165476172389</c:v>
                </c:pt>
                <c:pt idx="32">
                  <c:v>62.908497439851232</c:v>
                </c:pt>
                <c:pt idx="33">
                  <c:v>62.637295335689515</c:v>
                </c:pt>
                <c:pt idx="34">
                  <c:v>62.367548738615703</c:v>
                </c:pt>
                <c:pt idx="35">
                  <c:v>62.0992473168168</c:v>
                </c:pt>
                <c:pt idx="36">
                  <c:v>61.832380830736646</c:v>
                </c:pt>
                <c:pt idx="37">
                  <c:v>61.566939132086887</c:v>
                </c:pt>
                <c:pt idx="38">
                  <c:v>61.302912162870044</c:v>
                </c:pt>
                <c:pt idx="39">
                  <c:v>61.04028995441525</c:v>
                </c:pt>
                <c:pt idx="40">
                  <c:v>60.779062626425336</c:v>
                </c:pt>
                <c:pt idx="41">
                  <c:v>60.519220386036679</c:v>
                </c:pt>
                <c:pt idx="42">
                  <c:v>60.260753526889673</c:v>
                </c:pt>
                <c:pt idx="43">
                  <c:v>60.003652428211609</c:v>
                </c:pt>
                <c:pt idx="44">
                  <c:v>59.747907553910608</c:v>
                </c:pt>
                <c:pt idx="45">
                  <c:v>59.493509451680488</c:v>
                </c:pt>
                <c:pt idx="46">
                  <c:v>59.240448752117089</c:v>
                </c:pt>
                <c:pt idx="47">
                  <c:v>58.988716167845226</c:v>
                </c:pt>
                <c:pt idx="48">
                  <c:v>58.738302492656437</c:v>
                </c:pt>
                <c:pt idx="49">
                  <c:v>58.489198600657332</c:v>
                </c:pt>
                <c:pt idx="50">
                  <c:v>58.241395445428374</c:v>
                </c:pt>
                <c:pt idx="51">
                  <c:v>57.994884059192906</c:v>
                </c:pt>
                <c:pt idx="52">
                  <c:v>57.749655551996305</c:v>
                </c:pt>
                <c:pt idx="53">
                  <c:v>57.505701110895252</c:v>
                </c:pt>
                <c:pt idx="54">
                  <c:v>57.26301199915676</c:v>
                </c:pt>
                <c:pt idx="55">
                  <c:v>57.021579555466893</c:v>
                </c:pt>
                <c:pt idx="56">
                  <c:v>56.781395193149216</c:v>
                </c:pt>
                <c:pt idx="57">
                  <c:v>56.542450399392571</c:v>
                </c:pt>
                <c:pt idx="58">
                  <c:v>56.304736734488223</c:v>
                </c:pt>
                <c:pt idx="59">
                  <c:v>56.068245831076219</c:v>
                </c:pt>
                <c:pt idx="60">
                  <c:v>55.832969393400788</c:v>
                </c:pt>
                <c:pt idx="61">
                  <c:v>55.598899196574791</c:v>
                </c:pt>
                <c:pt idx="62">
                  <c:v>55.366027085852743</c:v>
                </c:pt>
                <c:pt idx="63">
                  <c:v>55.134344975912754</c:v>
                </c:pt>
                <c:pt idx="64">
                  <c:v>54.903844850147209</c:v>
                </c:pt>
                <c:pt idx="65">
                  <c:v>54.674518759961281</c:v>
                </c:pt>
                <c:pt idx="66">
                  <c:v>54.446358824080626</c:v>
                </c:pt>
                <c:pt idx="67">
                  <c:v>54.219357227866709</c:v>
                </c:pt>
                <c:pt idx="68">
                  <c:v>53.99350622264042</c:v>
                </c:pt>
                <c:pt idx="69">
                  <c:v>53.768798125013788</c:v>
                </c:pt>
                <c:pt idx="70">
                  <c:v>53.54522531622964</c:v>
                </c:pt>
                <c:pt idx="71">
                  <c:v>53.322780241508788</c:v>
                </c:pt>
                <c:pt idx="72">
                  <c:v>53.101455409405204</c:v>
                </c:pt>
                <c:pt idx="73">
                  <c:v>52.881243391168653</c:v>
                </c:pt>
                <c:pt idx="74">
                  <c:v>52.662136820114732</c:v>
                </c:pt>
                <c:pt idx="75">
                  <c:v>52.4441283910026</c:v>
                </c:pt>
                <c:pt idx="76">
                  <c:v>52.227210859419593</c:v>
                </c:pt>
                <c:pt idx="77">
                  <c:v>52.011377041173311</c:v>
                </c:pt>
                <c:pt idx="78">
                  <c:v>51.79661981169069</c:v>
                </c:pt>
                <c:pt idx="79">
                  <c:v>51.582932105424192</c:v>
                </c:pt>
                <c:pt idx="80">
                  <c:v>51.370306915264678</c:v>
                </c:pt>
                <c:pt idx="81">
                  <c:v>51.158737291961259</c:v>
                </c:pt>
                <c:pt idx="82">
                  <c:v>50.94821634354799</c:v>
                </c:pt>
                <c:pt idx="83">
                  <c:v>50.738737234776792</c:v>
                </c:pt>
                <c:pt idx="84">
                  <c:v>50.530293186557451</c:v>
                </c:pt>
                <c:pt idx="85">
                  <c:v>50.322877475403651</c:v>
                </c:pt>
                <c:pt idx="86">
                  <c:v>50.116483432885566</c:v>
                </c:pt>
                <c:pt idx="87">
                  <c:v>49.911104445088668</c:v>
                </c:pt>
                <c:pt idx="88">
                  <c:v>49.706733952078956</c:v>
                </c:pt>
                <c:pt idx="89">
                  <c:v>49.503365447374051</c:v>
                </c:pt>
                <c:pt idx="90">
                  <c:v>49.300992477420444</c:v>
                </c:pt>
                <c:pt idx="91">
                  <c:v>49.099608641076706</c:v>
                </c:pt>
                <c:pt idx="92">
                  <c:v>48.899207589102652</c:v>
                </c:pt>
                <c:pt idx="93">
                  <c:v>48.699783023654184</c:v>
                </c:pt>
                <c:pt idx="94">
                  <c:v>48.501328697784025</c:v>
                </c:pt>
                <c:pt idx="95">
                  <c:v>48.303838414948018</c:v>
                </c:pt>
                <c:pt idx="96">
                  <c:v>48.107306028517058</c:v>
                </c:pt>
                <c:pt idx="97">
                  <c:v>47.911725441294479</c:v>
                </c:pt>
                <c:pt idx="98">
                  <c:v>47.717090605038962</c:v>
                </c:pt>
                <c:pt idx="99">
                  <c:v>47.523395519992917</c:v>
                </c:pt>
                <c:pt idx="100">
                  <c:v>47.330634234415754</c:v>
                </c:pt>
                <c:pt idx="101">
                  <c:v>45.431646625471927</c:v>
                </c:pt>
                <c:pt idx="102">
                  <c:v>43.62224080865623</c:v>
                </c:pt>
                <c:pt idx="103">
                  <c:v>41.896941591734155</c:v>
                </c:pt>
                <c:pt idx="104">
                  <c:v>40.250691393124939</c:v>
                </c:pt>
                <c:pt idx="105">
                  <c:v>38.678812471478274</c:v>
                </c:pt>
                <c:pt idx="106">
                  <c:v>37.176973097244968</c:v>
                </c:pt>
                <c:pt idx="107">
                  <c:v>35.741157201690257</c:v>
                </c:pt>
                <c:pt idx="108">
                  <c:v>34.367637099637051</c:v>
                </c:pt>
                <c:pt idx="109">
                  <c:v>33.052948934320526</c:v>
                </c:pt>
                <c:pt idx="110">
                  <c:v>31.793870537453326</c:v>
                </c:pt>
                <c:pt idx="111">
                  <c:v>30.58740143607514</c:v>
                </c:pt>
                <c:pt idx="112">
                  <c:v>29.430744770938723</c:v>
                </c:pt>
                <c:pt idx="113">
                  <c:v>28.321290919860537</c:v>
                </c:pt>
                <c:pt idx="114">
                  <c:v>27.256602644299807</c:v>
                </c:pt>
                <c:pt idx="115">
                  <c:v>26.234401598986615</c:v>
                </c:pt>
                <c:pt idx="116">
                  <c:v>25.252556063165617</c:v>
                </c:pt>
                <c:pt idx="117">
                  <c:v>24.309069768359354</c:v>
                </c:pt>
                <c:pt idx="118">
                  <c:v>23.402071711815967</c:v>
                </c:pt>
                <c:pt idx="119">
                  <c:v>22.529806857282178</c:v>
                </c:pt>
                <c:pt idx="120">
                  <c:v>21.690627635673216</c:v>
                </c:pt>
                <c:pt idx="121">
                  <c:v>20.882986167807108</c:v>
                </c:pt>
                <c:pt idx="122">
                  <c:v>20.105427139808139</c:v>
                </c:pt>
                <c:pt idx="123">
                  <c:v>19.356581269216228</c:v>
                </c:pt>
                <c:pt idx="124">
                  <c:v>18.635159306394442</c:v>
                </c:pt>
                <c:pt idx="125">
                  <c:v>17.939946521620747</c:v>
                </c:pt>
                <c:pt idx="126">
                  <c:v>17.269797633376101</c:v>
                </c:pt>
                <c:pt idx="127">
                  <c:v>16.623632137885224</c:v>
                </c:pt>
                <c:pt idx="128">
                  <c:v>16.000430003999274</c:v>
                </c:pt>
                <c:pt idx="129">
                  <c:v>15.399227701094711</c:v>
                </c:pt>
                <c:pt idx="130">
                  <c:v>14.819114530853492</c:v>
                </c:pt>
                <c:pt idx="131">
                  <c:v>14.259229236634084</c:v>
                </c:pt>
                <c:pt idx="132">
                  <c:v>13.718756866681558</c:v>
                </c:pt>
                <c:pt idx="133">
                  <c:v>13.196925869693228</c:v>
                </c:pt>
                <c:pt idx="134">
                  <c:v>12.693005403286943</c:v>
                </c:pt>
                <c:pt idx="135">
                  <c:v>12.206302837737606</c:v>
                </c:pt>
                <c:pt idx="136">
                  <c:v>11.736161438979179</c:v>
                </c:pt>
                <c:pt idx="137">
                  <c:v>11.28195821633455</c:v>
                </c:pt>
                <c:pt idx="138">
                  <c:v>10.843101921753417</c:v>
                </c:pt>
                <c:pt idx="139">
                  <c:v>10.419031188523885</c:v>
                </c:pt>
                <c:pt idx="140">
                  <c:v>10.009212798492452</c:v>
                </c:pt>
                <c:pt idx="141">
                  <c:v>9.613140067791047</c:v>
                </c:pt>
                <c:pt idx="142">
                  <c:v>9.2303313419404329</c:v>
                </c:pt>
                <c:pt idx="143">
                  <c:v>8.8603285919863772</c:v>
                </c:pt>
                <c:pt idx="144">
                  <c:v>8.5026961040372502</c:v>
                </c:pt>
                <c:pt idx="145">
                  <c:v>8.1570192552168663</c:v>
                </c:pt>
                <c:pt idx="146">
                  <c:v>7.8229033696312333</c:v>
                </c:pt>
                <c:pt idx="147">
                  <c:v>7.499972648478785</c:v>
                </c:pt>
                <c:pt idx="148">
                  <c:v>7.187869168915789</c:v>
                </c:pt>
                <c:pt idx="149">
                  <c:v>6.8862519467268681</c:v>
                </c:pt>
                <c:pt idx="150">
                  <c:v>6.5947960582494378</c:v>
                </c:pt>
                <c:pt idx="151">
                  <c:v>6.313191817363867</c:v>
                </c:pt>
                <c:pt idx="152">
                  <c:v>6.0411440036920556</c:v>
                </c:pt>
                <c:pt idx="153">
                  <c:v>5.7783711384487599</c:v>
                </c:pt>
                <c:pt idx="154">
                  <c:v>5.5246048046651701</c:v>
                </c:pt>
                <c:pt idx="155">
                  <c:v>5.2795890087554715</c:v>
                </c:pt>
                <c:pt idx="156">
                  <c:v>5.0430795806264399</c:v>
                </c:pt>
                <c:pt idx="157">
                  <c:v>4.814843609739734</c:v>
                </c:pt>
                <c:pt idx="158">
                  <c:v>4.5946589147277379</c:v>
                </c:pt>
                <c:pt idx="159">
                  <c:v>4.382313544338885</c:v>
                </c:pt>
                <c:pt idx="160">
                  <c:v>4.1776053076477364</c:v>
                </c:pt>
                <c:pt idx="161">
                  <c:v>3.9803413316110161</c:v>
                </c:pt>
                <c:pt idx="162">
                  <c:v>3.7903376441833618</c:v>
                </c:pt>
                <c:pt idx="163">
                  <c:v>3.6074187813275471</c:v>
                </c:pt>
                <c:pt idx="164">
                  <c:v>3.4314174163636304</c:v>
                </c:pt>
                <c:pt idx="165">
                  <c:v>3.2621740102008085</c:v>
                </c:pt>
                <c:pt idx="166">
                  <c:v>3.0995364810853157</c:v>
                </c:pt>
                <c:pt idx="167">
                  <c:v>2.9433598925779747</c:v>
                </c:pt>
                <c:pt idx="168">
                  <c:v>2.7935061585463177</c:v>
                </c:pt>
                <c:pt idx="169">
                  <c:v>2.649843764018907</c:v>
                </c:pt>
                <c:pt idx="170">
                  <c:v>2.5122475008038423</c:v>
                </c:pt>
                <c:pt idx="171">
                  <c:v>2.3805982168193989</c:v>
                </c:pt>
                <c:pt idx="172">
                  <c:v>2.2547825781225068</c:v>
                </c:pt>
                <c:pt idx="173">
                  <c:v>2.1346928426501841</c:v>
                </c:pt>
                <c:pt idx="174">
                  <c:v>2.0202266447100201</c:v>
                </c:pt>
                <c:pt idx="175">
                  <c:v>1.9112867892681213</c:v>
                </c:pt>
                <c:pt idx="176">
                  <c:v>1.8077810550866158</c:v>
                </c:pt>
                <c:pt idx="177">
                  <c:v>1.7096220057573948</c:v>
                </c:pt>
                <c:pt idx="178">
                  <c:v>1.6167268076645445</c:v>
                </c:pt>
                <c:pt idx="179">
                  <c:v>1.5290170538848209</c:v>
                </c:pt>
                <c:pt idx="180">
                  <c:v>1.4464185930040077</c:v>
                </c:pt>
                <c:pt idx="181">
                  <c:v>1.3688613617881322</c:v>
                </c:pt>
                <c:pt idx="182">
                  <c:v>1.2962792206037803</c:v>
                </c:pt>
                <c:pt idx="183">
                  <c:v>1.2286097904337028</c:v>
                </c:pt>
                <c:pt idx="184">
                  <c:v>1.1657942902864711</c:v>
                </c:pt>
                <c:pt idx="185">
                  <c:v>1.1077773737571497</c:v>
                </c:pt>
                <c:pt idx="186">
                  <c:v>1.0545069634672217</c:v>
                </c:pt>
                <c:pt idx="187">
                  <c:v>1.0059340821051295</c:v>
                </c:pt>
                <c:pt idx="188">
                  <c:v>0.96201267881493757</c:v>
                </c:pt>
                <c:pt idx="189">
                  <c:v>0.92269944975226925</c:v>
                </c:pt>
                <c:pt idx="190">
                  <c:v>0.88795365175688878</c:v>
                </c:pt>
                <c:pt idx="191">
                  <c:v>0.85773690829254201</c:v>
                </c:pt>
                <c:pt idx="192">
                  <c:v>0.83201300708593295</c:v>
                </c:pt>
                <c:pt idx="193">
                  <c:v>0.81074768926160401</c:v>
                </c:pt>
                <c:pt idx="194">
                  <c:v>0.79390843021256385</c:v>
                </c:pt>
                <c:pt idx="195">
                  <c:v>0.78146421295148472</c:v>
                </c:pt>
                <c:pt idx="196">
                  <c:v>0.77338529522553245</c:v>
                </c:pt>
                <c:pt idx="197">
                  <c:v>0.76964297220970268</c:v>
                </c:pt>
                <c:pt idx="198">
                  <c:v>0.770209337071877</c:v>
                </c:pt>
                <c:pt idx="199">
                  <c:v>0.77505704207955417</c:v>
                </c:pt>
                <c:pt idx="200">
                  <c:v>0.78415906315203865</c:v>
                </c:pt>
                <c:pt idx="201">
                  <c:v>0.797488470825642</c:v>
                </c:pt>
                <c:pt idx="202">
                  <c:v>0.81501821048580692</c:v>
                </c:pt>
                <c:pt idx="203">
                  <c:v>0.83672089444263553</c:v>
                </c:pt>
                <c:pt idx="204">
                  <c:v>0.86256860801736623</c:v>
                </c:pt>
                <c:pt idx="205">
                  <c:v>0.89253273131147526</c:v>
                </c:pt>
                <c:pt idx="206">
                  <c:v>0.92658377779635781</c:v>
                </c:pt>
                <c:pt idx="207">
                  <c:v>0.96469125033597236</c:v>
                </c:pt>
                <c:pt idx="208">
                  <c:v>1.0068235147745999</c:v>
                </c:pt>
                <c:pt idx="209">
                  <c:v>1.0529476908121682</c:v>
                </c:pt>
                <c:pt idx="210">
                  <c:v>1.1030295595635111</c:v>
                </c:pt>
                <c:pt idx="211">
                  <c:v>1.1570334869576826</c:v>
                </c:pt>
                <c:pt idx="212">
                  <c:v>1.2149223619733922</c:v>
                </c:pt>
                <c:pt idx="213">
                  <c:v>1.2766575486160299</c:v>
                </c:pt>
                <c:pt idx="214">
                  <c:v>1.3421988505075513</c:v>
                </c:pt>
                <c:pt idx="215">
                  <c:v>1.4115044869693498</c:v>
                </c:pt>
                <c:pt idx="216">
                  <c:v>1.4845310795177777</c:v>
                </c:pt>
                <c:pt idx="217">
                  <c:v>1.5612336477517559</c:v>
                </c:pt>
                <c:pt idx="218">
                  <c:v>1.6415656136833874</c:v>
                </c:pt>
                <c:pt idx="219">
                  <c:v>1.7254788136392405</c:v>
                </c:pt>
                <c:pt idx="220">
                  <c:v>1.8129235169373514</c:v>
                </c:pt>
                <c:pt idx="221">
                  <c:v>1.9038484506198372</c:v>
                </c:pt>
                <c:pt idx="222">
                  <c:v>1.9982008295912528</c:v>
                </c:pt>
                <c:pt idx="223">
                  <c:v>2.0959263915774811</c:v>
                </c:pt>
                <c:pt idx="224">
                  <c:v>2.1969694363784007</c:v>
                </c:pt>
                <c:pt idx="225">
                  <c:v>2.3012728689398534</c:v>
                </c:pt>
                <c:pt idx="226">
                  <c:v>2.4087782458168134</c:v>
                </c:pt>
                <c:pt idx="227">
                  <c:v>2.5194258246404342</c:v>
                </c:pt>
                <c:pt idx="228">
                  <c:v>2.6331546162374537</c:v>
                </c:pt>
                <c:pt idx="229">
                  <c:v>2.7499024390817488</c:v>
                </c:pt>
                <c:pt idx="230">
                  <c:v>2.8696059757850803</c:v>
                </c:pt>
                <c:pt idx="231">
                  <c:v>2.9922008313580255</c:v>
                </c:pt>
                <c:pt idx="232">
                  <c:v>3.1176215929929225</c:v>
                </c:pt>
                <c:pt idx="233">
                  <c:v>3.2458018911389601</c:v>
                </c:pt>
                <c:pt idx="234">
                  <c:v>3.3766744616557216</c:v>
                </c:pt>
                <c:pt idx="235">
                  <c:v>3.5101712088457129</c:v>
                </c:pt>
                <c:pt idx="236">
                  <c:v>3.6462232691791274</c:v>
                </c:pt>
                <c:pt idx="237">
                  <c:v>3.7847610755355032</c:v>
                </c:pt>
                <c:pt idx="238">
                  <c:v>3.9257144217971605</c:v>
                </c:pt>
                <c:pt idx="239">
                  <c:v>4.0690125276387228</c:v>
                </c:pt>
                <c:pt idx="240">
                  <c:v>4.2145841033655289</c:v>
                </c:pt>
                <c:pt idx="241">
                  <c:v>4.3623574146617603</c:v>
                </c:pt>
                <c:pt idx="242">
                  <c:v>4.5122603471164551</c:v>
                </c:pt>
                <c:pt idx="243">
                  <c:v>4.6642204704026042</c:v>
                </c:pt>
                <c:pt idx="244">
                  <c:v>4.8181651019910632</c:v>
                </c:pt>
                <c:pt idx="245">
                  <c:v>4.9740213702873524</c:v>
                </c:pt>
                <c:pt idx="246">
                  <c:v>5.1317162770854763</c:v>
                </c:pt>
                <c:pt idx="247">
                  <c:v>5.2911767592386907</c:v>
                </c:pt>
                <c:pt idx="248">
                  <c:v>5.452329749452792</c:v>
                </c:pt>
                <c:pt idx="249">
                  <c:v>5.6151022361131107</c:v>
                </c:pt>
                <c:pt idx="250">
                  <c:v>5.77942132206159</c:v>
                </c:pt>
                <c:pt idx="251">
                  <c:v>5.9452142822457947</c:v>
                </c:pt>
                <c:pt idx="252">
                  <c:v>6.1124086201666898</c:v>
                </c:pt>
                <c:pt idx="253">
                  <c:v>6.2809321230571911</c:v>
                </c:pt>
                <c:pt idx="254">
                  <c:v>6.4507129157284187</c:v>
                </c:pt>
                <c:pt idx="255">
                  <c:v>6.6216795130255051</c:v>
                </c:pt>
                <c:pt idx="256">
                  <c:v>6.7937608708396091</c:v>
                </c:pt>
                <c:pt idx="257">
                  <c:v>6.9668864356275026</c:v>
                </c:pt>
                <c:pt idx="258">
                  <c:v>7.1409861923947213</c:v>
                </c:pt>
                <c:pt idx="259">
                  <c:v>7.315990711102895</c:v>
                </c:pt>
                <c:pt idx="260">
                  <c:v>7.4918311914662263</c:v>
                </c:pt>
                <c:pt idx="261">
                  <c:v>7.6684395061065231</c:v>
                </c:pt>
                <c:pt idx="262">
                  <c:v>7.8457482420404849</c:v>
                </c:pt>
                <c:pt idx="263">
                  <c:v>8.0236907404769742</c:v>
                </c:pt>
                <c:pt idx="264">
                  <c:v>8.2022011349062307</c:v>
                </c:pt>
                <c:pt idx="265">
                  <c:v>8.381214387466839</c:v>
                </c:pt>
                <c:pt idx="266">
                  <c:v>8.5606663235800227</c:v>
                </c:pt>
                <c:pt idx="267">
                  <c:v>8.7404936648448004</c:v>
                </c:pt>
                <c:pt idx="268">
                  <c:v>8.9206340601907499</c:v>
                </c:pt>
                <c:pt idx="269">
                  <c:v>9.1010261152889402</c:v>
                </c:pt>
                <c:pt idx="270">
                  <c:v>9.2816094202247221</c:v>
                </c:pt>
                <c:pt idx="271">
                  <c:v>9.4623245754393146</c:v>
                </c:pt>
                <c:pt idx="272">
                  <c:v>9.6431132159501853</c:v>
                </c:pt>
                <c:pt idx="273">
                  <c:v>9.8239180338631353</c:v>
                </c:pt>
                <c:pt idx="274">
                  <c:v>10.004682799191835</c:v>
                </c:pt>
                <c:pt idx="275">
                  <c:v>10.185352379003042</c:v>
                </c:pt>
                <c:pt idx="276">
                  <c:v>10.365872754908541</c:v>
                </c:pt>
                <c:pt idx="277">
                  <c:v>10.546191038926757</c:v>
                </c:pt>
                <c:pt idx="278">
                  <c:v>10.726255487739678</c:v>
                </c:pt>
                <c:pt idx="279">
                  <c:v>10.906015515372411</c:v>
                </c:pt>
                <c:pt idx="280">
                  <c:v>11.085421704324888</c:v>
                </c:pt>
                <c:pt idx="281">
                  <c:v>11.264425815186838</c:v>
                </c:pt>
                <c:pt idx="282">
                  <c:v>11.442980794768999</c:v>
                </c:pt>
                <c:pt idx="283">
                  <c:v>11.621040782784755</c:v>
                </c:pt>
                <c:pt idx="284">
                  <c:v>11.798561117118112</c:v>
                </c:pt>
                <c:pt idx="285">
                  <c:v>11.975498337714878</c:v>
                </c:pt>
                <c:pt idx="286">
                  <c:v>12.151810189135224</c:v>
                </c:pt>
                <c:pt idx="287">
                  <c:v>12.327455621806603</c:v>
                </c:pt>
                <c:pt idx="288">
                  <c:v>12.502394792017071</c:v>
                </c:pt>
                <c:pt idx="289">
                  <c:v>12.676589060689604</c:v>
                </c:pt>
                <c:pt idx="290">
                  <c:v>12.850000990978758</c:v>
                </c:pt>
                <c:pt idx="291">
                  <c:v>13.022594344731433</c:v>
                </c:pt>
                <c:pt idx="292">
                  <c:v>13.194334077853989</c:v>
                </c:pt>
                <c:pt idx="293">
                  <c:v>13.365186334628145</c:v>
                </c:pt>
                <c:pt idx="294">
                  <c:v>13.535118441018358</c:v>
                </c:pt>
                <c:pt idx="295">
                  <c:v>13.704098897013523</c:v>
                </c:pt>
                <c:pt idx="296">
                  <c:v>13.872097368045569</c:v>
                </c:pt>
                <c:pt idx="297">
                  <c:v>14.039084675527885</c:v>
                </c:pt>
                <c:pt idx="298">
                  <c:v>14.205032786555803</c:v>
                </c:pt>
                <c:pt idx="299">
                  <c:v>14.369914802811614</c:v>
                </c:pt>
                <c:pt idx="300">
                  <c:v>14.533704948715794</c:v>
                </c:pt>
                <c:pt idx="301">
                  <c:v>14.696378558866195</c:v>
                </c:pt>
                <c:pt idx="302">
                  <c:v>14.857912064805948</c:v>
                </c:pt>
                <c:pt idx="303">
                  <c:v>15.018282981160857</c:v>
                </c:pt>
                <c:pt idx="304">
                  <c:v>15.17746989118594</c:v>
                </c:pt>
                <c:pt idx="305">
                  <c:v>15.33545243176062</c:v>
                </c:pt>
                <c:pt idx="306">
                  <c:v>15.492211277870833</c:v>
                </c:pt>
                <c:pt idx="307">
                  <c:v>15.647728126616231</c:v>
                </c:pt>
                <c:pt idx="308">
                  <c:v>15.801985680779184</c:v>
                </c:pt>
                <c:pt idx="309">
                  <c:v>15.954967631992076</c:v>
                </c:pt>
                <c:pt idx="310">
                  <c:v>16.10665864353804</c:v>
                </c:pt>
                <c:pt idx="311">
                  <c:v>16.257044332819799</c:v>
                </c:pt>
                <c:pt idx="312">
                  <c:v>16.406111253530078</c:v>
                </c:pt>
                <c:pt idx="313">
                  <c:v>16.553846877556271</c:v>
                </c:pt>
                <c:pt idx="314">
                  <c:v>16.70023957665099</c:v>
                </c:pt>
                <c:pt idx="315">
                  <c:v>16.845278603899352</c:v>
                </c:pt>
                <c:pt idx="316">
                  <c:v>16.98895407501254</c:v>
                </c:pt>
                <c:pt idx="317">
                  <c:v>17.131256949476601</c:v>
                </c:pt>
                <c:pt idx="318">
                  <c:v>17.272179011584043</c:v>
                </c:pt>
                <c:pt idx="319">
                  <c:v>17.411712851375039</c:v>
                </c:pt>
                <c:pt idx="320">
                  <c:v>17.549851845514013</c:v>
                </c:pt>
                <c:pt idx="321">
                  <c:v>17.68659013812622</c:v>
                </c:pt>
                <c:pt idx="322">
                  <c:v>17.821922621618167</c:v>
                </c:pt>
                <c:pt idx="323">
                  <c:v>17.955844917504418</c:v>
                </c:pt>
                <c:pt idx="324">
                  <c:v>18.088353357262672</c:v>
                </c:pt>
                <c:pt idx="325">
                  <c:v>18.219444963237812</c:v>
                </c:pt>
                <c:pt idx="326">
                  <c:v>18.349117429614516</c:v>
                </c:pt>
                <c:pt idx="327">
                  <c:v>18.477369103477443</c:v>
                </c:pt>
                <c:pt idx="328">
                  <c:v>18.604198965976757</c:v>
                </c:pt>
                <c:pt idx="329">
                  <c:v>18.729606613615786</c:v>
                </c:pt>
                <c:pt idx="330">
                  <c:v>18.853592239676981</c:v>
                </c:pt>
                <c:pt idx="331">
                  <c:v>18.976156615801042</c:v>
                </c:pt>
                <c:pt idx="332">
                  <c:v>19.097301073733654</c:v>
                </c:pt>
                <c:pt idx="333">
                  <c:v>19.217027487252906</c:v>
                </c:pt>
                <c:pt idx="334">
                  <c:v>19.335338254290008</c:v>
                </c:pt>
                <c:pt idx="335">
                  <c:v>19.452236279254965</c:v>
                </c:pt>
                <c:pt idx="336">
                  <c:v>19.56772495557794</c:v>
                </c:pt>
                <c:pt idx="337">
                  <c:v>19.681808148476481</c:v>
                </c:pt>
                <c:pt idx="338">
                  <c:v>19.794490177957826</c:v>
                </c:pt>
                <c:pt idx="339">
                  <c:v>19.905775802064898</c:v>
                </c:pt>
                <c:pt idx="340">
                  <c:v>20.015670200373673</c:v>
                </c:pt>
                <c:pt idx="341">
                  <c:v>20.124178957749422</c:v>
                </c:pt>
                <c:pt idx="342">
                  <c:v>20.231308048367733</c:v>
                </c:pt>
                <c:pt idx="343">
                  <c:v>20.337063820006751</c:v>
                </c:pt>
                <c:pt idx="344">
                  <c:v>20.441452978615317</c:v>
                </c:pt>
                <c:pt idx="345">
                  <c:v>20.544482573161897</c:v>
                </c:pt>
                <c:pt idx="346">
                  <c:v>20.6461599807682</c:v>
                </c:pt>
                <c:pt idx="347">
                  <c:v>20.746492892130981</c:v>
                </c:pt>
                <c:pt idx="348">
                  <c:v>20.845489297234955</c:v>
                </c:pt>
                <c:pt idx="349">
                  <c:v>20.943157471359093</c:v>
                </c:pt>
                <c:pt idx="350">
                  <c:v>21.039505961378484</c:v>
                </c:pt>
                <c:pt idx="351">
                  <c:v>21.134543572363</c:v>
                </c:pt>
                <c:pt idx="352">
                  <c:v>21.228279354473838</c:v>
                </c:pt>
                <c:pt idx="353">
                  <c:v>21.320722590158525</c:v>
                </c:pt>
                <c:pt idx="354">
                  <c:v>21.411882781644614</c:v>
                </c:pt>
                <c:pt idx="355">
                  <c:v>21.501769638731815</c:v>
                </c:pt>
                <c:pt idx="356">
                  <c:v>21.590393066881937</c:v>
                </c:pt>
                <c:pt idx="357">
                  <c:v>21.677763155605955</c:v>
                </c:pt>
                <c:pt idx="358">
                  <c:v>21.763890167146656</c:v>
                </c:pt>
                <c:pt idx="359">
                  <c:v>21.848784525455621</c:v>
                </c:pt>
                <c:pt idx="360">
                  <c:v>21.932456805462582</c:v>
                </c:pt>
                <c:pt idx="361">
                  <c:v>22.014917722634994</c:v>
                </c:pt>
                <c:pt idx="362">
                  <c:v>22.096178122825634</c:v>
                </c:pt>
                <c:pt idx="363">
                  <c:v>22.176248972405556</c:v>
                </c:pt>
                <c:pt idx="364">
                  <c:v>22.255141348679601</c:v>
                </c:pt>
                <c:pt idx="365">
                  <c:v>22.332866430581522</c:v>
                </c:pt>
                <c:pt idx="366">
                  <c:v>22.409435489645343</c:v>
                </c:pt>
                <c:pt idx="367">
                  <c:v>22.484859881249999</c:v>
                </c:pt>
                <c:pt idx="368">
                  <c:v>22.559151036133134</c:v>
                </c:pt>
                <c:pt idx="369">
                  <c:v>22.632320452170923</c:v>
                </c:pt>
                <c:pt idx="370">
                  <c:v>22.704379686419802</c:v>
                </c:pt>
                <c:pt idx="371">
                  <c:v>22.77534034741635</c:v>
                </c:pt>
                <c:pt idx="372">
                  <c:v>22.845214087731044</c:v>
                </c:pt>
                <c:pt idx="373">
                  <c:v>22.914012596772068</c:v>
                </c:pt>
                <c:pt idx="374">
                  <c:v>22.981747593834687</c:v>
                </c:pt>
                <c:pt idx="375">
                  <c:v>23.048430821392031</c:v>
                </c:pt>
                <c:pt idx="376">
                  <c:v>23.114074038622846</c:v>
                </c:pt>
                <c:pt idx="377">
                  <c:v>23.178689015171873</c:v>
                </c:pt>
                <c:pt idx="378">
                  <c:v>23.242287525138224</c:v>
                </c:pt>
                <c:pt idx="379">
                  <c:v>23.304881341287508</c:v>
                </c:pt>
                <c:pt idx="380">
                  <c:v>23.366482229482838</c:v>
                </c:pt>
                <c:pt idx="381">
                  <c:v>23.427101943330442</c:v>
                </c:pt>
                <c:pt idx="382">
                  <c:v>23.486752219035118</c:v>
                </c:pt>
                <c:pt idx="383">
                  <c:v>23.545444770461017</c:v>
                </c:pt>
                <c:pt idx="384">
                  <c:v>23.545502441252339</c:v>
                </c:pt>
                <c:pt idx="385">
                  <c:v>23.545560111114515</c:v>
                </c:pt>
                <c:pt idx="386">
                  <c:v>23.545617780047554</c:v>
                </c:pt>
                <c:pt idx="387">
                  <c:v>23.545675448051483</c:v>
                </c:pt>
                <c:pt idx="388">
                  <c:v>23.545733115126307</c:v>
                </c:pt>
                <c:pt idx="389">
                  <c:v>23.545790781272022</c:v>
                </c:pt>
                <c:pt idx="390">
                  <c:v>23.545848446488673</c:v>
                </c:pt>
                <c:pt idx="391">
                  <c:v>23.545906110776226</c:v>
                </c:pt>
                <c:pt idx="392">
                  <c:v>23.545963774134741</c:v>
                </c:pt>
                <c:pt idx="393">
                  <c:v>23.546021436564196</c:v>
                </c:pt>
                <c:pt idx="394">
                  <c:v>23.54607909806461</c:v>
                </c:pt>
                <c:pt idx="395">
                  <c:v>23.546136758635999</c:v>
                </c:pt>
                <c:pt idx="396">
                  <c:v>23.546194418278375</c:v>
                </c:pt>
                <c:pt idx="397">
                  <c:v>23.546252076991745</c:v>
                </c:pt>
                <c:pt idx="398">
                  <c:v>23.54630973477612</c:v>
                </c:pt>
                <c:pt idx="399">
                  <c:v>23.546367391631509</c:v>
                </c:pt>
                <c:pt idx="400">
                  <c:v>23.546425047557939</c:v>
                </c:pt>
                <c:pt idx="401">
                  <c:v>23.546482702555402</c:v>
                </c:pt>
                <c:pt idx="402">
                  <c:v>23.546540356623925</c:v>
                </c:pt>
                <c:pt idx="403">
                  <c:v>23.546598009763493</c:v>
                </c:pt>
                <c:pt idx="404">
                  <c:v>23.546655661974157</c:v>
                </c:pt>
                <c:pt idx="405">
                  <c:v>23.5467133132559</c:v>
                </c:pt>
                <c:pt idx="406">
                  <c:v>23.546770963608733</c:v>
                </c:pt>
                <c:pt idx="407">
                  <c:v>23.546828613032691</c:v>
                </c:pt>
                <c:pt idx="408">
                  <c:v>23.546886261527757</c:v>
                </c:pt>
                <c:pt idx="409">
                  <c:v>23.546943909093951</c:v>
                </c:pt>
                <c:pt idx="410">
                  <c:v>23.547001555731292</c:v>
                </c:pt>
                <c:pt idx="411">
                  <c:v>23.547059201439794</c:v>
                </c:pt>
                <c:pt idx="412">
                  <c:v>23.547116846219456</c:v>
                </c:pt>
                <c:pt idx="413">
                  <c:v>23.547174490070301</c:v>
                </c:pt>
                <c:pt idx="414">
                  <c:v>23.547232132992338</c:v>
                </c:pt>
                <c:pt idx="415">
                  <c:v>23.547289774985568</c:v>
                </c:pt>
                <c:pt idx="416">
                  <c:v>23.547347416050012</c:v>
                </c:pt>
                <c:pt idx="417">
                  <c:v>23.547405056185674</c:v>
                </c:pt>
                <c:pt idx="418">
                  <c:v>23.547462695392582</c:v>
                </c:pt>
                <c:pt idx="419">
                  <c:v>23.547520333670725</c:v>
                </c:pt>
                <c:pt idx="420">
                  <c:v>23.547577971020132</c:v>
                </c:pt>
                <c:pt idx="421">
                  <c:v>23.547635607440789</c:v>
                </c:pt>
                <c:pt idx="422">
                  <c:v>23.547693242932741</c:v>
                </c:pt>
                <c:pt idx="423">
                  <c:v>23.547750877495982</c:v>
                </c:pt>
                <c:pt idx="424">
                  <c:v>23.54780851113054</c:v>
                </c:pt>
                <c:pt idx="425">
                  <c:v>23.547866143836391</c:v>
                </c:pt>
                <c:pt idx="426">
                  <c:v>23.54792377561358</c:v>
                </c:pt>
                <c:pt idx="427">
                  <c:v>23.547981406462096</c:v>
                </c:pt>
                <c:pt idx="428">
                  <c:v>23.548039036381965</c:v>
                </c:pt>
                <c:pt idx="429">
                  <c:v>23.548096665373198</c:v>
                </c:pt>
                <c:pt idx="430">
                  <c:v>23.548154293435786</c:v>
                </c:pt>
                <c:pt idx="431">
                  <c:v>23.548211920569784</c:v>
                </c:pt>
                <c:pt idx="432">
                  <c:v>23.548269546775156</c:v>
                </c:pt>
                <c:pt idx="433">
                  <c:v>23.54832717205193</c:v>
                </c:pt>
                <c:pt idx="434">
                  <c:v>23.548384796400128</c:v>
                </c:pt>
                <c:pt idx="435">
                  <c:v>23.548442419819757</c:v>
                </c:pt>
                <c:pt idx="436">
                  <c:v>23.548500042310827</c:v>
                </c:pt>
                <c:pt idx="437">
                  <c:v>23.548557663873339</c:v>
                </c:pt>
                <c:pt idx="438">
                  <c:v>23.548615284507306</c:v>
                </c:pt>
                <c:pt idx="439">
                  <c:v>23.548672904212765</c:v>
                </c:pt>
                <c:pt idx="440">
                  <c:v>23.548730522989711</c:v>
                </c:pt>
                <c:pt idx="441">
                  <c:v>23.548788140838131</c:v>
                </c:pt>
                <c:pt idx="442">
                  <c:v>23.548845757758084</c:v>
                </c:pt>
                <c:pt idx="443">
                  <c:v>23.548903373749535</c:v>
                </c:pt>
                <c:pt idx="444">
                  <c:v>23.548960988812524</c:v>
                </c:pt>
                <c:pt idx="445">
                  <c:v>23.549018602947058</c:v>
                </c:pt>
                <c:pt idx="446">
                  <c:v>23.549076216153143</c:v>
                </c:pt>
                <c:pt idx="447">
                  <c:v>23.549133828430783</c:v>
                </c:pt>
                <c:pt idx="448">
                  <c:v>23.549191439780024</c:v>
                </c:pt>
                <c:pt idx="449">
                  <c:v>23.549249050200828</c:v>
                </c:pt>
                <c:pt idx="450">
                  <c:v>23.549306659693226</c:v>
                </c:pt>
                <c:pt idx="451">
                  <c:v>23.549364268257253</c:v>
                </c:pt>
                <c:pt idx="452">
                  <c:v>23.549421875892893</c:v>
                </c:pt>
                <c:pt idx="453">
                  <c:v>23.54947948260018</c:v>
                </c:pt>
                <c:pt idx="454">
                  <c:v>23.549537088379093</c:v>
                </c:pt>
                <c:pt idx="455">
                  <c:v>23.549594693229686</c:v>
                </c:pt>
                <c:pt idx="456">
                  <c:v>23.549652297151923</c:v>
                </c:pt>
                <c:pt idx="457">
                  <c:v>23.549709900145839</c:v>
                </c:pt>
                <c:pt idx="458">
                  <c:v>23.549767502211456</c:v>
                </c:pt>
                <c:pt idx="459">
                  <c:v>23.549825103348759</c:v>
                </c:pt>
                <c:pt idx="460">
                  <c:v>23.549882703557792</c:v>
                </c:pt>
                <c:pt idx="461">
                  <c:v>23.549940302838539</c:v>
                </c:pt>
                <c:pt idx="462">
                  <c:v>23.54999790119102</c:v>
                </c:pt>
                <c:pt idx="463">
                  <c:v>23.550055498615244</c:v>
                </c:pt>
                <c:pt idx="464">
                  <c:v>23.550113095111239</c:v>
                </c:pt>
                <c:pt idx="465">
                  <c:v>23.550170690678993</c:v>
                </c:pt>
                <c:pt idx="466">
                  <c:v>23.550228285318532</c:v>
                </c:pt>
                <c:pt idx="467">
                  <c:v>23.550285879029865</c:v>
                </c:pt>
                <c:pt idx="468">
                  <c:v>23.550343471813004</c:v>
                </c:pt>
                <c:pt idx="469">
                  <c:v>23.550401063667955</c:v>
                </c:pt>
                <c:pt idx="470">
                  <c:v>23.550458654594724</c:v>
                </c:pt>
                <c:pt idx="471">
                  <c:v>23.550516244593343</c:v>
                </c:pt>
                <c:pt idx="472">
                  <c:v>23.550573833663794</c:v>
                </c:pt>
                <c:pt idx="473">
                  <c:v>23.550631421806109</c:v>
                </c:pt>
                <c:pt idx="474">
                  <c:v>23.550689009020314</c:v>
                </c:pt>
                <c:pt idx="475">
                  <c:v>23.5507465953064</c:v>
                </c:pt>
                <c:pt idx="476">
                  <c:v>23.550804180664361</c:v>
                </c:pt>
                <c:pt idx="477">
                  <c:v>23.550861765094247</c:v>
                </c:pt>
                <c:pt idx="478">
                  <c:v>23.55091934859604</c:v>
                </c:pt>
                <c:pt idx="479">
                  <c:v>23.550976931169775</c:v>
                </c:pt>
                <c:pt idx="480">
                  <c:v>23.551034512815441</c:v>
                </c:pt>
                <c:pt idx="481">
                  <c:v>23.551092093533065</c:v>
                </c:pt>
                <c:pt idx="482">
                  <c:v>23.551149673322641</c:v>
                </c:pt>
                <c:pt idx="483">
                  <c:v>23.551207252184192</c:v>
                </c:pt>
                <c:pt idx="484">
                  <c:v>23.551264830117745</c:v>
                </c:pt>
                <c:pt idx="485">
                  <c:v>23.55132240712328</c:v>
                </c:pt>
                <c:pt idx="486">
                  <c:v>23.551379983200832</c:v>
                </c:pt>
                <c:pt idx="487">
                  <c:v>23.551437558350393</c:v>
                </c:pt>
                <c:pt idx="488">
                  <c:v>23.55149513257199</c:v>
                </c:pt>
                <c:pt idx="489">
                  <c:v>23.551552705865639</c:v>
                </c:pt>
                <c:pt idx="490">
                  <c:v>23.551610278231323</c:v>
                </c:pt>
                <c:pt idx="491">
                  <c:v>23.551667849669087</c:v>
                </c:pt>
                <c:pt idx="492">
                  <c:v>23.551725420178922</c:v>
                </c:pt>
                <c:pt idx="493">
                  <c:v>23.551782989760842</c:v>
                </c:pt>
                <c:pt idx="494">
                  <c:v>23.551840558414874</c:v>
                </c:pt>
                <c:pt idx="495">
                  <c:v>23.551898126141008</c:v>
                </c:pt>
                <c:pt idx="496">
                  <c:v>23.551955692939259</c:v>
                </c:pt>
                <c:pt idx="497">
                  <c:v>23.552013258809659</c:v>
                </c:pt>
                <c:pt idx="498">
                  <c:v>23.552070823752196</c:v>
                </c:pt>
                <c:pt idx="499">
                  <c:v>23.552128387766899</c:v>
                </c:pt>
                <c:pt idx="500">
                  <c:v>23.552185950853751</c:v>
                </c:pt>
                <c:pt idx="501">
                  <c:v>23.55224351301279</c:v>
                </c:pt>
                <c:pt idx="502">
                  <c:v>23.552301074244031</c:v>
                </c:pt>
                <c:pt idx="503">
                  <c:v>23.552358634547456</c:v>
                </c:pt>
                <c:pt idx="504">
                  <c:v>23.552416193923108</c:v>
                </c:pt>
                <c:pt idx="505">
                  <c:v>23.552473752370986</c:v>
                </c:pt>
                <c:pt idx="506">
                  <c:v>23.552531309891087</c:v>
                </c:pt>
                <c:pt idx="507">
                  <c:v>23.552588866483458</c:v>
                </c:pt>
                <c:pt idx="508">
                  <c:v>23.552646422148065</c:v>
                </c:pt>
                <c:pt idx="509">
                  <c:v>23.552703976884953</c:v>
                </c:pt>
                <c:pt idx="510">
                  <c:v>23.552761530694116</c:v>
                </c:pt>
                <c:pt idx="511">
                  <c:v>23.552819083575578</c:v>
                </c:pt>
                <c:pt idx="512">
                  <c:v>23.552876635529334</c:v>
                </c:pt>
                <c:pt idx="513">
                  <c:v>23.552934186555415</c:v>
                </c:pt>
                <c:pt idx="514">
                  <c:v>23.552991736653816</c:v>
                </c:pt>
                <c:pt idx="515">
                  <c:v>23.553049285824567</c:v>
                </c:pt>
                <c:pt idx="516">
                  <c:v>23.553106834067666</c:v>
                </c:pt>
                <c:pt idx="517">
                  <c:v>23.553164381383116</c:v>
                </c:pt>
                <c:pt idx="518">
                  <c:v>23.553221927770952</c:v>
                </c:pt>
                <c:pt idx="519">
                  <c:v>23.553279473231171</c:v>
                </c:pt>
                <c:pt idx="520">
                  <c:v>23.553337017763774</c:v>
                </c:pt>
                <c:pt idx="521">
                  <c:v>23.553394561368791</c:v>
                </c:pt>
                <c:pt idx="522">
                  <c:v>23.553452104046226</c:v>
                </c:pt>
                <c:pt idx="523">
                  <c:v>23.553509645796083</c:v>
                </c:pt>
                <c:pt idx="524">
                  <c:v>23.553567186618391</c:v>
                </c:pt>
                <c:pt idx="525">
                  <c:v>23.553624726513149</c:v>
                </c:pt>
                <c:pt idx="526">
                  <c:v>23.553682265480379</c:v>
                </c:pt>
                <c:pt idx="527">
                  <c:v>23.553739803520081</c:v>
                </c:pt>
                <c:pt idx="528">
                  <c:v>23.553797340632258</c:v>
                </c:pt>
                <c:pt idx="529">
                  <c:v>23.553854876816942</c:v>
                </c:pt>
                <c:pt idx="530">
                  <c:v>23.553912412074141</c:v>
                </c:pt>
                <c:pt idx="531">
                  <c:v>23.553969946403846</c:v>
                </c:pt>
                <c:pt idx="532">
                  <c:v>23.554027479806091</c:v>
                </c:pt>
                <c:pt idx="533">
                  <c:v>23.554085012280886</c:v>
                </c:pt>
                <c:pt idx="534">
                  <c:v>23.554142543828224</c:v>
                </c:pt>
                <c:pt idx="535">
                  <c:v>23.554200074448147</c:v>
                </c:pt>
                <c:pt idx="536">
                  <c:v>23.554257604140634</c:v>
                </c:pt>
                <c:pt idx="537">
                  <c:v>23.5543151329057</c:v>
                </c:pt>
                <c:pt idx="538">
                  <c:v>23.554372660743372</c:v>
                </c:pt>
                <c:pt idx="539">
                  <c:v>23.554430187653676</c:v>
                </c:pt>
                <c:pt idx="540">
                  <c:v>23.554487713636593</c:v>
                </c:pt>
                <c:pt idx="541">
                  <c:v>23.554545238692143</c:v>
                </c:pt>
                <c:pt idx="542">
                  <c:v>23.554602762820338</c:v>
                </c:pt>
                <c:pt idx="543">
                  <c:v>23.554660286021182</c:v>
                </c:pt>
                <c:pt idx="544">
                  <c:v>23.554717808294701</c:v>
                </c:pt>
                <c:pt idx="545">
                  <c:v>23.554775329640897</c:v>
                </c:pt>
                <c:pt idx="546">
                  <c:v>23.5548328500598</c:v>
                </c:pt>
                <c:pt idx="547">
                  <c:v>23.554890369551384</c:v>
                </c:pt>
                <c:pt idx="548">
                  <c:v>23.554947888115702</c:v>
                </c:pt>
                <c:pt idx="549">
                  <c:v>23.555005405752734</c:v>
                </c:pt>
                <c:pt idx="550">
                  <c:v>23.555062922462501</c:v>
                </c:pt>
                <c:pt idx="551">
                  <c:v>23.555120438245034</c:v>
                </c:pt>
                <c:pt idx="552">
                  <c:v>23.555177953100308</c:v>
                </c:pt>
                <c:pt idx="553">
                  <c:v>23.555235467028364</c:v>
                </c:pt>
                <c:pt idx="554">
                  <c:v>23.555292980029204</c:v>
                </c:pt>
                <c:pt idx="555">
                  <c:v>23.555350492102814</c:v>
                </c:pt>
                <c:pt idx="556">
                  <c:v>23.555408003249262</c:v>
                </c:pt>
                <c:pt idx="557">
                  <c:v>23.555465513468498</c:v>
                </c:pt>
                <c:pt idx="558">
                  <c:v>23.555523022760582</c:v>
                </c:pt>
                <c:pt idx="559">
                  <c:v>23.555580531125511</c:v>
                </c:pt>
                <c:pt idx="560">
                  <c:v>23.555638038563281</c:v>
                </c:pt>
                <c:pt idx="561">
                  <c:v>23.555695545073899</c:v>
                </c:pt>
                <c:pt idx="562">
                  <c:v>23.555753050657419</c:v>
                </c:pt>
                <c:pt idx="563">
                  <c:v>23.555810555313801</c:v>
                </c:pt>
                <c:pt idx="564">
                  <c:v>23.555868059043089</c:v>
                </c:pt>
                <c:pt idx="565">
                  <c:v>23.555925561845282</c:v>
                </c:pt>
                <c:pt idx="566">
                  <c:v>23.555983063720387</c:v>
                </c:pt>
                <c:pt idx="567">
                  <c:v>23.556040564668436</c:v>
                </c:pt>
                <c:pt idx="568">
                  <c:v>23.556098064689426</c:v>
                </c:pt>
                <c:pt idx="569">
                  <c:v>23.556155563783364</c:v>
                </c:pt>
                <c:pt idx="570">
                  <c:v>23.556213061950267</c:v>
                </c:pt>
                <c:pt idx="571">
                  <c:v>23.556270559190143</c:v>
                </c:pt>
                <c:pt idx="572">
                  <c:v>23.556328055503005</c:v>
                </c:pt>
                <c:pt idx="573">
                  <c:v>23.556385550888884</c:v>
                </c:pt>
                <c:pt idx="574">
                  <c:v>23.556443045347748</c:v>
                </c:pt>
                <c:pt idx="575">
                  <c:v>23.556500538879646</c:v>
                </c:pt>
                <c:pt idx="576">
                  <c:v>23.55655803148457</c:v>
                </c:pt>
                <c:pt idx="577">
                  <c:v>23.556615523162563</c:v>
                </c:pt>
                <c:pt idx="578">
                  <c:v>23.556673013913592</c:v>
                </c:pt>
                <c:pt idx="579">
                  <c:v>23.556730503737686</c:v>
                </c:pt>
                <c:pt idx="580">
                  <c:v>23.556787992634852</c:v>
                </c:pt>
                <c:pt idx="581">
                  <c:v>23.55684548060513</c:v>
                </c:pt>
                <c:pt idx="582">
                  <c:v>23.55690296764849</c:v>
                </c:pt>
                <c:pt idx="583">
                  <c:v>23.556960453764972</c:v>
                </c:pt>
                <c:pt idx="584">
                  <c:v>23.557017938954573</c:v>
                </c:pt>
                <c:pt idx="585">
                  <c:v>23.557075423217324</c:v>
                </c:pt>
                <c:pt idx="586">
                  <c:v>23.557132906553203</c:v>
                </c:pt>
                <c:pt idx="587">
                  <c:v>23.557190388962255</c:v>
                </c:pt>
                <c:pt idx="588">
                  <c:v>23.557247870444471</c:v>
                </c:pt>
                <c:pt idx="589">
                  <c:v>23.557305350999858</c:v>
                </c:pt>
                <c:pt idx="590">
                  <c:v>23.557362830628456</c:v>
                </c:pt>
                <c:pt idx="591">
                  <c:v>23.557420309330237</c:v>
                </c:pt>
                <c:pt idx="592">
                  <c:v>23.557477787105242</c:v>
                </c:pt>
                <c:pt idx="593">
                  <c:v>23.557535263953483</c:v>
                </c:pt>
                <c:pt idx="594">
                  <c:v>23.557592739874949</c:v>
                </c:pt>
                <c:pt idx="595">
                  <c:v>23.557650214869664</c:v>
                </c:pt>
                <c:pt idx="596">
                  <c:v>23.55770768893764</c:v>
                </c:pt>
                <c:pt idx="597">
                  <c:v>23.557765162078912</c:v>
                </c:pt>
                <c:pt idx="598">
                  <c:v>23.557822634293437</c:v>
                </c:pt>
                <c:pt idx="599">
                  <c:v>23.557880105581276</c:v>
                </c:pt>
                <c:pt idx="600">
                  <c:v>23.557937575942407</c:v>
                </c:pt>
                <c:pt idx="601">
                  <c:v>23.55799504537687</c:v>
                </c:pt>
                <c:pt idx="602">
                  <c:v>23.558052513884647</c:v>
                </c:pt>
                <c:pt idx="603">
                  <c:v>23.558109981465769</c:v>
                </c:pt>
                <c:pt idx="604">
                  <c:v>23.558167448120248</c:v>
                </c:pt>
                <c:pt idx="605">
                  <c:v>23.558224913848072</c:v>
                </c:pt>
                <c:pt idx="606">
                  <c:v>23.558282378649281</c:v>
                </c:pt>
                <c:pt idx="607">
                  <c:v>23.558339842523878</c:v>
                </c:pt>
                <c:pt idx="608">
                  <c:v>23.558397305471882</c:v>
                </c:pt>
                <c:pt idx="609">
                  <c:v>23.558454767493291</c:v>
                </c:pt>
                <c:pt idx="610">
                  <c:v>23.558512228588114</c:v>
                </c:pt>
                <c:pt idx="611">
                  <c:v>23.558569688756371</c:v>
                </c:pt>
                <c:pt idx="612">
                  <c:v>23.558627147998063</c:v>
                </c:pt>
                <c:pt idx="613">
                  <c:v>23.558684606313221</c:v>
                </c:pt>
                <c:pt idx="614">
                  <c:v>23.558742063701835</c:v>
                </c:pt>
                <c:pt idx="615">
                  <c:v>23.558799520163934</c:v>
                </c:pt>
                <c:pt idx="616">
                  <c:v>23.558856975699509</c:v>
                </c:pt>
                <c:pt idx="617">
                  <c:v>23.558914430308597</c:v>
                </c:pt>
                <c:pt idx="618">
                  <c:v>23.558971883991191</c:v>
                </c:pt>
                <c:pt idx="619">
                  <c:v>23.559029336747304</c:v>
                </c:pt>
                <c:pt idx="620">
                  <c:v>23.559086788576952</c:v>
                </c:pt>
                <c:pt idx="621">
                  <c:v>23.559144239480148</c:v>
                </c:pt>
                <c:pt idx="622">
                  <c:v>23.559201689456902</c:v>
                </c:pt>
                <c:pt idx="623">
                  <c:v>23.559259138507208</c:v>
                </c:pt>
                <c:pt idx="624">
                  <c:v>23.559316586631116</c:v>
                </c:pt>
                <c:pt idx="625">
                  <c:v>23.5593740338286</c:v>
                </c:pt>
                <c:pt idx="626">
                  <c:v>23.559431480099693</c:v>
                </c:pt>
                <c:pt idx="627">
                  <c:v>23.559488925444409</c:v>
                </c:pt>
                <c:pt idx="628">
                  <c:v>23.559546369862726</c:v>
                </c:pt>
                <c:pt idx="629">
                  <c:v>23.559603813354698</c:v>
                </c:pt>
                <c:pt idx="630">
                  <c:v>23.559661255920314</c:v>
                </c:pt>
                <c:pt idx="631">
                  <c:v>23.559718697559585</c:v>
                </c:pt>
                <c:pt idx="632">
                  <c:v>23.559776138272525</c:v>
                </c:pt>
                <c:pt idx="633">
                  <c:v>23.559833578059145</c:v>
                </c:pt>
                <c:pt idx="634">
                  <c:v>23.559891016919469</c:v>
                </c:pt>
                <c:pt idx="635">
                  <c:v>23.559948454853476</c:v>
                </c:pt>
                <c:pt idx="636">
                  <c:v>23.56000589186122</c:v>
                </c:pt>
                <c:pt idx="637">
                  <c:v>23.560063327942679</c:v>
                </c:pt>
                <c:pt idx="638">
                  <c:v>23.560120763097885</c:v>
                </c:pt>
                <c:pt idx="639">
                  <c:v>23.560178197326824</c:v>
                </c:pt>
                <c:pt idx="640">
                  <c:v>23.560235630629535</c:v>
                </c:pt>
                <c:pt idx="641">
                  <c:v>23.560293063006018</c:v>
                </c:pt>
                <c:pt idx="642">
                  <c:v>23.560350494456308</c:v>
                </c:pt>
                <c:pt idx="643">
                  <c:v>23.560407924980364</c:v>
                </c:pt>
                <c:pt idx="644">
                  <c:v>23.560465354578238</c:v>
                </c:pt>
                <c:pt idx="645">
                  <c:v>23.560522783249926</c:v>
                </c:pt>
                <c:pt idx="646">
                  <c:v>23.560580210995454</c:v>
                </c:pt>
                <c:pt idx="647">
                  <c:v>23.560637637814818</c:v>
                </c:pt>
                <c:pt idx="648">
                  <c:v>23.560695063708035</c:v>
                </c:pt>
                <c:pt idx="649">
                  <c:v>23.56075248867511</c:v>
                </c:pt>
                <c:pt idx="650">
                  <c:v>23.560809912716071</c:v>
                </c:pt>
                <c:pt idx="651">
                  <c:v>23.560867335830903</c:v>
                </c:pt>
                <c:pt idx="652">
                  <c:v>23.560924758019638</c:v>
                </c:pt>
                <c:pt idx="653">
                  <c:v>23.560982179282288</c:v>
                </c:pt>
                <c:pt idx="654">
                  <c:v>23.561039599618852</c:v>
                </c:pt>
                <c:pt idx="655">
                  <c:v>23.561097019029351</c:v>
                </c:pt>
                <c:pt idx="656">
                  <c:v>23.561154437513782</c:v>
                </c:pt>
                <c:pt idx="657">
                  <c:v>23.56121185507218</c:v>
                </c:pt>
                <c:pt idx="658">
                  <c:v>23.561269271704557</c:v>
                </c:pt>
                <c:pt idx="659">
                  <c:v>23.561326687410887</c:v>
                </c:pt>
                <c:pt idx="660">
                  <c:v>23.561384102191219</c:v>
                </c:pt>
                <c:pt idx="661">
                  <c:v>23.561441516045534</c:v>
                </c:pt>
                <c:pt idx="662">
                  <c:v>23.561498928973883</c:v>
                </c:pt>
                <c:pt idx="663">
                  <c:v>23.561556340976249</c:v>
                </c:pt>
                <c:pt idx="664">
                  <c:v>23.561613752052647</c:v>
                </c:pt>
                <c:pt idx="665">
                  <c:v>23.561671162203087</c:v>
                </c:pt>
                <c:pt idx="666">
                  <c:v>23.56172857142759</c:v>
                </c:pt>
                <c:pt idx="667">
                  <c:v>23.561785979726157</c:v>
                </c:pt>
                <c:pt idx="668">
                  <c:v>23.561843387098804</c:v>
                </c:pt>
                <c:pt idx="669">
                  <c:v>23.561900793545544</c:v>
                </c:pt>
                <c:pt idx="670">
                  <c:v>23.5619581990664</c:v>
                </c:pt>
                <c:pt idx="671">
                  <c:v>23.562015603661369</c:v>
                </c:pt>
                <c:pt idx="672">
                  <c:v>23.562073007330433</c:v>
                </c:pt>
                <c:pt idx="673">
                  <c:v>23.56213041007366</c:v>
                </c:pt>
                <c:pt idx="674">
                  <c:v>23.562187811891022</c:v>
                </c:pt>
                <c:pt idx="675">
                  <c:v>23.562245212782557</c:v>
                </c:pt>
                <c:pt idx="676">
                  <c:v>23.562302612748255</c:v>
                </c:pt>
                <c:pt idx="677">
                  <c:v>23.562360011788133</c:v>
                </c:pt>
                <c:pt idx="678">
                  <c:v>23.562417409902206</c:v>
                </c:pt>
                <c:pt idx="679">
                  <c:v>23.562474807090496</c:v>
                </c:pt>
                <c:pt idx="680">
                  <c:v>23.562532203352987</c:v>
                </c:pt>
                <c:pt idx="681">
                  <c:v>23.562589598689726</c:v>
                </c:pt>
                <c:pt idx="682">
                  <c:v>23.562646993100667</c:v>
                </c:pt>
                <c:pt idx="683">
                  <c:v>23.562704386585892</c:v>
                </c:pt>
                <c:pt idx="684">
                  <c:v>23.562761779145369</c:v>
                </c:pt>
                <c:pt idx="685">
                  <c:v>23.562819170779125</c:v>
                </c:pt>
                <c:pt idx="686">
                  <c:v>23.562876561487162</c:v>
                </c:pt>
                <c:pt idx="687">
                  <c:v>23.562933951269475</c:v>
                </c:pt>
                <c:pt idx="688">
                  <c:v>23.562991340126114</c:v>
                </c:pt>
                <c:pt idx="689">
                  <c:v>23.56304872805708</c:v>
                </c:pt>
                <c:pt idx="690">
                  <c:v>23.563106115062347</c:v>
                </c:pt>
                <c:pt idx="691">
                  <c:v>23.563163501141986</c:v>
                </c:pt>
                <c:pt idx="692">
                  <c:v>23.563220886295969</c:v>
                </c:pt>
                <c:pt idx="693">
                  <c:v>23.563278270524318</c:v>
                </c:pt>
                <c:pt idx="694">
                  <c:v>23.563335653827032</c:v>
                </c:pt>
                <c:pt idx="695">
                  <c:v>23.56339303620415</c:v>
                </c:pt>
                <c:pt idx="696">
                  <c:v>23.563450417655652</c:v>
                </c:pt>
                <c:pt idx="697">
                  <c:v>23.563507798181568</c:v>
                </c:pt>
                <c:pt idx="698">
                  <c:v>23.563565177781893</c:v>
                </c:pt>
                <c:pt idx="699">
                  <c:v>23.563622556456682</c:v>
                </c:pt>
                <c:pt idx="700">
                  <c:v>23.563679934205901</c:v>
                </c:pt>
                <c:pt idx="701">
                  <c:v>23.563737311029563</c:v>
                </c:pt>
                <c:pt idx="702">
                  <c:v>23.563794686927697</c:v>
                </c:pt>
                <c:pt idx="703">
                  <c:v>23.563852061900317</c:v>
                </c:pt>
                <c:pt idx="704">
                  <c:v>23.563909435947426</c:v>
                </c:pt>
                <c:pt idx="705">
                  <c:v>23.563966809069029</c:v>
                </c:pt>
                <c:pt idx="706">
                  <c:v>23.56402418126515</c:v>
                </c:pt>
                <c:pt idx="707">
                  <c:v>23.564081552535786</c:v>
                </c:pt>
                <c:pt idx="708">
                  <c:v>23.564138922880964</c:v>
                </c:pt>
                <c:pt idx="709">
                  <c:v>23.564196292300686</c:v>
                </c:pt>
                <c:pt idx="710">
                  <c:v>23.564253660794957</c:v>
                </c:pt>
                <c:pt idx="711">
                  <c:v>23.564311028363822</c:v>
                </c:pt>
                <c:pt idx="712">
                  <c:v>23.56436839500725</c:v>
                </c:pt>
                <c:pt idx="713">
                  <c:v>23.564425760725282</c:v>
                </c:pt>
                <c:pt idx="714">
                  <c:v>23.56448312551791</c:v>
                </c:pt>
                <c:pt idx="715">
                  <c:v>23.564540489385134</c:v>
                </c:pt>
                <c:pt idx="716">
                  <c:v>23.564597852327012</c:v>
                </c:pt>
                <c:pt idx="717">
                  <c:v>23.564655214343517</c:v>
                </c:pt>
                <c:pt idx="718">
                  <c:v>23.564712575434676</c:v>
                </c:pt>
                <c:pt idx="719">
                  <c:v>23.564769935600484</c:v>
                </c:pt>
                <c:pt idx="720">
                  <c:v>23.56482729484096</c:v>
                </c:pt>
                <c:pt idx="721">
                  <c:v>23.564884653156138</c:v>
                </c:pt>
                <c:pt idx="722">
                  <c:v>23.564942010545987</c:v>
                </c:pt>
                <c:pt idx="723">
                  <c:v>23.564999367010554</c:v>
                </c:pt>
                <c:pt idx="724">
                  <c:v>23.565056722549844</c:v>
                </c:pt>
                <c:pt idx="725">
                  <c:v>23.565114077163862</c:v>
                </c:pt>
                <c:pt idx="726">
                  <c:v>23.565171430852612</c:v>
                </c:pt>
                <c:pt idx="727">
                  <c:v>23.565228783616121</c:v>
                </c:pt>
                <c:pt idx="728">
                  <c:v>23.565286135454389</c:v>
                </c:pt>
                <c:pt idx="729">
                  <c:v>23.565343486367428</c:v>
                </c:pt>
                <c:pt idx="730">
                  <c:v>23.565400836355256</c:v>
                </c:pt>
                <c:pt idx="731">
                  <c:v>23.565458185417871</c:v>
                </c:pt>
                <c:pt idx="732">
                  <c:v>23.565515533555295</c:v>
                </c:pt>
                <c:pt idx="733">
                  <c:v>23.565572880767551</c:v>
                </c:pt>
                <c:pt idx="734">
                  <c:v>23.565630227054626</c:v>
                </c:pt>
                <c:pt idx="735">
                  <c:v>23.565687572416557</c:v>
                </c:pt>
                <c:pt idx="736">
                  <c:v>23.56574491685333</c:v>
                </c:pt>
                <c:pt idx="737">
                  <c:v>23.565802260364972</c:v>
                </c:pt>
                <c:pt idx="738">
                  <c:v>23.565859602951491</c:v>
                </c:pt>
                <c:pt idx="739">
                  <c:v>23.565916944612898</c:v>
                </c:pt>
                <c:pt idx="740">
                  <c:v>23.565974285349203</c:v>
                </c:pt>
                <c:pt idx="741">
                  <c:v>23.56603162516042</c:v>
                </c:pt>
                <c:pt idx="742">
                  <c:v>23.566088964046553</c:v>
                </c:pt>
                <c:pt idx="743">
                  <c:v>23.566146302007628</c:v>
                </c:pt>
                <c:pt idx="744">
                  <c:v>23.566203639043643</c:v>
                </c:pt>
                <c:pt idx="745">
                  <c:v>23.566260975154616</c:v>
                </c:pt>
                <c:pt idx="746">
                  <c:v>23.566318310340542</c:v>
                </c:pt>
                <c:pt idx="747">
                  <c:v>23.566375644601454</c:v>
                </c:pt>
                <c:pt idx="748">
                  <c:v>23.566432977937371</c:v>
                </c:pt>
                <c:pt idx="749">
                  <c:v>23.566490310348264</c:v>
                </c:pt>
                <c:pt idx="750">
                  <c:v>23.566547641834195</c:v>
                </c:pt>
                <c:pt idx="751">
                  <c:v>23.566604972395133</c:v>
                </c:pt>
                <c:pt idx="752">
                  <c:v>23.566662302031123</c:v>
                </c:pt>
                <c:pt idx="753">
                  <c:v>23.566719630742142</c:v>
                </c:pt>
                <c:pt idx="754">
                  <c:v>23.566776958528223</c:v>
                </c:pt>
                <c:pt idx="755">
                  <c:v>23.566834285389376</c:v>
                </c:pt>
                <c:pt idx="756">
                  <c:v>23.566891611325619</c:v>
                </c:pt>
                <c:pt idx="757">
                  <c:v>23.566948936336939</c:v>
                </c:pt>
                <c:pt idx="758">
                  <c:v>23.567006260423376</c:v>
                </c:pt>
                <c:pt idx="759">
                  <c:v>23.567063583584922</c:v>
                </c:pt>
                <c:pt idx="760">
                  <c:v>23.567120905821586</c:v>
                </c:pt>
                <c:pt idx="761">
                  <c:v>23.567178227133411</c:v>
                </c:pt>
                <c:pt idx="762">
                  <c:v>23.567235547520358</c:v>
                </c:pt>
                <c:pt idx="763">
                  <c:v>23.567292866982484</c:v>
                </c:pt>
                <c:pt idx="764">
                  <c:v>23.567350185519778</c:v>
                </c:pt>
                <c:pt idx="765">
                  <c:v>23.567407503132252</c:v>
                </c:pt>
                <c:pt idx="766">
                  <c:v>23.567464819819936</c:v>
                </c:pt>
                <c:pt idx="767">
                  <c:v>23.567522135582816</c:v>
                </c:pt>
                <c:pt idx="768">
                  <c:v>23.567579450420908</c:v>
                </c:pt>
                <c:pt idx="769">
                  <c:v>23.567636764334221</c:v>
                </c:pt>
                <c:pt idx="770">
                  <c:v>23.567694077322795</c:v>
                </c:pt>
                <c:pt idx="771">
                  <c:v>23.567751389386601</c:v>
                </c:pt>
                <c:pt idx="772">
                  <c:v>23.567808700525681</c:v>
                </c:pt>
                <c:pt idx="773">
                  <c:v>23.567866010740044</c:v>
                </c:pt>
                <c:pt idx="774">
                  <c:v>23.567923320029685</c:v>
                </c:pt>
                <c:pt idx="775">
                  <c:v>23.567980628394615</c:v>
                </c:pt>
                <c:pt idx="776">
                  <c:v>23.568037935834859</c:v>
                </c:pt>
                <c:pt idx="777">
                  <c:v>23.568095242350427</c:v>
                </c:pt>
                <c:pt idx="778">
                  <c:v>23.568152547941327</c:v>
                </c:pt>
                <c:pt idx="779">
                  <c:v>23.568209852607563</c:v>
                </c:pt>
                <c:pt idx="780">
                  <c:v>23.568267156349169</c:v>
                </c:pt>
                <c:pt idx="781">
                  <c:v>23.568324459166121</c:v>
                </c:pt>
                <c:pt idx="782">
                  <c:v>23.568381761058458</c:v>
                </c:pt>
                <c:pt idx="783">
                  <c:v>23.568439062026179</c:v>
                </c:pt>
                <c:pt idx="784">
                  <c:v>23.568496362069308</c:v>
                </c:pt>
                <c:pt idx="785">
                  <c:v>23.568553661187842</c:v>
                </c:pt>
                <c:pt idx="786">
                  <c:v>23.568610959381814</c:v>
                </c:pt>
                <c:pt idx="787">
                  <c:v>23.568668256651193</c:v>
                </c:pt>
                <c:pt idx="788">
                  <c:v>23.568725552996028</c:v>
                </c:pt>
                <c:pt idx="789">
                  <c:v>23.56878284841633</c:v>
                </c:pt>
                <c:pt idx="790">
                  <c:v>23.568840142912087</c:v>
                </c:pt>
                <c:pt idx="791">
                  <c:v>23.568897436483326</c:v>
                </c:pt>
                <c:pt idx="792">
                  <c:v>23.568954729130056</c:v>
                </c:pt>
                <c:pt idx="793">
                  <c:v>23.569012020852302</c:v>
                </c:pt>
                <c:pt idx="794">
                  <c:v>23.56906931165004</c:v>
                </c:pt>
                <c:pt idx="795">
                  <c:v>23.569126601523312</c:v>
                </c:pt>
                <c:pt idx="796">
                  <c:v>23.569183890472114</c:v>
                </c:pt>
                <c:pt idx="797">
                  <c:v>23.569241178496465</c:v>
                </c:pt>
                <c:pt idx="798">
                  <c:v>23.569298465596372</c:v>
                </c:pt>
                <c:pt idx="799">
                  <c:v>23.569355751771866</c:v>
                </c:pt>
                <c:pt idx="800">
                  <c:v>23.569413037022922</c:v>
                </c:pt>
                <c:pt idx="801">
                  <c:v>23.569470321349574</c:v>
                </c:pt>
                <c:pt idx="802">
                  <c:v>23.56952760475184</c:v>
                </c:pt>
                <c:pt idx="803">
                  <c:v>23.56958488722972</c:v>
                </c:pt>
                <c:pt idx="804">
                  <c:v>23.569642168783218</c:v>
                </c:pt>
                <c:pt idx="805">
                  <c:v>23.569699449412372</c:v>
                </c:pt>
                <c:pt idx="806">
                  <c:v>23.569756729117159</c:v>
                </c:pt>
                <c:pt idx="807">
                  <c:v>23.569814007897605</c:v>
                </c:pt>
                <c:pt idx="808">
                  <c:v>23.569871285753742</c:v>
                </c:pt>
                <c:pt idx="809">
                  <c:v>23.569928562685543</c:v>
                </c:pt>
                <c:pt idx="810">
                  <c:v>23.569985838693054</c:v>
                </c:pt>
                <c:pt idx="811">
                  <c:v>23.570043113776254</c:v>
                </c:pt>
                <c:pt idx="812">
                  <c:v>23.570100387935195</c:v>
                </c:pt>
                <c:pt idx="813">
                  <c:v>23.570157661169855</c:v>
                </c:pt>
                <c:pt idx="814">
                  <c:v>23.570214933480258</c:v>
                </c:pt>
                <c:pt idx="815">
                  <c:v>23.570272204866406</c:v>
                </c:pt>
                <c:pt idx="816">
                  <c:v>23.570329475328329</c:v>
                </c:pt>
                <c:pt idx="817">
                  <c:v>23.570386744866024</c:v>
                </c:pt>
                <c:pt idx="818">
                  <c:v>23.570444013479488</c:v>
                </c:pt>
                <c:pt idx="819">
                  <c:v>23.57050128116876</c:v>
                </c:pt>
                <c:pt idx="820">
                  <c:v>23.570558547933846</c:v>
                </c:pt>
                <c:pt idx="821">
                  <c:v>23.570615813774747</c:v>
                </c:pt>
                <c:pt idx="822">
                  <c:v>23.570673078691478</c:v>
                </c:pt>
                <c:pt idx="823">
                  <c:v>23.570730342684058</c:v>
                </c:pt>
                <c:pt idx="824">
                  <c:v>23.570787605752493</c:v>
                </c:pt>
                <c:pt idx="825">
                  <c:v>23.570844867896788</c:v>
                </c:pt>
                <c:pt idx="826">
                  <c:v>23.570902129116977</c:v>
                </c:pt>
                <c:pt idx="827">
                  <c:v>23.570959389413037</c:v>
                </c:pt>
                <c:pt idx="828">
                  <c:v>23.571016648785008</c:v>
                </c:pt>
                <c:pt idx="829">
                  <c:v>23.571073907232886</c:v>
                </c:pt>
                <c:pt idx="830">
                  <c:v>23.571131164756686</c:v>
                </c:pt>
                <c:pt idx="831">
                  <c:v>23.571188421356414</c:v>
                </c:pt>
                <c:pt idx="832">
                  <c:v>23.571245677032099</c:v>
                </c:pt>
                <c:pt idx="833">
                  <c:v>23.571302931783734</c:v>
                </c:pt>
                <c:pt idx="834">
                  <c:v>23.571360185611326</c:v>
                </c:pt>
                <c:pt idx="835">
                  <c:v>23.571417438514914</c:v>
                </c:pt>
                <c:pt idx="836">
                  <c:v>23.571474690494487</c:v>
                </c:pt>
                <c:pt idx="837">
                  <c:v>23.571531941550056</c:v>
                </c:pt>
                <c:pt idx="838">
                  <c:v>23.57158919168166</c:v>
                </c:pt>
                <c:pt idx="839">
                  <c:v>23.571646440889264</c:v>
                </c:pt>
                <c:pt idx="840">
                  <c:v>23.571703689172924</c:v>
                </c:pt>
                <c:pt idx="841">
                  <c:v>23.57176093653262</c:v>
                </c:pt>
                <c:pt idx="842">
                  <c:v>23.571818182968379</c:v>
                </c:pt>
                <c:pt idx="843">
                  <c:v>23.571875428480212</c:v>
                </c:pt>
                <c:pt idx="844">
                  <c:v>23.571932673068133</c:v>
                </c:pt>
                <c:pt idx="845">
                  <c:v>23.571989916732136</c:v>
                </c:pt>
                <c:pt idx="846">
                  <c:v>23.572047159472241</c:v>
                </c:pt>
                <c:pt idx="847">
                  <c:v>23.57210440128847</c:v>
                </c:pt>
                <c:pt idx="848">
                  <c:v>23.57216164218082</c:v>
                </c:pt>
                <c:pt idx="849">
                  <c:v>23.572218882149318</c:v>
                </c:pt>
                <c:pt idx="850">
                  <c:v>23.572276121193944</c:v>
                </c:pt>
                <c:pt idx="851">
                  <c:v>23.572333359314747</c:v>
                </c:pt>
                <c:pt idx="852">
                  <c:v>23.572390596511745</c:v>
                </c:pt>
                <c:pt idx="853">
                  <c:v>23.572447832784896</c:v>
                </c:pt>
                <c:pt idx="854">
                  <c:v>23.572505068134262</c:v>
                </c:pt>
                <c:pt idx="855">
                  <c:v>23.572562302559824</c:v>
                </c:pt>
                <c:pt idx="856">
                  <c:v>23.572619536061609</c:v>
                </c:pt>
                <c:pt idx="857">
                  <c:v>23.572676768639624</c:v>
                </c:pt>
                <c:pt idx="858">
                  <c:v>23.57273400029387</c:v>
                </c:pt>
                <c:pt idx="859">
                  <c:v>23.572791231024372</c:v>
                </c:pt>
                <c:pt idx="860">
                  <c:v>23.572848460831146</c:v>
                </c:pt>
                <c:pt idx="861">
                  <c:v>23.572905689714194</c:v>
                </c:pt>
                <c:pt idx="862">
                  <c:v>23.572962917673522</c:v>
                </c:pt>
                <c:pt idx="863">
                  <c:v>23.573020144709144</c:v>
                </c:pt>
                <c:pt idx="864">
                  <c:v>23.573077370821093</c:v>
                </c:pt>
                <c:pt idx="865">
                  <c:v>23.573134596009357</c:v>
                </c:pt>
                <c:pt idx="866">
                  <c:v>23.573191820273941</c:v>
                </c:pt>
                <c:pt idx="867">
                  <c:v>23.573249043614876</c:v>
                </c:pt>
                <c:pt idx="868">
                  <c:v>23.573306266032169</c:v>
                </c:pt>
                <c:pt idx="869">
                  <c:v>23.573363487525828</c:v>
                </c:pt>
                <c:pt idx="870">
                  <c:v>23.573420708095867</c:v>
                </c:pt>
                <c:pt idx="871">
                  <c:v>23.573477927742292</c:v>
                </c:pt>
                <c:pt idx="872">
                  <c:v>23.573535146465115</c:v>
                </c:pt>
                <c:pt idx="873">
                  <c:v>23.573592364264357</c:v>
                </c:pt>
                <c:pt idx="874">
                  <c:v>23.57364958114001</c:v>
                </c:pt>
                <c:pt idx="875">
                  <c:v>23.573706797092111</c:v>
                </c:pt>
                <c:pt idx="876">
                  <c:v>23.573764012120648</c:v>
                </c:pt>
                <c:pt idx="877">
                  <c:v>23.57382122622564</c:v>
                </c:pt>
                <c:pt idx="878">
                  <c:v>23.573878439407096</c:v>
                </c:pt>
                <c:pt idx="879">
                  <c:v>23.57393565166505</c:v>
                </c:pt>
                <c:pt idx="880">
                  <c:v>23.573992862999489</c:v>
                </c:pt>
                <c:pt idx="881">
                  <c:v>23.574050073410429</c:v>
                </c:pt>
                <c:pt idx="882">
                  <c:v>23.574107282897881</c:v>
                </c:pt>
                <c:pt idx="883">
                  <c:v>23.574164491461861</c:v>
                </c:pt>
                <c:pt idx="884">
                  <c:v>23.574221699102381</c:v>
                </c:pt>
                <c:pt idx="885">
                  <c:v>23.574278905819444</c:v>
                </c:pt>
                <c:pt idx="886">
                  <c:v>23.574336111613061</c:v>
                </c:pt>
                <c:pt idx="887">
                  <c:v>23.574393316483256</c:v>
                </c:pt>
                <c:pt idx="888">
                  <c:v>23.574450520430034</c:v>
                </c:pt>
                <c:pt idx="889">
                  <c:v>23.574507723453408</c:v>
                </c:pt>
                <c:pt idx="890">
                  <c:v>23.574564925553371</c:v>
                </c:pt>
                <c:pt idx="891">
                  <c:v>23.574622126729967</c:v>
                </c:pt>
                <c:pt idx="892">
                  <c:v>23.57467932698319</c:v>
                </c:pt>
                <c:pt idx="893">
                  <c:v>23.57473652631305</c:v>
                </c:pt>
                <c:pt idx="894">
                  <c:v>23.574793724719562</c:v>
                </c:pt>
                <c:pt idx="895">
                  <c:v>23.574850922202732</c:v>
                </c:pt>
                <c:pt idx="896">
                  <c:v>23.574908118762572</c:v>
                </c:pt>
                <c:pt idx="897">
                  <c:v>23.574965314399101</c:v>
                </c:pt>
                <c:pt idx="898">
                  <c:v>23.575022509112316</c:v>
                </c:pt>
                <c:pt idx="899">
                  <c:v>23.575079702902251</c:v>
                </c:pt>
                <c:pt idx="900">
                  <c:v>23.575136895768903</c:v>
                </c:pt>
                <c:pt idx="901">
                  <c:v>23.575194087712287</c:v>
                </c:pt>
                <c:pt idx="902">
                  <c:v>23.575251278732406</c:v>
                </c:pt>
                <c:pt idx="903">
                  <c:v>23.575308468829281</c:v>
                </c:pt>
                <c:pt idx="904">
                  <c:v>23.575365658002912</c:v>
                </c:pt>
                <c:pt idx="905">
                  <c:v>23.575422846253336</c:v>
                </c:pt>
                <c:pt idx="906">
                  <c:v>23.575480033580526</c:v>
                </c:pt>
                <c:pt idx="907">
                  <c:v>23.57553721998454</c:v>
                </c:pt>
                <c:pt idx="908">
                  <c:v>23.575594405465349</c:v>
                </c:pt>
                <c:pt idx="909">
                  <c:v>23.575651590022979</c:v>
                </c:pt>
                <c:pt idx="910">
                  <c:v>23.575708773657443</c:v>
                </c:pt>
                <c:pt idx="911">
                  <c:v>23.575765956368755</c:v>
                </c:pt>
                <c:pt idx="912">
                  <c:v>23.575823138156924</c:v>
                </c:pt>
                <c:pt idx="913">
                  <c:v>23.575880319021945</c:v>
                </c:pt>
                <c:pt idx="914">
                  <c:v>23.575937498963857</c:v>
                </c:pt>
                <c:pt idx="915">
                  <c:v>23.575994677982646</c:v>
                </c:pt>
                <c:pt idx="916">
                  <c:v>23.57605185607834</c:v>
                </c:pt>
                <c:pt idx="917">
                  <c:v>23.576109033250962</c:v>
                </c:pt>
                <c:pt idx="918">
                  <c:v>23.576166209500489</c:v>
                </c:pt>
                <c:pt idx="919">
                  <c:v>23.576223384826957</c:v>
                </c:pt>
                <c:pt idx="920">
                  <c:v>23.57628055923038</c:v>
                </c:pt>
                <c:pt idx="921">
                  <c:v>23.576337732710748</c:v>
                </c:pt>
                <c:pt idx="922">
                  <c:v>23.576394905268089</c:v>
                </c:pt>
                <c:pt idx="923">
                  <c:v>23.576452076902417</c:v>
                </c:pt>
                <c:pt idx="924">
                  <c:v>23.576509247613721</c:v>
                </c:pt>
                <c:pt idx="925">
                  <c:v>23.576566417402034</c:v>
                </c:pt>
                <c:pt idx="926">
                  <c:v>23.57662358626736</c:v>
                </c:pt>
                <c:pt idx="927">
                  <c:v>23.576680754209725</c:v>
                </c:pt>
                <c:pt idx="928">
                  <c:v>23.57673792122911</c:v>
                </c:pt>
                <c:pt idx="929">
                  <c:v>23.576795087325561</c:v>
                </c:pt>
                <c:pt idx="930">
                  <c:v>23.576852252499059</c:v>
                </c:pt>
                <c:pt idx="931">
                  <c:v>23.576909416749633</c:v>
                </c:pt>
                <c:pt idx="932">
                  <c:v>23.576966580077286</c:v>
                </c:pt>
                <c:pt idx="933">
                  <c:v>23.577023742482041</c:v>
                </c:pt>
                <c:pt idx="934">
                  <c:v>23.577080903963886</c:v>
                </c:pt>
                <c:pt idx="935">
                  <c:v>23.577138064522867</c:v>
                </c:pt>
                <c:pt idx="936">
                  <c:v>23.577195224158949</c:v>
                </c:pt>
                <c:pt idx="937">
                  <c:v>23.577252382872196</c:v>
                </c:pt>
                <c:pt idx="938">
                  <c:v>23.577309540662583</c:v>
                </c:pt>
                <c:pt idx="939">
                  <c:v>23.577366697530135</c:v>
                </c:pt>
                <c:pt idx="940">
                  <c:v>23.577423853474869</c:v>
                </c:pt>
                <c:pt idx="941">
                  <c:v>23.577481008496772</c:v>
                </c:pt>
                <c:pt idx="942">
                  <c:v>23.577538162595875</c:v>
                </c:pt>
                <c:pt idx="943">
                  <c:v>23.577595315772182</c:v>
                </c:pt>
                <c:pt idx="944">
                  <c:v>23.577652468025729</c:v>
                </c:pt>
                <c:pt idx="945">
                  <c:v>23.577709619356487</c:v>
                </c:pt>
                <c:pt idx="946">
                  <c:v>23.577766769764494</c:v>
                </c:pt>
                <c:pt idx="947">
                  <c:v>23.577823919249752</c:v>
                </c:pt>
                <c:pt idx="948">
                  <c:v>23.57788106781226</c:v>
                </c:pt>
                <c:pt idx="949">
                  <c:v>23.577938215452065</c:v>
                </c:pt>
                <c:pt idx="950">
                  <c:v>23.577995362169144</c:v>
                </c:pt>
                <c:pt idx="951">
                  <c:v>23.578052507963541</c:v>
                </c:pt>
                <c:pt idx="952">
                  <c:v>23.578109652835227</c:v>
                </c:pt>
                <c:pt idx="953">
                  <c:v>23.578166796784245</c:v>
                </c:pt>
                <c:pt idx="954">
                  <c:v>23.578223939810584</c:v>
                </c:pt>
                <c:pt idx="955">
                  <c:v>23.578281081914277</c:v>
                </c:pt>
                <c:pt idx="956">
                  <c:v>23.578338223095319</c:v>
                </c:pt>
                <c:pt idx="957">
                  <c:v>23.578395363353735</c:v>
                </c:pt>
                <c:pt idx="958">
                  <c:v>23.578452502689533</c:v>
                </c:pt>
                <c:pt idx="959">
                  <c:v>23.578509641102713</c:v>
                </c:pt>
                <c:pt idx="960">
                  <c:v>23.578566778593302</c:v>
                </c:pt>
                <c:pt idx="961">
                  <c:v>23.578623915161291</c:v>
                </c:pt>
                <c:pt idx="962">
                  <c:v>23.578681050806725</c:v>
                </c:pt>
                <c:pt idx="963">
                  <c:v>23.578738185529563</c:v>
                </c:pt>
                <c:pt idx="964">
                  <c:v>23.578795319329867</c:v>
                </c:pt>
                <c:pt idx="965">
                  <c:v>23.578852452207631</c:v>
                </c:pt>
                <c:pt idx="966">
                  <c:v>23.578909584162862</c:v>
                </c:pt>
                <c:pt idx="967">
                  <c:v>23.57896671519557</c:v>
                </c:pt>
                <c:pt idx="968">
                  <c:v>23.579023845305766</c:v>
                </c:pt>
                <c:pt idx="969">
                  <c:v>23.579080974493476</c:v>
                </c:pt>
                <c:pt idx="970">
                  <c:v>23.579138102758684</c:v>
                </c:pt>
                <c:pt idx="971">
                  <c:v>23.579195230101437</c:v>
                </c:pt>
                <c:pt idx="972">
                  <c:v>23.579252356521721</c:v>
                </c:pt>
                <c:pt idx="973">
                  <c:v>23.57930948201955</c:v>
                </c:pt>
                <c:pt idx="974">
                  <c:v>23.579366606594927</c:v>
                </c:pt>
                <c:pt idx="975">
                  <c:v>23.579423730247903</c:v>
                </c:pt>
                <c:pt idx="976">
                  <c:v>23.579480852978438</c:v>
                </c:pt>
                <c:pt idx="977">
                  <c:v>23.579537974786557</c:v>
                </c:pt>
                <c:pt idx="978">
                  <c:v>23.579595095672321</c:v>
                </c:pt>
                <c:pt idx="979">
                  <c:v>23.579652215635669</c:v>
                </c:pt>
                <c:pt idx="980">
                  <c:v>23.579709334676664</c:v>
                </c:pt>
                <c:pt idx="981">
                  <c:v>23.57976645279528</c:v>
                </c:pt>
                <c:pt idx="982">
                  <c:v>23.579823569991564</c:v>
                </c:pt>
                <c:pt idx="983">
                  <c:v>23.579880686265501</c:v>
                </c:pt>
                <c:pt idx="984">
                  <c:v>23.579937801617113</c:v>
                </c:pt>
                <c:pt idx="985">
                  <c:v>23.579994916046424</c:v>
                </c:pt>
                <c:pt idx="986">
                  <c:v>23.580052029553425</c:v>
                </c:pt>
                <c:pt idx="987">
                  <c:v>23.580109142138127</c:v>
                </c:pt>
                <c:pt idx="988">
                  <c:v>23.580166253800538</c:v>
                </c:pt>
                <c:pt idx="989">
                  <c:v>23.5802233645407</c:v>
                </c:pt>
                <c:pt idx="990">
                  <c:v>23.580280474358599</c:v>
                </c:pt>
                <c:pt idx="991">
                  <c:v>23.580337583254249</c:v>
                </c:pt>
                <c:pt idx="992">
                  <c:v>23.58039469122766</c:v>
                </c:pt>
                <c:pt idx="993">
                  <c:v>23.580451798278851</c:v>
                </c:pt>
                <c:pt idx="994">
                  <c:v>23.580508904407836</c:v>
                </c:pt>
                <c:pt idx="995">
                  <c:v>23.580566009614603</c:v>
                </c:pt>
                <c:pt idx="996">
                  <c:v>23.580623113899186</c:v>
                </c:pt>
                <c:pt idx="997">
                  <c:v>23.580680217261598</c:v>
                </c:pt>
                <c:pt idx="998">
                  <c:v>23.580737319701836</c:v>
                </c:pt>
                <c:pt idx="999">
                  <c:v>23.580794421219917</c:v>
                </c:pt>
                <c:pt idx="1000">
                  <c:v>23.580851521815873</c:v>
                </c:pt>
              </c:numCache>
            </c:numRef>
          </c:yVal>
          <c:smooth val="0"/>
          <c:extLst>
            <c:ext xmlns:c16="http://schemas.microsoft.com/office/drawing/2014/chart" uri="{C3380CC4-5D6E-409C-BE32-E72D297353CC}">
              <c16:uniqueId val="{00000002-B98B-46BB-BB51-DAAA2071230C}"/>
            </c:ext>
          </c:extLst>
        </c:ser>
        <c:dLbls>
          <c:showLegendKey val="0"/>
          <c:showVal val="0"/>
          <c:showCatName val="0"/>
          <c:showSerName val="0"/>
          <c:showPercent val="0"/>
          <c:showBubbleSize val="0"/>
        </c:dLbls>
        <c:axId val="149500672"/>
        <c:axId val="149502592"/>
      </c:scatterChart>
      <c:valAx>
        <c:axId val="149500672"/>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1"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fr-FR"/>
          </a:p>
        </c:txPr>
        <c:crossAx val="149502592"/>
        <c:crosses val="autoZero"/>
        <c:crossBetween val="midCat"/>
      </c:valAx>
      <c:valAx>
        <c:axId val="149502592"/>
        <c:scaling>
          <c:orientation val="minMax"/>
        </c:scaling>
        <c:delete val="0"/>
        <c:axPos val="l"/>
        <c:majorGridlines>
          <c:spPr>
            <a:ln w="3175">
              <a:solidFill>
                <a:srgbClr val="000000"/>
              </a:solidFill>
              <a:prstDash val="sysDash"/>
            </a:ln>
          </c:spPr>
        </c:majorGridlines>
        <c:title>
          <c:tx>
            <c:rich>
              <a:bodyPr/>
              <a:lstStyle/>
              <a:p>
                <a:pPr>
                  <a:defRPr sz="1200" b="1" i="0" u="none" strike="noStrike" baseline="0">
                    <a:solidFill>
                      <a:srgbClr val="000000"/>
                    </a:solidFill>
                    <a:latin typeface="Arial"/>
                    <a:ea typeface="Arial"/>
                    <a:cs typeface="Arial"/>
                  </a:defRPr>
                </a:pPr>
                <a:r>
                  <a:rPr lang="fr-FR"/>
                  <a:t>Forces [N]</a:t>
                </a:r>
              </a:p>
            </c:rich>
          </c:tx>
          <c:layout>
            <c:manualLayout>
              <c:xMode val="edge"/>
              <c:yMode val="edge"/>
              <c:x val="2.0047169811320761E-2"/>
              <c:y val="0.333334383202099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fr-FR"/>
          </a:p>
        </c:txPr>
        <c:crossAx val="149500672"/>
        <c:crosses val="autoZero"/>
        <c:crossBetween val="midCat"/>
      </c:valAx>
      <c:spPr>
        <a:noFill/>
        <a:ln w="12700">
          <a:solidFill>
            <a:srgbClr val="808080"/>
          </a:solidFill>
          <a:prstDash val="solid"/>
        </a:ln>
      </c:spPr>
    </c:plotArea>
    <c:legend>
      <c:legendPos val="r"/>
      <c:layout>
        <c:manualLayout>
          <c:xMode val="edge"/>
          <c:yMode val="edge"/>
          <c:x val="0.83018929827167842"/>
          <c:y val="0.34444479440069992"/>
          <c:w val="0.13050326845936713"/>
          <c:h val="0.22888888888888886"/>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Courbes!$B$140</c:f>
          <c:strCache>
            <c:ptCount val="1"/>
            <c:pt idx="0">
              <c:v>Vitesse</c:v>
            </c:pt>
          </c:strCache>
        </c:strRef>
      </c:tx>
      <c:overlay val="1"/>
      <c:txPr>
        <a:bodyPr/>
        <a:lstStyle/>
        <a:p>
          <a:pPr>
            <a:defRPr sz="1200" b="1" i="0" u="none" strike="noStrike" baseline="0">
              <a:solidFill>
                <a:srgbClr val="000000"/>
              </a:solidFill>
              <a:latin typeface="Arial"/>
              <a:ea typeface="Arial"/>
              <a:cs typeface="Arial"/>
            </a:defRPr>
          </a:pPr>
          <a:endParaRPr lang="fr-FR"/>
        </a:p>
      </c:txPr>
    </c:title>
    <c:autoTitleDeleted val="0"/>
    <c:plotArea>
      <c:layout>
        <c:manualLayout>
          <c:layoutTarget val="inner"/>
          <c:xMode val="edge"/>
          <c:yMode val="edge"/>
          <c:x val="0.10495283018867926"/>
          <c:y val="9.4771544282144501E-2"/>
          <c:w val="0.87617924528302116"/>
          <c:h val="0.74183243282920064"/>
        </c:manualLayout>
      </c:layout>
      <c:scatterChart>
        <c:scatterStyle val="lineMarker"/>
        <c:varyColors val="0"/>
        <c:ser>
          <c:idx val="0"/>
          <c:order val="0"/>
          <c:tx>
            <c:strRef>
              <c:f>Courbes!$B$140</c:f>
              <c:strCache>
                <c:ptCount val="1"/>
                <c:pt idx="0">
                  <c:v>Vitesse</c:v>
                </c:pt>
              </c:strCache>
            </c:strRef>
          </c:tx>
          <c:spPr>
            <a:ln w="25400">
              <a:solidFill>
                <a:srgbClr val="800000"/>
              </a:solidFill>
              <a:prstDash val="solid"/>
            </a:ln>
          </c:spPr>
          <c:marker>
            <c:symbol val="none"/>
          </c:marker>
          <c:xVal>
            <c:numRef>
              <c:f>Calculs!$B$4:$B$1004</c:f>
              <c:numCache>
                <c:formatCode>0.00</c:formatCode>
                <c:ptCount val="1001"/>
                <c:pt idx="0">
                  <c:v>3.2</c:v>
                </c:pt>
                <c:pt idx="1">
                  <c:v>3.21</c:v>
                </c:pt>
                <c:pt idx="2">
                  <c:v>3.2199999999999998</c:v>
                </c:pt>
                <c:pt idx="3">
                  <c:v>3.2299999999999995</c:v>
                </c:pt>
                <c:pt idx="4">
                  <c:v>3.2399999999999993</c:v>
                </c:pt>
                <c:pt idx="5">
                  <c:v>3.2499999999999991</c:v>
                </c:pt>
                <c:pt idx="6">
                  <c:v>3.2599999999999989</c:v>
                </c:pt>
                <c:pt idx="7">
                  <c:v>3.2699999999999987</c:v>
                </c:pt>
                <c:pt idx="8">
                  <c:v>3.2799999999999985</c:v>
                </c:pt>
                <c:pt idx="9">
                  <c:v>3.2899999999999983</c:v>
                </c:pt>
                <c:pt idx="10">
                  <c:v>3.299999999999998</c:v>
                </c:pt>
                <c:pt idx="11">
                  <c:v>3.3099999999999978</c:v>
                </c:pt>
                <c:pt idx="12">
                  <c:v>3.3199999999999976</c:v>
                </c:pt>
                <c:pt idx="13">
                  <c:v>3.3299999999999974</c:v>
                </c:pt>
                <c:pt idx="14">
                  <c:v>3.3399999999999972</c:v>
                </c:pt>
                <c:pt idx="15">
                  <c:v>3.349999999999997</c:v>
                </c:pt>
                <c:pt idx="16">
                  <c:v>3.3599999999999968</c:v>
                </c:pt>
                <c:pt idx="17">
                  <c:v>3.3699999999999966</c:v>
                </c:pt>
                <c:pt idx="18">
                  <c:v>3.3799999999999963</c:v>
                </c:pt>
                <c:pt idx="19">
                  <c:v>3.3899999999999961</c:v>
                </c:pt>
                <c:pt idx="20">
                  <c:v>3.3999999999999959</c:v>
                </c:pt>
                <c:pt idx="21">
                  <c:v>3.4099999999999957</c:v>
                </c:pt>
                <c:pt idx="22">
                  <c:v>3.4199999999999955</c:v>
                </c:pt>
                <c:pt idx="23">
                  <c:v>3.4299999999999953</c:v>
                </c:pt>
                <c:pt idx="24">
                  <c:v>3.4399999999999951</c:v>
                </c:pt>
                <c:pt idx="25">
                  <c:v>3.4499999999999948</c:v>
                </c:pt>
                <c:pt idx="26">
                  <c:v>3.4599999999999946</c:v>
                </c:pt>
                <c:pt idx="27">
                  <c:v>3.4699999999999944</c:v>
                </c:pt>
                <c:pt idx="28">
                  <c:v>3.4799999999999942</c:v>
                </c:pt>
                <c:pt idx="29">
                  <c:v>3.489999999999994</c:v>
                </c:pt>
                <c:pt idx="30">
                  <c:v>3.4999999999999938</c:v>
                </c:pt>
                <c:pt idx="31">
                  <c:v>3.5099999999999936</c:v>
                </c:pt>
                <c:pt idx="32">
                  <c:v>3.5199999999999934</c:v>
                </c:pt>
                <c:pt idx="33">
                  <c:v>3.5299999999999931</c:v>
                </c:pt>
                <c:pt idx="34">
                  <c:v>3.5399999999999929</c:v>
                </c:pt>
                <c:pt idx="35">
                  <c:v>3.5499999999999927</c:v>
                </c:pt>
                <c:pt idx="36">
                  <c:v>3.5599999999999925</c:v>
                </c:pt>
                <c:pt idx="37">
                  <c:v>3.5699999999999923</c:v>
                </c:pt>
                <c:pt idx="38">
                  <c:v>3.5799999999999921</c:v>
                </c:pt>
                <c:pt idx="39">
                  <c:v>3.5899999999999919</c:v>
                </c:pt>
                <c:pt idx="40">
                  <c:v>3.5999999999999917</c:v>
                </c:pt>
                <c:pt idx="41">
                  <c:v>3.6099999999999914</c:v>
                </c:pt>
                <c:pt idx="42">
                  <c:v>3.6199999999999912</c:v>
                </c:pt>
                <c:pt idx="43">
                  <c:v>3.629999999999991</c:v>
                </c:pt>
                <c:pt idx="44">
                  <c:v>3.6399999999999908</c:v>
                </c:pt>
                <c:pt idx="45">
                  <c:v>3.6499999999999906</c:v>
                </c:pt>
                <c:pt idx="46">
                  <c:v>3.6599999999999904</c:v>
                </c:pt>
                <c:pt idx="47">
                  <c:v>3.6699999999999902</c:v>
                </c:pt>
                <c:pt idx="48">
                  <c:v>3.6799999999999899</c:v>
                </c:pt>
                <c:pt idx="49">
                  <c:v>3.6899999999999897</c:v>
                </c:pt>
                <c:pt idx="50">
                  <c:v>3.6999999999999895</c:v>
                </c:pt>
                <c:pt idx="51">
                  <c:v>3.7099999999999893</c:v>
                </c:pt>
                <c:pt idx="52">
                  <c:v>3.7199999999999891</c:v>
                </c:pt>
                <c:pt idx="53">
                  <c:v>3.7299999999999889</c:v>
                </c:pt>
                <c:pt idx="54">
                  <c:v>3.7399999999999887</c:v>
                </c:pt>
                <c:pt idx="55">
                  <c:v>3.7499999999999885</c:v>
                </c:pt>
                <c:pt idx="56">
                  <c:v>3.7599999999999882</c:v>
                </c:pt>
                <c:pt idx="57">
                  <c:v>3.769999999999988</c:v>
                </c:pt>
                <c:pt idx="58">
                  <c:v>3.7799999999999878</c:v>
                </c:pt>
                <c:pt idx="59">
                  <c:v>3.7899999999999876</c:v>
                </c:pt>
                <c:pt idx="60">
                  <c:v>3.7999999999999874</c:v>
                </c:pt>
                <c:pt idx="61">
                  <c:v>3.8099999999999872</c:v>
                </c:pt>
                <c:pt idx="62">
                  <c:v>3.819999999999987</c:v>
                </c:pt>
                <c:pt idx="63">
                  <c:v>3.8299999999999867</c:v>
                </c:pt>
                <c:pt idx="64">
                  <c:v>3.8399999999999865</c:v>
                </c:pt>
                <c:pt idx="65">
                  <c:v>3.8499999999999863</c:v>
                </c:pt>
                <c:pt idx="66">
                  <c:v>3.8599999999999861</c:v>
                </c:pt>
                <c:pt idx="67">
                  <c:v>3.8699999999999859</c:v>
                </c:pt>
                <c:pt idx="68">
                  <c:v>3.8799999999999857</c:v>
                </c:pt>
                <c:pt idx="69">
                  <c:v>3.8899999999999855</c:v>
                </c:pt>
                <c:pt idx="70">
                  <c:v>3.8999999999999853</c:v>
                </c:pt>
                <c:pt idx="71">
                  <c:v>3.909999999999985</c:v>
                </c:pt>
                <c:pt idx="72">
                  <c:v>3.9199999999999848</c:v>
                </c:pt>
                <c:pt idx="73">
                  <c:v>3.9299999999999846</c:v>
                </c:pt>
                <c:pt idx="74">
                  <c:v>3.9399999999999844</c:v>
                </c:pt>
                <c:pt idx="75">
                  <c:v>3.9499999999999842</c:v>
                </c:pt>
                <c:pt idx="76">
                  <c:v>3.959999999999984</c:v>
                </c:pt>
                <c:pt idx="77">
                  <c:v>3.9699999999999838</c:v>
                </c:pt>
                <c:pt idx="78">
                  <c:v>3.9799999999999836</c:v>
                </c:pt>
                <c:pt idx="79">
                  <c:v>3.9899999999999833</c:v>
                </c:pt>
                <c:pt idx="80">
                  <c:v>3.9999999999999831</c:v>
                </c:pt>
                <c:pt idx="81">
                  <c:v>4.0099999999999829</c:v>
                </c:pt>
                <c:pt idx="82">
                  <c:v>4.0199999999999827</c:v>
                </c:pt>
                <c:pt idx="83">
                  <c:v>4.0299999999999825</c:v>
                </c:pt>
                <c:pt idx="84">
                  <c:v>4.0399999999999823</c:v>
                </c:pt>
                <c:pt idx="85">
                  <c:v>4.0499999999999821</c:v>
                </c:pt>
                <c:pt idx="86">
                  <c:v>4.0599999999999818</c:v>
                </c:pt>
                <c:pt idx="87">
                  <c:v>4.0699999999999816</c:v>
                </c:pt>
                <c:pt idx="88">
                  <c:v>4.0799999999999814</c:v>
                </c:pt>
                <c:pt idx="89">
                  <c:v>4.0899999999999812</c:v>
                </c:pt>
                <c:pt idx="90">
                  <c:v>4.099999999999981</c:v>
                </c:pt>
                <c:pt idx="91">
                  <c:v>4.1099999999999808</c:v>
                </c:pt>
                <c:pt idx="92">
                  <c:v>4.1199999999999806</c:v>
                </c:pt>
                <c:pt idx="93">
                  <c:v>4.1299999999999804</c:v>
                </c:pt>
                <c:pt idx="94">
                  <c:v>4.1399999999999801</c:v>
                </c:pt>
                <c:pt idx="95">
                  <c:v>4.1499999999999799</c:v>
                </c:pt>
                <c:pt idx="96">
                  <c:v>4.1599999999999797</c:v>
                </c:pt>
                <c:pt idx="97">
                  <c:v>4.1699999999999795</c:v>
                </c:pt>
                <c:pt idx="98">
                  <c:v>4.1799999999999793</c:v>
                </c:pt>
                <c:pt idx="99">
                  <c:v>4.1899999999999791</c:v>
                </c:pt>
                <c:pt idx="100">
                  <c:v>4.1999999999999789</c:v>
                </c:pt>
                <c:pt idx="101">
                  <c:v>4.2999999999999785</c:v>
                </c:pt>
                <c:pt idx="102">
                  <c:v>4.3999999999999782</c:v>
                </c:pt>
                <c:pt idx="103">
                  <c:v>4.4999999999999778</c:v>
                </c:pt>
                <c:pt idx="104">
                  <c:v>4.5999999999999774</c:v>
                </c:pt>
                <c:pt idx="105">
                  <c:v>4.6999999999999771</c:v>
                </c:pt>
                <c:pt idx="106">
                  <c:v>4.7999999999999767</c:v>
                </c:pt>
                <c:pt idx="107">
                  <c:v>4.8999999999999764</c:v>
                </c:pt>
                <c:pt idx="108">
                  <c:v>4.999999999999976</c:v>
                </c:pt>
                <c:pt idx="109">
                  <c:v>5.0999999999999757</c:v>
                </c:pt>
                <c:pt idx="110">
                  <c:v>5.1999999999999753</c:v>
                </c:pt>
                <c:pt idx="111">
                  <c:v>5.299999999999975</c:v>
                </c:pt>
                <c:pt idx="112">
                  <c:v>5.3999999999999746</c:v>
                </c:pt>
                <c:pt idx="113">
                  <c:v>5.4999999999999742</c:v>
                </c:pt>
                <c:pt idx="114">
                  <c:v>5.5999999999999739</c:v>
                </c:pt>
                <c:pt idx="115">
                  <c:v>5.6999999999999735</c:v>
                </c:pt>
                <c:pt idx="116">
                  <c:v>5.7999999999999732</c:v>
                </c:pt>
                <c:pt idx="117">
                  <c:v>5.8999999999999728</c:v>
                </c:pt>
                <c:pt idx="118">
                  <c:v>5.9999999999999725</c:v>
                </c:pt>
                <c:pt idx="119">
                  <c:v>6.0999999999999721</c:v>
                </c:pt>
                <c:pt idx="120">
                  <c:v>6.1999999999999718</c:v>
                </c:pt>
                <c:pt idx="121">
                  <c:v>6.2999999999999714</c:v>
                </c:pt>
                <c:pt idx="122">
                  <c:v>6.399999999999971</c:v>
                </c:pt>
                <c:pt idx="123">
                  <c:v>6.4999999999999707</c:v>
                </c:pt>
                <c:pt idx="124">
                  <c:v>6.5999999999999703</c:v>
                </c:pt>
                <c:pt idx="125">
                  <c:v>6.69999999999997</c:v>
                </c:pt>
                <c:pt idx="126">
                  <c:v>6.7999999999999696</c:v>
                </c:pt>
                <c:pt idx="127">
                  <c:v>6.8999999999999693</c:v>
                </c:pt>
                <c:pt idx="128">
                  <c:v>6.9999999999999689</c:v>
                </c:pt>
                <c:pt idx="129">
                  <c:v>7.0999999999999686</c:v>
                </c:pt>
                <c:pt idx="130">
                  <c:v>7.1999999999999682</c:v>
                </c:pt>
                <c:pt idx="131">
                  <c:v>7.2999999999999678</c:v>
                </c:pt>
                <c:pt idx="132">
                  <c:v>7.3999999999999675</c:v>
                </c:pt>
                <c:pt idx="133">
                  <c:v>7.4999999999999671</c:v>
                </c:pt>
                <c:pt idx="134">
                  <c:v>7.5999999999999668</c:v>
                </c:pt>
                <c:pt idx="135">
                  <c:v>7.6999999999999664</c:v>
                </c:pt>
                <c:pt idx="136">
                  <c:v>7.7999999999999661</c:v>
                </c:pt>
                <c:pt idx="137">
                  <c:v>7.8999999999999657</c:v>
                </c:pt>
                <c:pt idx="138">
                  <c:v>7.9999999999999654</c:v>
                </c:pt>
                <c:pt idx="139">
                  <c:v>8.0999999999999659</c:v>
                </c:pt>
                <c:pt idx="140">
                  <c:v>8.1999999999999655</c:v>
                </c:pt>
                <c:pt idx="141">
                  <c:v>8.2999999999999652</c:v>
                </c:pt>
                <c:pt idx="142">
                  <c:v>8.3999999999999648</c:v>
                </c:pt>
                <c:pt idx="143">
                  <c:v>8.4999999999999645</c:v>
                </c:pt>
                <c:pt idx="144">
                  <c:v>8.5999999999999641</c:v>
                </c:pt>
                <c:pt idx="145">
                  <c:v>8.6999999999999638</c:v>
                </c:pt>
                <c:pt idx="146">
                  <c:v>8.7999999999999634</c:v>
                </c:pt>
                <c:pt idx="147">
                  <c:v>8.8999999999999631</c:v>
                </c:pt>
                <c:pt idx="148">
                  <c:v>8.9999999999999627</c:v>
                </c:pt>
                <c:pt idx="149">
                  <c:v>9.0999999999999623</c:v>
                </c:pt>
                <c:pt idx="150">
                  <c:v>9.199999999999962</c:v>
                </c:pt>
                <c:pt idx="151">
                  <c:v>9.2999999999999616</c:v>
                </c:pt>
                <c:pt idx="152">
                  <c:v>9.3999999999999613</c:v>
                </c:pt>
                <c:pt idx="153">
                  <c:v>9.4999999999999609</c:v>
                </c:pt>
                <c:pt idx="154">
                  <c:v>9.5999999999999606</c:v>
                </c:pt>
                <c:pt idx="155">
                  <c:v>9.6999999999999602</c:v>
                </c:pt>
                <c:pt idx="156">
                  <c:v>9.7999999999999599</c:v>
                </c:pt>
                <c:pt idx="157">
                  <c:v>9.8999999999999595</c:v>
                </c:pt>
                <c:pt idx="158">
                  <c:v>9.9999999999999591</c:v>
                </c:pt>
                <c:pt idx="159">
                  <c:v>10.099999999999959</c:v>
                </c:pt>
                <c:pt idx="160">
                  <c:v>10.199999999999958</c:v>
                </c:pt>
                <c:pt idx="161">
                  <c:v>10.299999999999958</c:v>
                </c:pt>
                <c:pt idx="162">
                  <c:v>10.399999999999958</c:v>
                </c:pt>
                <c:pt idx="163">
                  <c:v>10.499999999999957</c:v>
                </c:pt>
                <c:pt idx="164">
                  <c:v>10.599999999999957</c:v>
                </c:pt>
                <c:pt idx="165">
                  <c:v>10.699999999999957</c:v>
                </c:pt>
                <c:pt idx="166">
                  <c:v>10.799999999999956</c:v>
                </c:pt>
                <c:pt idx="167">
                  <c:v>10.899999999999956</c:v>
                </c:pt>
                <c:pt idx="168">
                  <c:v>10.999999999999956</c:v>
                </c:pt>
                <c:pt idx="169">
                  <c:v>11.099999999999955</c:v>
                </c:pt>
                <c:pt idx="170">
                  <c:v>11.199999999999955</c:v>
                </c:pt>
                <c:pt idx="171">
                  <c:v>11.299999999999955</c:v>
                </c:pt>
                <c:pt idx="172">
                  <c:v>11.399999999999954</c:v>
                </c:pt>
                <c:pt idx="173">
                  <c:v>11.499999999999954</c:v>
                </c:pt>
                <c:pt idx="174">
                  <c:v>11.599999999999953</c:v>
                </c:pt>
                <c:pt idx="175">
                  <c:v>11.699999999999953</c:v>
                </c:pt>
                <c:pt idx="176">
                  <c:v>11.799999999999953</c:v>
                </c:pt>
                <c:pt idx="177">
                  <c:v>11.899999999999952</c:v>
                </c:pt>
                <c:pt idx="178">
                  <c:v>11.999999999999952</c:v>
                </c:pt>
                <c:pt idx="179">
                  <c:v>12.099999999999952</c:v>
                </c:pt>
                <c:pt idx="180">
                  <c:v>12.199999999999951</c:v>
                </c:pt>
                <c:pt idx="181">
                  <c:v>12.299999999999951</c:v>
                </c:pt>
                <c:pt idx="182">
                  <c:v>12.399999999999951</c:v>
                </c:pt>
                <c:pt idx="183">
                  <c:v>12.49999999999995</c:v>
                </c:pt>
                <c:pt idx="184">
                  <c:v>12.59999999999995</c:v>
                </c:pt>
                <c:pt idx="185">
                  <c:v>12.69999999999995</c:v>
                </c:pt>
                <c:pt idx="186">
                  <c:v>12.799999999999949</c:v>
                </c:pt>
                <c:pt idx="187">
                  <c:v>12.899999999999949</c:v>
                </c:pt>
                <c:pt idx="188">
                  <c:v>12.999999999999948</c:v>
                </c:pt>
                <c:pt idx="189">
                  <c:v>13.099999999999948</c:v>
                </c:pt>
                <c:pt idx="190">
                  <c:v>13.199999999999948</c:v>
                </c:pt>
                <c:pt idx="191">
                  <c:v>13.299999999999947</c:v>
                </c:pt>
                <c:pt idx="192">
                  <c:v>13.399999999999947</c:v>
                </c:pt>
                <c:pt idx="193">
                  <c:v>13.499999999999947</c:v>
                </c:pt>
                <c:pt idx="194">
                  <c:v>13.599999999999946</c:v>
                </c:pt>
                <c:pt idx="195">
                  <c:v>13.699999999999946</c:v>
                </c:pt>
                <c:pt idx="196">
                  <c:v>13.799999999999946</c:v>
                </c:pt>
                <c:pt idx="197">
                  <c:v>13.899999999999945</c:v>
                </c:pt>
                <c:pt idx="198">
                  <c:v>13.999999999999945</c:v>
                </c:pt>
                <c:pt idx="199">
                  <c:v>14.099999999999945</c:v>
                </c:pt>
                <c:pt idx="200">
                  <c:v>14.199999999999944</c:v>
                </c:pt>
                <c:pt idx="201">
                  <c:v>14.299999999999944</c:v>
                </c:pt>
                <c:pt idx="202">
                  <c:v>14.399999999999944</c:v>
                </c:pt>
                <c:pt idx="203">
                  <c:v>14.499999999999943</c:v>
                </c:pt>
                <c:pt idx="204">
                  <c:v>14.599999999999943</c:v>
                </c:pt>
                <c:pt idx="205">
                  <c:v>14.699999999999942</c:v>
                </c:pt>
                <c:pt idx="206">
                  <c:v>14.799999999999942</c:v>
                </c:pt>
                <c:pt idx="207">
                  <c:v>14.899999999999942</c:v>
                </c:pt>
                <c:pt idx="208">
                  <c:v>14.999999999999941</c:v>
                </c:pt>
                <c:pt idx="209">
                  <c:v>15.099999999999941</c:v>
                </c:pt>
                <c:pt idx="210">
                  <c:v>15.199999999999941</c:v>
                </c:pt>
                <c:pt idx="211">
                  <c:v>15.29999999999994</c:v>
                </c:pt>
                <c:pt idx="212">
                  <c:v>15.39999999999994</c:v>
                </c:pt>
                <c:pt idx="213">
                  <c:v>15.49999999999994</c:v>
                </c:pt>
                <c:pt idx="214">
                  <c:v>15.599999999999939</c:v>
                </c:pt>
                <c:pt idx="215">
                  <c:v>15.699999999999939</c:v>
                </c:pt>
                <c:pt idx="216">
                  <c:v>15.799999999999939</c:v>
                </c:pt>
                <c:pt idx="217">
                  <c:v>15.899999999999938</c:v>
                </c:pt>
                <c:pt idx="218">
                  <c:v>15.999999999999938</c:v>
                </c:pt>
                <c:pt idx="219">
                  <c:v>16.099999999999937</c:v>
                </c:pt>
                <c:pt idx="220">
                  <c:v>16.199999999999939</c:v>
                </c:pt>
                <c:pt idx="221">
                  <c:v>16.29999999999994</c:v>
                </c:pt>
                <c:pt idx="222">
                  <c:v>16.399999999999942</c:v>
                </c:pt>
                <c:pt idx="223">
                  <c:v>16.499999999999943</c:v>
                </c:pt>
                <c:pt idx="224">
                  <c:v>16.599999999999945</c:v>
                </c:pt>
                <c:pt idx="225">
                  <c:v>16.699999999999946</c:v>
                </c:pt>
                <c:pt idx="226">
                  <c:v>16.799999999999947</c:v>
                </c:pt>
                <c:pt idx="227">
                  <c:v>16.899999999999949</c:v>
                </c:pt>
                <c:pt idx="228">
                  <c:v>16.99999999999995</c:v>
                </c:pt>
                <c:pt idx="229">
                  <c:v>17.099999999999952</c:v>
                </c:pt>
                <c:pt idx="230">
                  <c:v>17.199999999999953</c:v>
                </c:pt>
                <c:pt idx="231">
                  <c:v>17.299999999999955</c:v>
                </c:pt>
                <c:pt idx="232">
                  <c:v>17.399999999999956</c:v>
                </c:pt>
                <c:pt idx="233">
                  <c:v>17.499999999999957</c:v>
                </c:pt>
                <c:pt idx="234">
                  <c:v>17.599999999999959</c:v>
                </c:pt>
                <c:pt idx="235">
                  <c:v>17.69999999999996</c:v>
                </c:pt>
                <c:pt idx="236">
                  <c:v>17.799999999999962</c:v>
                </c:pt>
                <c:pt idx="237">
                  <c:v>17.899999999999963</c:v>
                </c:pt>
                <c:pt idx="238">
                  <c:v>17.999999999999964</c:v>
                </c:pt>
                <c:pt idx="239">
                  <c:v>18.099999999999966</c:v>
                </c:pt>
                <c:pt idx="240">
                  <c:v>18.199999999999967</c:v>
                </c:pt>
                <c:pt idx="241">
                  <c:v>18.299999999999969</c:v>
                </c:pt>
                <c:pt idx="242">
                  <c:v>18.39999999999997</c:v>
                </c:pt>
                <c:pt idx="243">
                  <c:v>18.499999999999972</c:v>
                </c:pt>
                <c:pt idx="244">
                  <c:v>18.599999999999973</c:v>
                </c:pt>
                <c:pt idx="245">
                  <c:v>18.699999999999974</c:v>
                </c:pt>
                <c:pt idx="246">
                  <c:v>18.799999999999976</c:v>
                </c:pt>
                <c:pt idx="247">
                  <c:v>18.899999999999977</c:v>
                </c:pt>
                <c:pt idx="248">
                  <c:v>18.999999999999979</c:v>
                </c:pt>
                <c:pt idx="249">
                  <c:v>19.09999999999998</c:v>
                </c:pt>
                <c:pt idx="250">
                  <c:v>19.199999999999982</c:v>
                </c:pt>
                <c:pt idx="251">
                  <c:v>19.299999999999983</c:v>
                </c:pt>
                <c:pt idx="252">
                  <c:v>19.399999999999984</c:v>
                </c:pt>
                <c:pt idx="253">
                  <c:v>19.499999999999986</c:v>
                </c:pt>
                <c:pt idx="254">
                  <c:v>19.599999999999987</c:v>
                </c:pt>
                <c:pt idx="255">
                  <c:v>19.699999999999989</c:v>
                </c:pt>
                <c:pt idx="256">
                  <c:v>19.79999999999999</c:v>
                </c:pt>
                <c:pt idx="257">
                  <c:v>19.899999999999991</c:v>
                </c:pt>
                <c:pt idx="258">
                  <c:v>19.999999999999993</c:v>
                </c:pt>
                <c:pt idx="259">
                  <c:v>20.099999999999994</c:v>
                </c:pt>
                <c:pt idx="260">
                  <c:v>20.199999999999996</c:v>
                </c:pt>
                <c:pt idx="261">
                  <c:v>20.299999999999997</c:v>
                </c:pt>
                <c:pt idx="262">
                  <c:v>20.399999999999999</c:v>
                </c:pt>
                <c:pt idx="263">
                  <c:v>20.5</c:v>
                </c:pt>
                <c:pt idx="264">
                  <c:v>20.6</c:v>
                </c:pt>
                <c:pt idx="265">
                  <c:v>20.700000000000003</c:v>
                </c:pt>
                <c:pt idx="266">
                  <c:v>20.800000000000004</c:v>
                </c:pt>
                <c:pt idx="267">
                  <c:v>20.900000000000006</c:v>
                </c:pt>
                <c:pt idx="268">
                  <c:v>21.000000000000007</c:v>
                </c:pt>
                <c:pt idx="269">
                  <c:v>21.100000000000009</c:v>
                </c:pt>
                <c:pt idx="270">
                  <c:v>21.20000000000001</c:v>
                </c:pt>
                <c:pt idx="271">
                  <c:v>21.300000000000011</c:v>
                </c:pt>
                <c:pt idx="272">
                  <c:v>21.400000000000013</c:v>
                </c:pt>
                <c:pt idx="273">
                  <c:v>21.500000000000014</c:v>
                </c:pt>
                <c:pt idx="274">
                  <c:v>21.600000000000016</c:v>
                </c:pt>
                <c:pt idx="275">
                  <c:v>21.700000000000017</c:v>
                </c:pt>
                <c:pt idx="276">
                  <c:v>21.800000000000018</c:v>
                </c:pt>
                <c:pt idx="277">
                  <c:v>21.90000000000002</c:v>
                </c:pt>
                <c:pt idx="278">
                  <c:v>22.000000000000021</c:v>
                </c:pt>
                <c:pt idx="279">
                  <c:v>22.100000000000023</c:v>
                </c:pt>
                <c:pt idx="280">
                  <c:v>22.200000000000024</c:v>
                </c:pt>
                <c:pt idx="281">
                  <c:v>22.300000000000026</c:v>
                </c:pt>
                <c:pt idx="282">
                  <c:v>22.400000000000027</c:v>
                </c:pt>
                <c:pt idx="283">
                  <c:v>22.500000000000028</c:v>
                </c:pt>
                <c:pt idx="284">
                  <c:v>22.60000000000003</c:v>
                </c:pt>
                <c:pt idx="285">
                  <c:v>22.700000000000031</c:v>
                </c:pt>
                <c:pt idx="286">
                  <c:v>22.800000000000033</c:v>
                </c:pt>
                <c:pt idx="287">
                  <c:v>22.900000000000034</c:v>
                </c:pt>
                <c:pt idx="288">
                  <c:v>23.000000000000036</c:v>
                </c:pt>
                <c:pt idx="289">
                  <c:v>23.100000000000037</c:v>
                </c:pt>
                <c:pt idx="290">
                  <c:v>23.200000000000038</c:v>
                </c:pt>
                <c:pt idx="291">
                  <c:v>23.30000000000004</c:v>
                </c:pt>
                <c:pt idx="292">
                  <c:v>23.400000000000041</c:v>
                </c:pt>
                <c:pt idx="293">
                  <c:v>23.500000000000043</c:v>
                </c:pt>
                <c:pt idx="294">
                  <c:v>23.600000000000044</c:v>
                </c:pt>
                <c:pt idx="295">
                  <c:v>23.700000000000045</c:v>
                </c:pt>
                <c:pt idx="296">
                  <c:v>23.800000000000047</c:v>
                </c:pt>
                <c:pt idx="297">
                  <c:v>23.900000000000048</c:v>
                </c:pt>
                <c:pt idx="298">
                  <c:v>24.00000000000005</c:v>
                </c:pt>
                <c:pt idx="299">
                  <c:v>24.100000000000051</c:v>
                </c:pt>
                <c:pt idx="300">
                  <c:v>24.200000000000053</c:v>
                </c:pt>
                <c:pt idx="301">
                  <c:v>24.300000000000054</c:v>
                </c:pt>
                <c:pt idx="302">
                  <c:v>24.400000000000055</c:v>
                </c:pt>
                <c:pt idx="303">
                  <c:v>24.500000000000057</c:v>
                </c:pt>
                <c:pt idx="304">
                  <c:v>24.600000000000058</c:v>
                </c:pt>
                <c:pt idx="305">
                  <c:v>24.70000000000006</c:v>
                </c:pt>
                <c:pt idx="306">
                  <c:v>24.800000000000061</c:v>
                </c:pt>
                <c:pt idx="307">
                  <c:v>24.900000000000063</c:v>
                </c:pt>
                <c:pt idx="308">
                  <c:v>25.000000000000064</c:v>
                </c:pt>
                <c:pt idx="309">
                  <c:v>25.100000000000065</c:v>
                </c:pt>
                <c:pt idx="310">
                  <c:v>25.200000000000067</c:v>
                </c:pt>
                <c:pt idx="311">
                  <c:v>25.300000000000068</c:v>
                </c:pt>
                <c:pt idx="312">
                  <c:v>25.40000000000007</c:v>
                </c:pt>
                <c:pt idx="313">
                  <c:v>25.500000000000071</c:v>
                </c:pt>
                <c:pt idx="314">
                  <c:v>25.600000000000072</c:v>
                </c:pt>
                <c:pt idx="315">
                  <c:v>25.700000000000074</c:v>
                </c:pt>
                <c:pt idx="316">
                  <c:v>25.800000000000075</c:v>
                </c:pt>
                <c:pt idx="317">
                  <c:v>25.900000000000077</c:v>
                </c:pt>
                <c:pt idx="318">
                  <c:v>26.000000000000078</c:v>
                </c:pt>
                <c:pt idx="319">
                  <c:v>26.10000000000008</c:v>
                </c:pt>
                <c:pt idx="320">
                  <c:v>26.200000000000081</c:v>
                </c:pt>
                <c:pt idx="321">
                  <c:v>26.300000000000082</c:v>
                </c:pt>
                <c:pt idx="322">
                  <c:v>26.400000000000084</c:v>
                </c:pt>
                <c:pt idx="323">
                  <c:v>26.500000000000085</c:v>
                </c:pt>
                <c:pt idx="324">
                  <c:v>26.600000000000087</c:v>
                </c:pt>
                <c:pt idx="325">
                  <c:v>26.700000000000088</c:v>
                </c:pt>
                <c:pt idx="326">
                  <c:v>26.80000000000009</c:v>
                </c:pt>
                <c:pt idx="327">
                  <c:v>26.900000000000091</c:v>
                </c:pt>
                <c:pt idx="328">
                  <c:v>27.000000000000092</c:v>
                </c:pt>
                <c:pt idx="329">
                  <c:v>27.100000000000094</c:v>
                </c:pt>
                <c:pt idx="330">
                  <c:v>27.200000000000095</c:v>
                </c:pt>
                <c:pt idx="331">
                  <c:v>27.300000000000097</c:v>
                </c:pt>
                <c:pt idx="332">
                  <c:v>27.400000000000098</c:v>
                </c:pt>
                <c:pt idx="333">
                  <c:v>27.500000000000099</c:v>
                </c:pt>
                <c:pt idx="334">
                  <c:v>27.600000000000101</c:v>
                </c:pt>
                <c:pt idx="335">
                  <c:v>27.700000000000102</c:v>
                </c:pt>
                <c:pt idx="336">
                  <c:v>27.800000000000104</c:v>
                </c:pt>
                <c:pt idx="337">
                  <c:v>27.900000000000105</c:v>
                </c:pt>
                <c:pt idx="338">
                  <c:v>28.000000000000107</c:v>
                </c:pt>
                <c:pt idx="339">
                  <c:v>28.100000000000108</c:v>
                </c:pt>
                <c:pt idx="340">
                  <c:v>28.200000000000109</c:v>
                </c:pt>
                <c:pt idx="341">
                  <c:v>28.300000000000111</c:v>
                </c:pt>
                <c:pt idx="342">
                  <c:v>28.400000000000112</c:v>
                </c:pt>
                <c:pt idx="343">
                  <c:v>28.500000000000114</c:v>
                </c:pt>
                <c:pt idx="344">
                  <c:v>28.600000000000115</c:v>
                </c:pt>
                <c:pt idx="345">
                  <c:v>28.700000000000117</c:v>
                </c:pt>
                <c:pt idx="346">
                  <c:v>28.800000000000118</c:v>
                </c:pt>
                <c:pt idx="347">
                  <c:v>28.900000000000119</c:v>
                </c:pt>
                <c:pt idx="348">
                  <c:v>29.000000000000121</c:v>
                </c:pt>
                <c:pt idx="349">
                  <c:v>29.100000000000122</c:v>
                </c:pt>
                <c:pt idx="350">
                  <c:v>29.200000000000124</c:v>
                </c:pt>
                <c:pt idx="351">
                  <c:v>29.300000000000125</c:v>
                </c:pt>
                <c:pt idx="352">
                  <c:v>29.400000000000126</c:v>
                </c:pt>
                <c:pt idx="353">
                  <c:v>29.500000000000128</c:v>
                </c:pt>
                <c:pt idx="354">
                  <c:v>29.600000000000129</c:v>
                </c:pt>
                <c:pt idx="355">
                  <c:v>29.700000000000131</c:v>
                </c:pt>
                <c:pt idx="356">
                  <c:v>29.800000000000132</c:v>
                </c:pt>
                <c:pt idx="357">
                  <c:v>29.900000000000134</c:v>
                </c:pt>
                <c:pt idx="358">
                  <c:v>30.000000000000135</c:v>
                </c:pt>
                <c:pt idx="359">
                  <c:v>30.100000000000136</c:v>
                </c:pt>
                <c:pt idx="360">
                  <c:v>30.200000000000138</c:v>
                </c:pt>
                <c:pt idx="361">
                  <c:v>30.300000000000139</c:v>
                </c:pt>
                <c:pt idx="362">
                  <c:v>30.400000000000141</c:v>
                </c:pt>
                <c:pt idx="363">
                  <c:v>30.500000000000142</c:v>
                </c:pt>
                <c:pt idx="364">
                  <c:v>30.600000000000144</c:v>
                </c:pt>
                <c:pt idx="365">
                  <c:v>30.700000000000145</c:v>
                </c:pt>
                <c:pt idx="366">
                  <c:v>30.800000000000146</c:v>
                </c:pt>
                <c:pt idx="367">
                  <c:v>30.900000000000148</c:v>
                </c:pt>
                <c:pt idx="368">
                  <c:v>31.000000000000149</c:v>
                </c:pt>
                <c:pt idx="369">
                  <c:v>31.100000000000151</c:v>
                </c:pt>
                <c:pt idx="370">
                  <c:v>31.200000000000152</c:v>
                </c:pt>
                <c:pt idx="371">
                  <c:v>31.300000000000153</c:v>
                </c:pt>
                <c:pt idx="372">
                  <c:v>31.400000000000155</c:v>
                </c:pt>
                <c:pt idx="373">
                  <c:v>31.500000000000156</c:v>
                </c:pt>
                <c:pt idx="374">
                  <c:v>31.600000000000158</c:v>
                </c:pt>
                <c:pt idx="375">
                  <c:v>31.700000000000159</c:v>
                </c:pt>
                <c:pt idx="376">
                  <c:v>31.800000000000161</c:v>
                </c:pt>
                <c:pt idx="377">
                  <c:v>31.900000000000162</c:v>
                </c:pt>
                <c:pt idx="378">
                  <c:v>32.000000000000163</c:v>
                </c:pt>
                <c:pt idx="379">
                  <c:v>32.100000000000165</c:v>
                </c:pt>
                <c:pt idx="380">
                  <c:v>32.200000000000166</c:v>
                </c:pt>
                <c:pt idx="381">
                  <c:v>32.300000000000168</c:v>
                </c:pt>
                <c:pt idx="382">
                  <c:v>32.400000000000169</c:v>
                </c:pt>
                <c:pt idx="383">
                  <c:v>32.500000000000171</c:v>
                </c:pt>
                <c:pt idx="384">
                  <c:v>32.500100000000174</c:v>
                </c:pt>
                <c:pt idx="385">
                  <c:v>32.500200000000177</c:v>
                </c:pt>
                <c:pt idx="386">
                  <c:v>32.50030000000018</c:v>
                </c:pt>
                <c:pt idx="387">
                  <c:v>32.500400000000184</c:v>
                </c:pt>
                <c:pt idx="388">
                  <c:v>32.500500000000187</c:v>
                </c:pt>
                <c:pt idx="389">
                  <c:v>32.50060000000019</c:v>
                </c:pt>
                <c:pt idx="390">
                  <c:v>32.500700000000194</c:v>
                </c:pt>
                <c:pt idx="391">
                  <c:v>32.500800000000197</c:v>
                </c:pt>
                <c:pt idx="392">
                  <c:v>32.5009000000002</c:v>
                </c:pt>
                <c:pt idx="393">
                  <c:v>32.501000000000204</c:v>
                </c:pt>
                <c:pt idx="394">
                  <c:v>32.501100000000207</c:v>
                </c:pt>
                <c:pt idx="395">
                  <c:v>32.50120000000021</c:v>
                </c:pt>
                <c:pt idx="396">
                  <c:v>32.501300000000214</c:v>
                </c:pt>
                <c:pt idx="397">
                  <c:v>32.501400000000217</c:v>
                </c:pt>
                <c:pt idx="398">
                  <c:v>32.50150000000022</c:v>
                </c:pt>
                <c:pt idx="399">
                  <c:v>32.501600000000224</c:v>
                </c:pt>
                <c:pt idx="400">
                  <c:v>32.501700000000227</c:v>
                </c:pt>
                <c:pt idx="401">
                  <c:v>32.50180000000023</c:v>
                </c:pt>
                <c:pt idx="402">
                  <c:v>32.501900000000234</c:v>
                </c:pt>
                <c:pt idx="403">
                  <c:v>32.502000000000237</c:v>
                </c:pt>
                <c:pt idx="404">
                  <c:v>32.50210000000024</c:v>
                </c:pt>
                <c:pt idx="405">
                  <c:v>32.502200000000244</c:v>
                </c:pt>
                <c:pt idx="406">
                  <c:v>32.502300000000247</c:v>
                </c:pt>
                <c:pt idx="407">
                  <c:v>32.50240000000025</c:v>
                </c:pt>
                <c:pt idx="408">
                  <c:v>32.502500000000254</c:v>
                </c:pt>
                <c:pt idx="409">
                  <c:v>32.502600000000257</c:v>
                </c:pt>
                <c:pt idx="410">
                  <c:v>32.50270000000026</c:v>
                </c:pt>
                <c:pt idx="411">
                  <c:v>32.502800000000263</c:v>
                </c:pt>
                <c:pt idx="412">
                  <c:v>32.502900000000267</c:v>
                </c:pt>
                <c:pt idx="413">
                  <c:v>32.50300000000027</c:v>
                </c:pt>
                <c:pt idx="414">
                  <c:v>32.503100000000273</c:v>
                </c:pt>
                <c:pt idx="415">
                  <c:v>32.503200000000277</c:v>
                </c:pt>
                <c:pt idx="416">
                  <c:v>32.50330000000028</c:v>
                </c:pt>
                <c:pt idx="417">
                  <c:v>32.503400000000283</c:v>
                </c:pt>
                <c:pt idx="418">
                  <c:v>32.503500000000287</c:v>
                </c:pt>
                <c:pt idx="419">
                  <c:v>32.50360000000029</c:v>
                </c:pt>
                <c:pt idx="420">
                  <c:v>32.503700000000293</c:v>
                </c:pt>
                <c:pt idx="421">
                  <c:v>32.503800000000297</c:v>
                </c:pt>
                <c:pt idx="422">
                  <c:v>32.5039000000003</c:v>
                </c:pt>
                <c:pt idx="423">
                  <c:v>32.504000000000303</c:v>
                </c:pt>
                <c:pt idx="424">
                  <c:v>32.504100000000307</c:v>
                </c:pt>
                <c:pt idx="425">
                  <c:v>32.50420000000031</c:v>
                </c:pt>
                <c:pt idx="426">
                  <c:v>32.504300000000313</c:v>
                </c:pt>
                <c:pt idx="427">
                  <c:v>32.504400000000317</c:v>
                </c:pt>
                <c:pt idx="428">
                  <c:v>32.50450000000032</c:v>
                </c:pt>
                <c:pt idx="429">
                  <c:v>32.504600000000323</c:v>
                </c:pt>
                <c:pt idx="430">
                  <c:v>32.504700000000327</c:v>
                </c:pt>
                <c:pt idx="431">
                  <c:v>32.50480000000033</c:v>
                </c:pt>
                <c:pt idx="432">
                  <c:v>32.504900000000333</c:v>
                </c:pt>
                <c:pt idx="433">
                  <c:v>32.505000000000337</c:v>
                </c:pt>
                <c:pt idx="434">
                  <c:v>32.50510000000034</c:v>
                </c:pt>
                <c:pt idx="435">
                  <c:v>32.505200000000343</c:v>
                </c:pt>
                <c:pt idx="436">
                  <c:v>32.505300000000346</c:v>
                </c:pt>
                <c:pt idx="437">
                  <c:v>32.50540000000035</c:v>
                </c:pt>
                <c:pt idx="438">
                  <c:v>32.505500000000353</c:v>
                </c:pt>
                <c:pt idx="439">
                  <c:v>32.505600000000356</c:v>
                </c:pt>
                <c:pt idx="440">
                  <c:v>32.50570000000036</c:v>
                </c:pt>
                <c:pt idx="441">
                  <c:v>32.505800000000363</c:v>
                </c:pt>
                <c:pt idx="442">
                  <c:v>32.505900000000366</c:v>
                </c:pt>
                <c:pt idx="443">
                  <c:v>32.50600000000037</c:v>
                </c:pt>
                <c:pt idx="444">
                  <c:v>32.506100000000373</c:v>
                </c:pt>
                <c:pt idx="445">
                  <c:v>32.506200000000376</c:v>
                </c:pt>
                <c:pt idx="446">
                  <c:v>32.50630000000038</c:v>
                </c:pt>
                <c:pt idx="447">
                  <c:v>32.506400000000383</c:v>
                </c:pt>
                <c:pt idx="448">
                  <c:v>32.506500000000386</c:v>
                </c:pt>
                <c:pt idx="449">
                  <c:v>32.50660000000039</c:v>
                </c:pt>
                <c:pt idx="450">
                  <c:v>32.506700000000393</c:v>
                </c:pt>
                <c:pt idx="451">
                  <c:v>32.506800000000396</c:v>
                </c:pt>
                <c:pt idx="452">
                  <c:v>32.5069000000004</c:v>
                </c:pt>
                <c:pt idx="453">
                  <c:v>32.507000000000403</c:v>
                </c:pt>
                <c:pt idx="454">
                  <c:v>32.507100000000406</c:v>
                </c:pt>
                <c:pt idx="455">
                  <c:v>32.50720000000041</c:v>
                </c:pt>
                <c:pt idx="456">
                  <c:v>32.507300000000413</c:v>
                </c:pt>
                <c:pt idx="457">
                  <c:v>32.507400000000416</c:v>
                </c:pt>
                <c:pt idx="458">
                  <c:v>32.50750000000042</c:v>
                </c:pt>
                <c:pt idx="459">
                  <c:v>32.507600000000423</c:v>
                </c:pt>
                <c:pt idx="460">
                  <c:v>32.507700000000426</c:v>
                </c:pt>
                <c:pt idx="461">
                  <c:v>32.507800000000429</c:v>
                </c:pt>
                <c:pt idx="462">
                  <c:v>32.507900000000433</c:v>
                </c:pt>
                <c:pt idx="463">
                  <c:v>32.508000000000436</c:v>
                </c:pt>
                <c:pt idx="464">
                  <c:v>32.508100000000439</c:v>
                </c:pt>
                <c:pt idx="465">
                  <c:v>32.508200000000443</c:v>
                </c:pt>
                <c:pt idx="466">
                  <c:v>32.508300000000446</c:v>
                </c:pt>
                <c:pt idx="467">
                  <c:v>32.508400000000449</c:v>
                </c:pt>
                <c:pt idx="468">
                  <c:v>32.508500000000453</c:v>
                </c:pt>
                <c:pt idx="469">
                  <c:v>32.508600000000456</c:v>
                </c:pt>
                <c:pt idx="470">
                  <c:v>32.508700000000459</c:v>
                </c:pt>
                <c:pt idx="471">
                  <c:v>32.508800000000463</c:v>
                </c:pt>
                <c:pt idx="472">
                  <c:v>32.508900000000466</c:v>
                </c:pt>
                <c:pt idx="473">
                  <c:v>32.509000000000469</c:v>
                </c:pt>
                <c:pt idx="474">
                  <c:v>32.509100000000473</c:v>
                </c:pt>
                <c:pt idx="475">
                  <c:v>32.509200000000476</c:v>
                </c:pt>
                <c:pt idx="476">
                  <c:v>32.509300000000479</c:v>
                </c:pt>
                <c:pt idx="477">
                  <c:v>32.509400000000483</c:v>
                </c:pt>
                <c:pt idx="478">
                  <c:v>32.509500000000486</c:v>
                </c:pt>
                <c:pt idx="479">
                  <c:v>32.509600000000489</c:v>
                </c:pt>
                <c:pt idx="480">
                  <c:v>32.509700000000493</c:v>
                </c:pt>
                <c:pt idx="481">
                  <c:v>32.509800000000496</c:v>
                </c:pt>
                <c:pt idx="482">
                  <c:v>32.509900000000499</c:v>
                </c:pt>
                <c:pt idx="483">
                  <c:v>32.510000000000502</c:v>
                </c:pt>
                <c:pt idx="484">
                  <c:v>32.510100000000506</c:v>
                </c:pt>
                <c:pt idx="485">
                  <c:v>32.510200000000509</c:v>
                </c:pt>
                <c:pt idx="486">
                  <c:v>32.510300000000512</c:v>
                </c:pt>
                <c:pt idx="487">
                  <c:v>32.510400000000516</c:v>
                </c:pt>
                <c:pt idx="488">
                  <c:v>32.510500000000519</c:v>
                </c:pt>
                <c:pt idx="489">
                  <c:v>32.510600000000522</c:v>
                </c:pt>
                <c:pt idx="490">
                  <c:v>32.510700000000526</c:v>
                </c:pt>
                <c:pt idx="491">
                  <c:v>32.510800000000529</c:v>
                </c:pt>
                <c:pt idx="492">
                  <c:v>32.510900000000532</c:v>
                </c:pt>
                <c:pt idx="493">
                  <c:v>32.511000000000536</c:v>
                </c:pt>
                <c:pt idx="494">
                  <c:v>32.511100000000539</c:v>
                </c:pt>
                <c:pt idx="495">
                  <c:v>32.511200000000542</c:v>
                </c:pt>
                <c:pt idx="496">
                  <c:v>32.511300000000546</c:v>
                </c:pt>
                <c:pt idx="497">
                  <c:v>32.511400000000549</c:v>
                </c:pt>
                <c:pt idx="498">
                  <c:v>32.511500000000552</c:v>
                </c:pt>
                <c:pt idx="499">
                  <c:v>32.511600000000556</c:v>
                </c:pt>
                <c:pt idx="500">
                  <c:v>32.511700000000559</c:v>
                </c:pt>
                <c:pt idx="501">
                  <c:v>32.511800000000562</c:v>
                </c:pt>
                <c:pt idx="502">
                  <c:v>32.511900000000566</c:v>
                </c:pt>
                <c:pt idx="503">
                  <c:v>32.512000000000569</c:v>
                </c:pt>
                <c:pt idx="504">
                  <c:v>32.512100000000572</c:v>
                </c:pt>
                <c:pt idx="505">
                  <c:v>32.512200000000576</c:v>
                </c:pt>
                <c:pt idx="506">
                  <c:v>32.512300000000579</c:v>
                </c:pt>
                <c:pt idx="507">
                  <c:v>32.512400000000582</c:v>
                </c:pt>
                <c:pt idx="508">
                  <c:v>32.512500000000585</c:v>
                </c:pt>
                <c:pt idx="509">
                  <c:v>32.512600000000589</c:v>
                </c:pt>
                <c:pt idx="510">
                  <c:v>32.512700000000592</c:v>
                </c:pt>
                <c:pt idx="511">
                  <c:v>32.512800000000595</c:v>
                </c:pt>
                <c:pt idx="512">
                  <c:v>32.512900000000599</c:v>
                </c:pt>
                <c:pt idx="513">
                  <c:v>32.513000000000602</c:v>
                </c:pt>
                <c:pt idx="514">
                  <c:v>32.513100000000605</c:v>
                </c:pt>
                <c:pt idx="515">
                  <c:v>32.513200000000609</c:v>
                </c:pt>
                <c:pt idx="516">
                  <c:v>32.513300000000612</c:v>
                </c:pt>
                <c:pt idx="517">
                  <c:v>32.513400000000615</c:v>
                </c:pt>
                <c:pt idx="518">
                  <c:v>32.513500000000619</c:v>
                </c:pt>
                <c:pt idx="519">
                  <c:v>32.513600000000622</c:v>
                </c:pt>
                <c:pt idx="520">
                  <c:v>32.513700000000625</c:v>
                </c:pt>
                <c:pt idx="521">
                  <c:v>32.513800000000629</c:v>
                </c:pt>
                <c:pt idx="522">
                  <c:v>32.513900000000632</c:v>
                </c:pt>
                <c:pt idx="523">
                  <c:v>32.514000000000635</c:v>
                </c:pt>
                <c:pt idx="524">
                  <c:v>32.514100000000639</c:v>
                </c:pt>
                <c:pt idx="525">
                  <c:v>32.514200000000642</c:v>
                </c:pt>
                <c:pt idx="526">
                  <c:v>32.514300000000645</c:v>
                </c:pt>
                <c:pt idx="527">
                  <c:v>32.514400000000649</c:v>
                </c:pt>
                <c:pt idx="528">
                  <c:v>32.514500000000652</c:v>
                </c:pt>
                <c:pt idx="529">
                  <c:v>32.514600000000655</c:v>
                </c:pt>
                <c:pt idx="530">
                  <c:v>32.514700000000659</c:v>
                </c:pt>
                <c:pt idx="531">
                  <c:v>32.514800000000662</c:v>
                </c:pt>
                <c:pt idx="532">
                  <c:v>32.514900000000665</c:v>
                </c:pt>
                <c:pt idx="533">
                  <c:v>32.515000000000668</c:v>
                </c:pt>
                <c:pt idx="534">
                  <c:v>32.515100000000672</c:v>
                </c:pt>
                <c:pt idx="535">
                  <c:v>32.515200000000675</c:v>
                </c:pt>
                <c:pt idx="536">
                  <c:v>32.515300000000678</c:v>
                </c:pt>
                <c:pt idx="537">
                  <c:v>32.515400000000682</c:v>
                </c:pt>
                <c:pt idx="538">
                  <c:v>32.515500000000685</c:v>
                </c:pt>
                <c:pt idx="539">
                  <c:v>32.515600000000688</c:v>
                </c:pt>
                <c:pt idx="540">
                  <c:v>32.515700000000692</c:v>
                </c:pt>
                <c:pt idx="541">
                  <c:v>32.515800000000695</c:v>
                </c:pt>
                <c:pt idx="542">
                  <c:v>32.515900000000698</c:v>
                </c:pt>
                <c:pt idx="543">
                  <c:v>32.516000000000702</c:v>
                </c:pt>
                <c:pt idx="544">
                  <c:v>32.516100000000705</c:v>
                </c:pt>
                <c:pt idx="545">
                  <c:v>32.516200000000708</c:v>
                </c:pt>
                <c:pt idx="546">
                  <c:v>32.516300000000712</c:v>
                </c:pt>
                <c:pt idx="547">
                  <c:v>32.516400000000715</c:v>
                </c:pt>
                <c:pt idx="548">
                  <c:v>32.516500000000718</c:v>
                </c:pt>
                <c:pt idx="549">
                  <c:v>32.516600000000722</c:v>
                </c:pt>
                <c:pt idx="550">
                  <c:v>32.516700000000725</c:v>
                </c:pt>
                <c:pt idx="551">
                  <c:v>32.516800000000728</c:v>
                </c:pt>
                <c:pt idx="552">
                  <c:v>32.516900000000732</c:v>
                </c:pt>
                <c:pt idx="553">
                  <c:v>32.517000000000735</c:v>
                </c:pt>
                <c:pt idx="554">
                  <c:v>32.517100000000738</c:v>
                </c:pt>
                <c:pt idx="555">
                  <c:v>32.517200000000742</c:v>
                </c:pt>
                <c:pt idx="556">
                  <c:v>32.517300000000745</c:v>
                </c:pt>
                <c:pt idx="557">
                  <c:v>32.517400000000748</c:v>
                </c:pt>
                <c:pt idx="558">
                  <c:v>32.517500000000751</c:v>
                </c:pt>
                <c:pt idx="559">
                  <c:v>32.517600000000755</c:v>
                </c:pt>
                <c:pt idx="560">
                  <c:v>32.517700000000758</c:v>
                </c:pt>
                <c:pt idx="561">
                  <c:v>32.517800000000761</c:v>
                </c:pt>
                <c:pt idx="562">
                  <c:v>32.517900000000765</c:v>
                </c:pt>
                <c:pt idx="563">
                  <c:v>32.518000000000768</c:v>
                </c:pt>
                <c:pt idx="564">
                  <c:v>32.518100000000771</c:v>
                </c:pt>
                <c:pt idx="565">
                  <c:v>32.518200000000775</c:v>
                </c:pt>
                <c:pt idx="566">
                  <c:v>32.518300000000778</c:v>
                </c:pt>
                <c:pt idx="567">
                  <c:v>32.518400000000781</c:v>
                </c:pt>
                <c:pt idx="568">
                  <c:v>32.518500000000785</c:v>
                </c:pt>
                <c:pt idx="569">
                  <c:v>32.518600000000788</c:v>
                </c:pt>
                <c:pt idx="570">
                  <c:v>32.518700000000791</c:v>
                </c:pt>
                <c:pt idx="571">
                  <c:v>32.518800000000795</c:v>
                </c:pt>
                <c:pt idx="572">
                  <c:v>32.518900000000798</c:v>
                </c:pt>
                <c:pt idx="573">
                  <c:v>32.519000000000801</c:v>
                </c:pt>
                <c:pt idx="574">
                  <c:v>32.519100000000805</c:v>
                </c:pt>
                <c:pt idx="575">
                  <c:v>32.519200000000808</c:v>
                </c:pt>
                <c:pt idx="576">
                  <c:v>32.519300000000811</c:v>
                </c:pt>
                <c:pt idx="577">
                  <c:v>32.519400000000815</c:v>
                </c:pt>
                <c:pt idx="578">
                  <c:v>32.519500000000818</c:v>
                </c:pt>
                <c:pt idx="579">
                  <c:v>32.519600000000821</c:v>
                </c:pt>
                <c:pt idx="580">
                  <c:v>32.519700000000825</c:v>
                </c:pt>
                <c:pt idx="581">
                  <c:v>32.519800000000828</c:v>
                </c:pt>
                <c:pt idx="582">
                  <c:v>32.519900000000831</c:v>
                </c:pt>
                <c:pt idx="583">
                  <c:v>32.520000000000834</c:v>
                </c:pt>
                <c:pt idx="584">
                  <c:v>32.520100000000838</c:v>
                </c:pt>
                <c:pt idx="585">
                  <c:v>32.520200000000841</c:v>
                </c:pt>
                <c:pt idx="586">
                  <c:v>32.520300000000844</c:v>
                </c:pt>
                <c:pt idx="587">
                  <c:v>32.520400000000848</c:v>
                </c:pt>
                <c:pt idx="588">
                  <c:v>32.520500000000851</c:v>
                </c:pt>
                <c:pt idx="589">
                  <c:v>32.520600000000854</c:v>
                </c:pt>
                <c:pt idx="590">
                  <c:v>32.520700000000858</c:v>
                </c:pt>
                <c:pt idx="591">
                  <c:v>32.520800000000861</c:v>
                </c:pt>
                <c:pt idx="592">
                  <c:v>32.520900000000864</c:v>
                </c:pt>
                <c:pt idx="593">
                  <c:v>32.521000000000868</c:v>
                </c:pt>
                <c:pt idx="594">
                  <c:v>32.521100000000871</c:v>
                </c:pt>
                <c:pt idx="595">
                  <c:v>32.521200000000874</c:v>
                </c:pt>
                <c:pt idx="596">
                  <c:v>32.521300000000878</c:v>
                </c:pt>
                <c:pt idx="597">
                  <c:v>32.521400000000881</c:v>
                </c:pt>
                <c:pt idx="598">
                  <c:v>32.521500000000884</c:v>
                </c:pt>
                <c:pt idx="599">
                  <c:v>32.521600000000888</c:v>
                </c:pt>
                <c:pt idx="600">
                  <c:v>32.521700000000891</c:v>
                </c:pt>
                <c:pt idx="601">
                  <c:v>32.521800000000894</c:v>
                </c:pt>
                <c:pt idx="602">
                  <c:v>32.521900000000898</c:v>
                </c:pt>
                <c:pt idx="603">
                  <c:v>32.522000000000901</c:v>
                </c:pt>
                <c:pt idx="604">
                  <c:v>32.522100000000904</c:v>
                </c:pt>
                <c:pt idx="605">
                  <c:v>32.522200000000907</c:v>
                </c:pt>
                <c:pt idx="606">
                  <c:v>32.522300000000911</c:v>
                </c:pt>
                <c:pt idx="607">
                  <c:v>32.522400000000914</c:v>
                </c:pt>
                <c:pt idx="608">
                  <c:v>32.522500000000917</c:v>
                </c:pt>
                <c:pt idx="609">
                  <c:v>32.522600000000921</c:v>
                </c:pt>
                <c:pt idx="610">
                  <c:v>32.522700000000924</c:v>
                </c:pt>
                <c:pt idx="611">
                  <c:v>32.522800000000927</c:v>
                </c:pt>
                <c:pt idx="612">
                  <c:v>32.522900000000931</c:v>
                </c:pt>
                <c:pt idx="613">
                  <c:v>32.523000000000934</c:v>
                </c:pt>
                <c:pt idx="614">
                  <c:v>32.523100000000937</c:v>
                </c:pt>
                <c:pt idx="615">
                  <c:v>32.523200000000941</c:v>
                </c:pt>
                <c:pt idx="616">
                  <c:v>32.523300000000944</c:v>
                </c:pt>
                <c:pt idx="617">
                  <c:v>32.523400000000947</c:v>
                </c:pt>
                <c:pt idx="618">
                  <c:v>32.523500000000951</c:v>
                </c:pt>
                <c:pt idx="619">
                  <c:v>32.523600000000954</c:v>
                </c:pt>
                <c:pt idx="620">
                  <c:v>32.523700000000957</c:v>
                </c:pt>
                <c:pt idx="621">
                  <c:v>32.523800000000961</c:v>
                </c:pt>
                <c:pt idx="622">
                  <c:v>32.523900000000964</c:v>
                </c:pt>
                <c:pt idx="623">
                  <c:v>32.524000000000967</c:v>
                </c:pt>
                <c:pt idx="624">
                  <c:v>32.524100000000971</c:v>
                </c:pt>
                <c:pt idx="625">
                  <c:v>32.524200000000974</c:v>
                </c:pt>
                <c:pt idx="626">
                  <c:v>32.524300000000977</c:v>
                </c:pt>
                <c:pt idx="627">
                  <c:v>32.524400000000981</c:v>
                </c:pt>
                <c:pt idx="628">
                  <c:v>32.524500000000984</c:v>
                </c:pt>
                <c:pt idx="629">
                  <c:v>32.524600000000987</c:v>
                </c:pt>
                <c:pt idx="630">
                  <c:v>32.52470000000099</c:v>
                </c:pt>
                <c:pt idx="631">
                  <c:v>32.524800000000994</c:v>
                </c:pt>
                <c:pt idx="632">
                  <c:v>32.524900000000997</c:v>
                </c:pt>
                <c:pt idx="633">
                  <c:v>32.525000000001</c:v>
                </c:pt>
                <c:pt idx="634">
                  <c:v>32.525100000001004</c:v>
                </c:pt>
                <c:pt idx="635">
                  <c:v>32.525200000001007</c:v>
                </c:pt>
                <c:pt idx="636">
                  <c:v>32.52530000000101</c:v>
                </c:pt>
                <c:pt idx="637">
                  <c:v>32.525400000001014</c:v>
                </c:pt>
                <c:pt idx="638">
                  <c:v>32.525500000001017</c:v>
                </c:pt>
                <c:pt idx="639">
                  <c:v>32.52560000000102</c:v>
                </c:pt>
                <c:pt idx="640">
                  <c:v>32.525700000001024</c:v>
                </c:pt>
                <c:pt idx="641">
                  <c:v>32.525800000001027</c:v>
                </c:pt>
                <c:pt idx="642">
                  <c:v>32.52590000000103</c:v>
                </c:pt>
                <c:pt idx="643">
                  <c:v>32.526000000001034</c:v>
                </c:pt>
                <c:pt idx="644">
                  <c:v>32.526100000001037</c:v>
                </c:pt>
                <c:pt idx="645">
                  <c:v>32.52620000000104</c:v>
                </c:pt>
                <c:pt idx="646">
                  <c:v>32.526300000001044</c:v>
                </c:pt>
                <c:pt idx="647">
                  <c:v>32.526400000001047</c:v>
                </c:pt>
                <c:pt idx="648">
                  <c:v>32.52650000000105</c:v>
                </c:pt>
                <c:pt idx="649">
                  <c:v>32.526600000001054</c:v>
                </c:pt>
                <c:pt idx="650">
                  <c:v>32.526700000001057</c:v>
                </c:pt>
                <c:pt idx="651">
                  <c:v>32.52680000000106</c:v>
                </c:pt>
                <c:pt idx="652">
                  <c:v>32.526900000001064</c:v>
                </c:pt>
                <c:pt idx="653">
                  <c:v>32.527000000001067</c:v>
                </c:pt>
                <c:pt idx="654">
                  <c:v>32.52710000000107</c:v>
                </c:pt>
                <c:pt idx="655">
                  <c:v>32.527200000001073</c:v>
                </c:pt>
                <c:pt idx="656">
                  <c:v>32.527300000001077</c:v>
                </c:pt>
                <c:pt idx="657">
                  <c:v>32.52740000000108</c:v>
                </c:pt>
                <c:pt idx="658">
                  <c:v>32.527500000001083</c:v>
                </c:pt>
                <c:pt idx="659">
                  <c:v>32.527600000001087</c:v>
                </c:pt>
                <c:pt idx="660">
                  <c:v>32.52770000000109</c:v>
                </c:pt>
                <c:pt idx="661">
                  <c:v>32.527800000001093</c:v>
                </c:pt>
                <c:pt idx="662">
                  <c:v>32.527900000001097</c:v>
                </c:pt>
                <c:pt idx="663">
                  <c:v>32.5280000000011</c:v>
                </c:pt>
                <c:pt idx="664">
                  <c:v>32.528100000001103</c:v>
                </c:pt>
                <c:pt idx="665">
                  <c:v>32.528200000001107</c:v>
                </c:pt>
                <c:pt idx="666">
                  <c:v>32.52830000000111</c:v>
                </c:pt>
                <c:pt idx="667">
                  <c:v>32.528400000001113</c:v>
                </c:pt>
                <c:pt idx="668">
                  <c:v>32.528500000001117</c:v>
                </c:pt>
                <c:pt idx="669">
                  <c:v>32.52860000000112</c:v>
                </c:pt>
                <c:pt idx="670">
                  <c:v>32.528700000001123</c:v>
                </c:pt>
                <c:pt idx="671">
                  <c:v>32.528800000001127</c:v>
                </c:pt>
                <c:pt idx="672">
                  <c:v>32.52890000000113</c:v>
                </c:pt>
                <c:pt idx="673">
                  <c:v>32.529000000001133</c:v>
                </c:pt>
                <c:pt idx="674">
                  <c:v>32.529100000001137</c:v>
                </c:pt>
                <c:pt idx="675">
                  <c:v>32.52920000000114</c:v>
                </c:pt>
                <c:pt idx="676">
                  <c:v>32.529300000001143</c:v>
                </c:pt>
                <c:pt idx="677">
                  <c:v>32.529400000001147</c:v>
                </c:pt>
                <c:pt idx="678">
                  <c:v>32.52950000000115</c:v>
                </c:pt>
                <c:pt idx="679">
                  <c:v>32.529600000001153</c:v>
                </c:pt>
                <c:pt idx="680">
                  <c:v>32.529700000001156</c:v>
                </c:pt>
                <c:pt idx="681">
                  <c:v>32.52980000000116</c:v>
                </c:pt>
                <c:pt idx="682">
                  <c:v>32.529900000001163</c:v>
                </c:pt>
                <c:pt idx="683">
                  <c:v>32.530000000001166</c:v>
                </c:pt>
                <c:pt idx="684">
                  <c:v>32.53010000000117</c:v>
                </c:pt>
                <c:pt idx="685">
                  <c:v>32.530200000001173</c:v>
                </c:pt>
                <c:pt idx="686">
                  <c:v>32.530300000001176</c:v>
                </c:pt>
                <c:pt idx="687">
                  <c:v>32.53040000000118</c:v>
                </c:pt>
                <c:pt idx="688">
                  <c:v>32.530500000001183</c:v>
                </c:pt>
                <c:pt idx="689">
                  <c:v>32.530600000001186</c:v>
                </c:pt>
                <c:pt idx="690">
                  <c:v>32.53070000000119</c:v>
                </c:pt>
                <c:pt idx="691">
                  <c:v>32.530800000001193</c:v>
                </c:pt>
                <c:pt idx="692">
                  <c:v>32.530900000001196</c:v>
                </c:pt>
                <c:pt idx="693">
                  <c:v>32.5310000000012</c:v>
                </c:pt>
                <c:pt idx="694">
                  <c:v>32.531100000001203</c:v>
                </c:pt>
                <c:pt idx="695">
                  <c:v>32.531200000001206</c:v>
                </c:pt>
                <c:pt idx="696">
                  <c:v>32.53130000000121</c:v>
                </c:pt>
                <c:pt idx="697">
                  <c:v>32.531400000001213</c:v>
                </c:pt>
                <c:pt idx="698">
                  <c:v>32.531500000001216</c:v>
                </c:pt>
                <c:pt idx="699">
                  <c:v>32.53160000000122</c:v>
                </c:pt>
                <c:pt idx="700">
                  <c:v>32.531700000001223</c:v>
                </c:pt>
                <c:pt idx="701">
                  <c:v>32.531800000001226</c:v>
                </c:pt>
                <c:pt idx="702">
                  <c:v>32.53190000000123</c:v>
                </c:pt>
                <c:pt idx="703">
                  <c:v>32.532000000001233</c:v>
                </c:pt>
                <c:pt idx="704">
                  <c:v>32.532100000001236</c:v>
                </c:pt>
                <c:pt idx="705">
                  <c:v>32.532200000001239</c:v>
                </c:pt>
                <c:pt idx="706">
                  <c:v>32.532300000001243</c:v>
                </c:pt>
                <c:pt idx="707">
                  <c:v>32.532400000001246</c:v>
                </c:pt>
                <c:pt idx="708">
                  <c:v>32.532500000001249</c:v>
                </c:pt>
                <c:pt idx="709">
                  <c:v>32.532600000001253</c:v>
                </c:pt>
                <c:pt idx="710">
                  <c:v>32.532700000001256</c:v>
                </c:pt>
                <c:pt idx="711">
                  <c:v>32.532800000001259</c:v>
                </c:pt>
                <c:pt idx="712">
                  <c:v>32.532900000001263</c:v>
                </c:pt>
                <c:pt idx="713">
                  <c:v>32.533000000001266</c:v>
                </c:pt>
                <c:pt idx="714">
                  <c:v>32.533100000001269</c:v>
                </c:pt>
                <c:pt idx="715">
                  <c:v>32.533200000001273</c:v>
                </c:pt>
                <c:pt idx="716">
                  <c:v>32.533300000001276</c:v>
                </c:pt>
                <c:pt idx="717">
                  <c:v>32.533400000001279</c:v>
                </c:pt>
                <c:pt idx="718">
                  <c:v>32.533500000001283</c:v>
                </c:pt>
                <c:pt idx="719">
                  <c:v>32.533600000001286</c:v>
                </c:pt>
                <c:pt idx="720">
                  <c:v>32.533700000001289</c:v>
                </c:pt>
                <c:pt idx="721">
                  <c:v>32.533800000001293</c:v>
                </c:pt>
                <c:pt idx="722">
                  <c:v>32.533900000001296</c:v>
                </c:pt>
                <c:pt idx="723">
                  <c:v>32.534000000001299</c:v>
                </c:pt>
                <c:pt idx="724">
                  <c:v>32.534100000001303</c:v>
                </c:pt>
                <c:pt idx="725">
                  <c:v>32.534200000001306</c:v>
                </c:pt>
                <c:pt idx="726">
                  <c:v>32.534300000001309</c:v>
                </c:pt>
                <c:pt idx="727">
                  <c:v>32.534400000001312</c:v>
                </c:pt>
                <c:pt idx="728">
                  <c:v>32.534500000001316</c:v>
                </c:pt>
                <c:pt idx="729">
                  <c:v>32.534600000001319</c:v>
                </c:pt>
                <c:pt idx="730">
                  <c:v>32.534700000001322</c:v>
                </c:pt>
                <c:pt idx="731">
                  <c:v>32.534800000001326</c:v>
                </c:pt>
                <c:pt idx="732">
                  <c:v>32.534900000001329</c:v>
                </c:pt>
                <c:pt idx="733">
                  <c:v>32.535000000001332</c:v>
                </c:pt>
                <c:pt idx="734">
                  <c:v>32.535100000001336</c:v>
                </c:pt>
                <c:pt idx="735">
                  <c:v>32.535200000001339</c:v>
                </c:pt>
                <c:pt idx="736">
                  <c:v>32.535300000001342</c:v>
                </c:pt>
                <c:pt idx="737">
                  <c:v>32.535400000001346</c:v>
                </c:pt>
                <c:pt idx="738">
                  <c:v>32.535500000001349</c:v>
                </c:pt>
                <c:pt idx="739">
                  <c:v>32.535600000001352</c:v>
                </c:pt>
                <c:pt idx="740">
                  <c:v>32.535700000001356</c:v>
                </c:pt>
                <c:pt idx="741">
                  <c:v>32.535800000001359</c:v>
                </c:pt>
                <c:pt idx="742">
                  <c:v>32.535900000001362</c:v>
                </c:pt>
                <c:pt idx="743">
                  <c:v>32.536000000001366</c:v>
                </c:pt>
                <c:pt idx="744">
                  <c:v>32.536100000001369</c:v>
                </c:pt>
                <c:pt idx="745">
                  <c:v>32.536200000001372</c:v>
                </c:pt>
                <c:pt idx="746">
                  <c:v>32.536300000001376</c:v>
                </c:pt>
                <c:pt idx="747">
                  <c:v>32.536400000001379</c:v>
                </c:pt>
                <c:pt idx="748">
                  <c:v>32.536500000001382</c:v>
                </c:pt>
                <c:pt idx="749">
                  <c:v>32.536600000001386</c:v>
                </c:pt>
                <c:pt idx="750">
                  <c:v>32.536700000001389</c:v>
                </c:pt>
                <c:pt idx="751">
                  <c:v>32.536800000001392</c:v>
                </c:pt>
                <c:pt idx="752">
                  <c:v>32.536900000001395</c:v>
                </c:pt>
                <c:pt idx="753">
                  <c:v>32.537000000001399</c:v>
                </c:pt>
                <c:pt idx="754">
                  <c:v>32.537100000001402</c:v>
                </c:pt>
                <c:pt idx="755">
                  <c:v>32.537200000001405</c:v>
                </c:pt>
                <c:pt idx="756">
                  <c:v>32.537300000001409</c:v>
                </c:pt>
                <c:pt idx="757">
                  <c:v>32.537400000001412</c:v>
                </c:pt>
                <c:pt idx="758">
                  <c:v>32.537500000001415</c:v>
                </c:pt>
                <c:pt idx="759">
                  <c:v>32.537600000001419</c:v>
                </c:pt>
                <c:pt idx="760">
                  <c:v>32.537700000001422</c:v>
                </c:pt>
                <c:pt idx="761">
                  <c:v>32.537800000001425</c:v>
                </c:pt>
                <c:pt idx="762">
                  <c:v>32.537900000001429</c:v>
                </c:pt>
                <c:pt idx="763">
                  <c:v>32.538000000001432</c:v>
                </c:pt>
                <c:pt idx="764">
                  <c:v>32.538100000001435</c:v>
                </c:pt>
                <c:pt idx="765">
                  <c:v>32.538200000001439</c:v>
                </c:pt>
                <c:pt idx="766">
                  <c:v>32.538300000001442</c:v>
                </c:pt>
                <c:pt idx="767">
                  <c:v>32.538400000001445</c:v>
                </c:pt>
                <c:pt idx="768">
                  <c:v>32.538500000001449</c:v>
                </c:pt>
                <c:pt idx="769">
                  <c:v>32.538600000001452</c:v>
                </c:pt>
                <c:pt idx="770">
                  <c:v>32.538700000001455</c:v>
                </c:pt>
                <c:pt idx="771">
                  <c:v>32.538800000001459</c:v>
                </c:pt>
                <c:pt idx="772">
                  <c:v>32.538900000001462</c:v>
                </c:pt>
                <c:pt idx="773">
                  <c:v>32.539000000001465</c:v>
                </c:pt>
                <c:pt idx="774">
                  <c:v>32.539100000001469</c:v>
                </c:pt>
                <c:pt idx="775">
                  <c:v>32.539200000001472</c:v>
                </c:pt>
                <c:pt idx="776">
                  <c:v>32.539300000001475</c:v>
                </c:pt>
                <c:pt idx="777">
                  <c:v>32.539400000001478</c:v>
                </c:pt>
                <c:pt idx="778">
                  <c:v>32.539500000001482</c:v>
                </c:pt>
                <c:pt idx="779">
                  <c:v>32.539600000001485</c:v>
                </c:pt>
                <c:pt idx="780">
                  <c:v>32.539700000001488</c:v>
                </c:pt>
                <c:pt idx="781">
                  <c:v>32.539800000001492</c:v>
                </c:pt>
                <c:pt idx="782">
                  <c:v>32.539900000001495</c:v>
                </c:pt>
                <c:pt idx="783">
                  <c:v>32.540000000001498</c:v>
                </c:pt>
                <c:pt idx="784">
                  <c:v>32.540100000001502</c:v>
                </c:pt>
                <c:pt idx="785">
                  <c:v>32.540200000001505</c:v>
                </c:pt>
                <c:pt idx="786">
                  <c:v>32.540300000001508</c:v>
                </c:pt>
                <c:pt idx="787">
                  <c:v>32.540400000001512</c:v>
                </c:pt>
                <c:pt idx="788">
                  <c:v>32.540500000001515</c:v>
                </c:pt>
                <c:pt idx="789">
                  <c:v>32.540600000001518</c:v>
                </c:pt>
                <c:pt idx="790">
                  <c:v>32.540700000001522</c:v>
                </c:pt>
                <c:pt idx="791">
                  <c:v>32.540800000001525</c:v>
                </c:pt>
                <c:pt idx="792">
                  <c:v>32.540900000001528</c:v>
                </c:pt>
                <c:pt idx="793">
                  <c:v>32.541000000001532</c:v>
                </c:pt>
                <c:pt idx="794">
                  <c:v>32.541100000001535</c:v>
                </c:pt>
                <c:pt idx="795">
                  <c:v>32.541200000001538</c:v>
                </c:pt>
                <c:pt idx="796">
                  <c:v>32.541300000001542</c:v>
                </c:pt>
                <c:pt idx="797">
                  <c:v>32.541400000001545</c:v>
                </c:pt>
                <c:pt idx="798">
                  <c:v>32.541500000001548</c:v>
                </c:pt>
                <c:pt idx="799">
                  <c:v>32.541600000001552</c:v>
                </c:pt>
                <c:pt idx="800">
                  <c:v>32.541700000001555</c:v>
                </c:pt>
                <c:pt idx="801">
                  <c:v>32.541800000001558</c:v>
                </c:pt>
                <c:pt idx="802">
                  <c:v>32.541900000001561</c:v>
                </c:pt>
                <c:pt idx="803">
                  <c:v>32.542000000001565</c:v>
                </c:pt>
                <c:pt idx="804">
                  <c:v>32.542100000001568</c:v>
                </c:pt>
                <c:pt idx="805">
                  <c:v>32.542200000001571</c:v>
                </c:pt>
                <c:pt idx="806">
                  <c:v>32.542300000001575</c:v>
                </c:pt>
                <c:pt idx="807">
                  <c:v>32.542400000001578</c:v>
                </c:pt>
                <c:pt idx="808">
                  <c:v>32.542500000001581</c:v>
                </c:pt>
                <c:pt idx="809">
                  <c:v>32.542600000001585</c:v>
                </c:pt>
                <c:pt idx="810">
                  <c:v>32.542700000001588</c:v>
                </c:pt>
                <c:pt idx="811">
                  <c:v>32.542800000001591</c:v>
                </c:pt>
                <c:pt idx="812">
                  <c:v>32.542900000001595</c:v>
                </c:pt>
                <c:pt idx="813">
                  <c:v>32.543000000001598</c:v>
                </c:pt>
                <c:pt idx="814">
                  <c:v>32.543100000001601</c:v>
                </c:pt>
                <c:pt idx="815">
                  <c:v>32.543200000001605</c:v>
                </c:pt>
                <c:pt idx="816">
                  <c:v>32.543300000001608</c:v>
                </c:pt>
                <c:pt idx="817">
                  <c:v>32.543400000001611</c:v>
                </c:pt>
                <c:pt idx="818">
                  <c:v>32.543500000001615</c:v>
                </c:pt>
                <c:pt idx="819">
                  <c:v>32.543600000001618</c:v>
                </c:pt>
                <c:pt idx="820">
                  <c:v>32.543700000001621</c:v>
                </c:pt>
                <c:pt idx="821">
                  <c:v>32.543800000001625</c:v>
                </c:pt>
                <c:pt idx="822">
                  <c:v>32.543900000001628</c:v>
                </c:pt>
                <c:pt idx="823">
                  <c:v>32.544000000001631</c:v>
                </c:pt>
                <c:pt idx="824">
                  <c:v>32.544100000001634</c:v>
                </c:pt>
                <c:pt idx="825">
                  <c:v>32.544200000001638</c:v>
                </c:pt>
                <c:pt idx="826">
                  <c:v>32.544300000001641</c:v>
                </c:pt>
                <c:pt idx="827">
                  <c:v>32.544400000001644</c:v>
                </c:pt>
                <c:pt idx="828">
                  <c:v>32.544500000001648</c:v>
                </c:pt>
                <c:pt idx="829">
                  <c:v>32.544600000001651</c:v>
                </c:pt>
                <c:pt idx="830">
                  <c:v>32.544700000001654</c:v>
                </c:pt>
                <c:pt idx="831">
                  <c:v>32.544800000001658</c:v>
                </c:pt>
                <c:pt idx="832">
                  <c:v>32.544900000001661</c:v>
                </c:pt>
                <c:pt idx="833">
                  <c:v>32.545000000001664</c:v>
                </c:pt>
                <c:pt idx="834">
                  <c:v>32.545100000001668</c:v>
                </c:pt>
                <c:pt idx="835">
                  <c:v>32.545200000001671</c:v>
                </c:pt>
                <c:pt idx="836">
                  <c:v>32.545300000001674</c:v>
                </c:pt>
                <c:pt idx="837">
                  <c:v>32.545400000001678</c:v>
                </c:pt>
                <c:pt idx="838">
                  <c:v>32.545500000001681</c:v>
                </c:pt>
                <c:pt idx="839">
                  <c:v>32.545600000001684</c:v>
                </c:pt>
                <c:pt idx="840">
                  <c:v>32.545700000001688</c:v>
                </c:pt>
                <c:pt idx="841">
                  <c:v>32.545800000001691</c:v>
                </c:pt>
                <c:pt idx="842">
                  <c:v>32.545900000001694</c:v>
                </c:pt>
                <c:pt idx="843">
                  <c:v>32.546000000001698</c:v>
                </c:pt>
                <c:pt idx="844">
                  <c:v>32.546100000001701</c:v>
                </c:pt>
                <c:pt idx="845">
                  <c:v>32.546200000001704</c:v>
                </c:pt>
                <c:pt idx="846">
                  <c:v>32.546300000001708</c:v>
                </c:pt>
                <c:pt idx="847">
                  <c:v>32.546400000001711</c:v>
                </c:pt>
                <c:pt idx="848">
                  <c:v>32.546500000001714</c:v>
                </c:pt>
                <c:pt idx="849">
                  <c:v>32.546600000001717</c:v>
                </c:pt>
                <c:pt idx="850">
                  <c:v>32.546700000001721</c:v>
                </c:pt>
                <c:pt idx="851">
                  <c:v>32.546800000001724</c:v>
                </c:pt>
                <c:pt idx="852">
                  <c:v>32.546900000001727</c:v>
                </c:pt>
                <c:pt idx="853">
                  <c:v>32.547000000001731</c:v>
                </c:pt>
                <c:pt idx="854">
                  <c:v>32.547100000001734</c:v>
                </c:pt>
                <c:pt idx="855">
                  <c:v>32.547200000001737</c:v>
                </c:pt>
                <c:pt idx="856">
                  <c:v>32.547300000001741</c:v>
                </c:pt>
                <c:pt idx="857">
                  <c:v>32.547400000001744</c:v>
                </c:pt>
                <c:pt idx="858">
                  <c:v>32.547500000001747</c:v>
                </c:pt>
                <c:pt idx="859">
                  <c:v>32.547600000001751</c:v>
                </c:pt>
                <c:pt idx="860">
                  <c:v>32.547700000001754</c:v>
                </c:pt>
                <c:pt idx="861">
                  <c:v>32.547800000001757</c:v>
                </c:pt>
                <c:pt idx="862">
                  <c:v>32.547900000001761</c:v>
                </c:pt>
                <c:pt idx="863">
                  <c:v>32.548000000001764</c:v>
                </c:pt>
                <c:pt idx="864">
                  <c:v>32.548100000001767</c:v>
                </c:pt>
                <c:pt idx="865">
                  <c:v>32.548200000001771</c:v>
                </c:pt>
                <c:pt idx="866">
                  <c:v>32.548300000001774</c:v>
                </c:pt>
                <c:pt idx="867">
                  <c:v>32.548400000001777</c:v>
                </c:pt>
                <c:pt idx="868">
                  <c:v>32.548500000001781</c:v>
                </c:pt>
                <c:pt idx="869">
                  <c:v>32.548600000001784</c:v>
                </c:pt>
                <c:pt idx="870">
                  <c:v>32.548700000001787</c:v>
                </c:pt>
                <c:pt idx="871">
                  <c:v>32.548800000001791</c:v>
                </c:pt>
                <c:pt idx="872">
                  <c:v>32.548900000001794</c:v>
                </c:pt>
                <c:pt idx="873">
                  <c:v>32.549000000001797</c:v>
                </c:pt>
                <c:pt idx="874">
                  <c:v>32.5491000000018</c:v>
                </c:pt>
                <c:pt idx="875">
                  <c:v>32.549200000001804</c:v>
                </c:pt>
                <c:pt idx="876">
                  <c:v>32.549300000001807</c:v>
                </c:pt>
                <c:pt idx="877">
                  <c:v>32.54940000000181</c:v>
                </c:pt>
                <c:pt idx="878">
                  <c:v>32.549500000001814</c:v>
                </c:pt>
                <c:pt idx="879">
                  <c:v>32.549600000001817</c:v>
                </c:pt>
                <c:pt idx="880">
                  <c:v>32.54970000000182</c:v>
                </c:pt>
                <c:pt idx="881">
                  <c:v>32.549800000001824</c:v>
                </c:pt>
                <c:pt idx="882">
                  <c:v>32.549900000001827</c:v>
                </c:pt>
                <c:pt idx="883">
                  <c:v>32.55000000000183</c:v>
                </c:pt>
                <c:pt idx="884">
                  <c:v>32.550100000001834</c:v>
                </c:pt>
                <c:pt idx="885">
                  <c:v>32.550200000001837</c:v>
                </c:pt>
                <c:pt idx="886">
                  <c:v>32.55030000000184</c:v>
                </c:pt>
                <c:pt idx="887">
                  <c:v>32.550400000001844</c:v>
                </c:pt>
                <c:pt idx="888">
                  <c:v>32.550500000001847</c:v>
                </c:pt>
                <c:pt idx="889">
                  <c:v>32.55060000000185</c:v>
                </c:pt>
                <c:pt idx="890">
                  <c:v>32.550700000001854</c:v>
                </c:pt>
                <c:pt idx="891">
                  <c:v>32.550800000001857</c:v>
                </c:pt>
                <c:pt idx="892">
                  <c:v>32.55090000000186</c:v>
                </c:pt>
                <c:pt idx="893">
                  <c:v>32.551000000001864</c:v>
                </c:pt>
                <c:pt idx="894">
                  <c:v>32.551100000001867</c:v>
                </c:pt>
                <c:pt idx="895">
                  <c:v>32.55120000000187</c:v>
                </c:pt>
                <c:pt idx="896">
                  <c:v>32.551300000001874</c:v>
                </c:pt>
                <c:pt idx="897">
                  <c:v>32.551400000001877</c:v>
                </c:pt>
                <c:pt idx="898">
                  <c:v>32.55150000000188</c:v>
                </c:pt>
                <c:pt idx="899">
                  <c:v>32.551600000001883</c:v>
                </c:pt>
                <c:pt idx="900">
                  <c:v>32.551700000001887</c:v>
                </c:pt>
                <c:pt idx="901">
                  <c:v>32.55180000000189</c:v>
                </c:pt>
                <c:pt idx="902">
                  <c:v>32.551900000001893</c:v>
                </c:pt>
                <c:pt idx="903">
                  <c:v>32.552000000001897</c:v>
                </c:pt>
                <c:pt idx="904">
                  <c:v>32.5521000000019</c:v>
                </c:pt>
                <c:pt idx="905">
                  <c:v>32.552200000001903</c:v>
                </c:pt>
                <c:pt idx="906">
                  <c:v>32.552300000001907</c:v>
                </c:pt>
                <c:pt idx="907">
                  <c:v>32.55240000000191</c:v>
                </c:pt>
                <c:pt idx="908">
                  <c:v>32.552500000001913</c:v>
                </c:pt>
                <c:pt idx="909">
                  <c:v>32.552600000001917</c:v>
                </c:pt>
                <c:pt idx="910">
                  <c:v>32.55270000000192</c:v>
                </c:pt>
                <c:pt idx="911">
                  <c:v>32.552800000001923</c:v>
                </c:pt>
                <c:pt idx="912">
                  <c:v>32.552900000001927</c:v>
                </c:pt>
                <c:pt idx="913">
                  <c:v>32.55300000000193</c:v>
                </c:pt>
                <c:pt idx="914">
                  <c:v>32.553100000001933</c:v>
                </c:pt>
                <c:pt idx="915">
                  <c:v>32.553200000001937</c:v>
                </c:pt>
                <c:pt idx="916">
                  <c:v>32.55330000000194</c:v>
                </c:pt>
                <c:pt idx="917">
                  <c:v>32.553400000001943</c:v>
                </c:pt>
                <c:pt idx="918">
                  <c:v>32.553500000001947</c:v>
                </c:pt>
                <c:pt idx="919">
                  <c:v>32.55360000000195</c:v>
                </c:pt>
                <c:pt idx="920">
                  <c:v>32.553700000001953</c:v>
                </c:pt>
                <c:pt idx="921">
                  <c:v>32.553800000001957</c:v>
                </c:pt>
                <c:pt idx="922">
                  <c:v>32.55390000000196</c:v>
                </c:pt>
                <c:pt idx="923">
                  <c:v>32.554000000001963</c:v>
                </c:pt>
                <c:pt idx="924">
                  <c:v>32.554100000001966</c:v>
                </c:pt>
                <c:pt idx="925">
                  <c:v>32.55420000000197</c:v>
                </c:pt>
                <c:pt idx="926">
                  <c:v>32.554300000001973</c:v>
                </c:pt>
                <c:pt idx="927">
                  <c:v>32.554400000001976</c:v>
                </c:pt>
                <c:pt idx="928">
                  <c:v>32.55450000000198</c:v>
                </c:pt>
                <c:pt idx="929">
                  <c:v>32.554600000001983</c:v>
                </c:pt>
                <c:pt idx="930">
                  <c:v>32.554700000001986</c:v>
                </c:pt>
                <c:pt idx="931">
                  <c:v>32.55480000000199</c:v>
                </c:pt>
                <c:pt idx="932">
                  <c:v>32.554900000001993</c:v>
                </c:pt>
                <c:pt idx="933">
                  <c:v>32.555000000001996</c:v>
                </c:pt>
                <c:pt idx="934">
                  <c:v>32.555100000002</c:v>
                </c:pt>
                <c:pt idx="935">
                  <c:v>32.555200000002003</c:v>
                </c:pt>
                <c:pt idx="936">
                  <c:v>32.555300000002006</c:v>
                </c:pt>
                <c:pt idx="937">
                  <c:v>32.55540000000201</c:v>
                </c:pt>
                <c:pt idx="938">
                  <c:v>32.555500000002013</c:v>
                </c:pt>
                <c:pt idx="939">
                  <c:v>32.555600000002016</c:v>
                </c:pt>
                <c:pt idx="940">
                  <c:v>32.55570000000202</c:v>
                </c:pt>
                <c:pt idx="941">
                  <c:v>32.555800000002023</c:v>
                </c:pt>
                <c:pt idx="942">
                  <c:v>32.555900000002026</c:v>
                </c:pt>
                <c:pt idx="943">
                  <c:v>32.55600000000203</c:v>
                </c:pt>
                <c:pt idx="944">
                  <c:v>32.556100000002033</c:v>
                </c:pt>
                <c:pt idx="945">
                  <c:v>32.556200000002036</c:v>
                </c:pt>
                <c:pt idx="946">
                  <c:v>32.556300000002039</c:v>
                </c:pt>
                <c:pt idx="947">
                  <c:v>32.556400000002043</c:v>
                </c:pt>
                <c:pt idx="948">
                  <c:v>32.556500000002046</c:v>
                </c:pt>
                <c:pt idx="949">
                  <c:v>32.556600000002049</c:v>
                </c:pt>
                <c:pt idx="950">
                  <c:v>32.556700000002053</c:v>
                </c:pt>
                <c:pt idx="951">
                  <c:v>32.556800000002056</c:v>
                </c:pt>
                <c:pt idx="952">
                  <c:v>32.556900000002059</c:v>
                </c:pt>
                <c:pt idx="953">
                  <c:v>32.557000000002063</c:v>
                </c:pt>
                <c:pt idx="954">
                  <c:v>32.557100000002066</c:v>
                </c:pt>
                <c:pt idx="955">
                  <c:v>32.557200000002069</c:v>
                </c:pt>
                <c:pt idx="956">
                  <c:v>32.557300000002073</c:v>
                </c:pt>
                <c:pt idx="957">
                  <c:v>32.557400000002076</c:v>
                </c:pt>
                <c:pt idx="958">
                  <c:v>32.557500000002079</c:v>
                </c:pt>
                <c:pt idx="959">
                  <c:v>32.557600000002083</c:v>
                </c:pt>
                <c:pt idx="960">
                  <c:v>32.557700000002086</c:v>
                </c:pt>
                <c:pt idx="961">
                  <c:v>32.557800000002089</c:v>
                </c:pt>
                <c:pt idx="962">
                  <c:v>32.557900000002093</c:v>
                </c:pt>
                <c:pt idx="963">
                  <c:v>32.558000000002096</c:v>
                </c:pt>
                <c:pt idx="964">
                  <c:v>32.558100000002099</c:v>
                </c:pt>
                <c:pt idx="965">
                  <c:v>32.558200000002103</c:v>
                </c:pt>
                <c:pt idx="966">
                  <c:v>32.558300000002106</c:v>
                </c:pt>
                <c:pt idx="967">
                  <c:v>32.558400000002109</c:v>
                </c:pt>
                <c:pt idx="968">
                  <c:v>32.558500000002113</c:v>
                </c:pt>
                <c:pt idx="969">
                  <c:v>32.558600000002116</c:v>
                </c:pt>
                <c:pt idx="970">
                  <c:v>32.558700000002119</c:v>
                </c:pt>
                <c:pt idx="971">
                  <c:v>32.558800000002122</c:v>
                </c:pt>
                <c:pt idx="972">
                  <c:v>32.558900000002126</c:v>
                </c:pt>
                <c:pt idx="973">
                  <c:v>32.559000000002129</c:v>
                </c:pt>
                <c:pt idx="974">
                  <c:v>32.559100000002132</c:v>
                </c:pt>
                <c:pt idx="975">
                  <c:v>32.559200000002136</c:v>
                </c:pt>
                <c:pt idx="976">
                  <c:v>32.559300000002139</c:v>
                </c:pt>
                <c:pt idx="977">
                  <c:v>32.559400000002142</c:v>
                </c:pt>
                <c:pt idx="978">
                  <c:v>32.559500000002146</c:v>
                </c:pt>
                <c:pt idx="979">
                  <c:v>32.559600000002149</c:v>
                </c:pt>
                <c:pt idx="980">
                  <c:v>32.559700000002152</c:v>
                </c:pt>
                <c:pt idx="981">
                  <c:v>32.559800000002156</c:v>
                </c:pt>
                <c:pt idx="982">
                  <c:v>32.559900000002159</c:v>
                </c:pt>
                <c:pt idx="983">
                  <c:v>32.560000000002162</c:v>
                </c:pt>
                <c:pt idx="984">
                  <c:v>32.560100000002166</c:v>
                </c:pt>
                <c:pt idx="985">
                  <c:v>32.560200000002169</c:v>
                </c:pt>
                <c:pt idx="986">
                  <c:v>32.560300000002172</c:v>
                </c:pt>
                <c:pt idx="987">
                  <c:v>32.560400000002176</c:v>
                </c:pt>
                <c:pt idx="988">
                  <c:v>32.560500000002179</c:v>
                </c:pt>
                <c:pt idx="989">
                  <c:v>32.560600000002182</c:v>
                </c:pt>
                <c:pt idx="990">
                  <c:v>32.560700000002186</c:v>
                </c:pt>
                <c:pt idx="991">
                  <c:v>32.560800000002189</c:v>
                </c:pt>
                <c:pt idx="992">
                  <c:v>32.560900000002192</c:v>
                </c:pt>
                <c:pt idx="993">
                  <c:v>32.561000000002196</c:v>
                </c:pt>
                <c:pt idx="994">
                  <c:v>32.561100000002199</c:v>
                </c:pt>
                <c:pt idx="995">
                  <c:v>32.561200000002202</c:v>
                </c:pt>
                <c:pt idx="996">
                  <c:v>32.561300000002205</c:v>
                </c:pt>
                <c:pt idx="997">
                  <c:v>32.561400000002209</c:v>
                </c:pt>
                <c:pt idx="998">
                  <c:v>32.561500000002212</c:v>
                </c:pt>
                <c:pt idx="999">
                  <c:v>32.561600000002215</c:v>
                </c:pt>
                <c:pt idx="1000">
                  <c:v>32.561700000002219</c:v>
                </c:pt>
              </c:numCache>
            </c:numRef>
          </c:xVal>
          <c:yVal>
            <c:numRef>
              <c:f>Calculs!$I$4:$I$1004</c:f>
              <c:numCache>
                <c:formatCode>0.00</c:formatCode>
                <c:ptCount val="1001"/>
                <c:pt idx="0">
                  <c:v>174.11119928081908</c:v>
                </c:pt>
                <c:pt idx="1">
                  <c:v>173.73627212953107</c:v>
                </c:pt>
                <c:pt idx="2">
                  <c:v>173.36259902985282</c:v>
                </c:pt>
                <c:pt idx="3">
                  <c:v>172.99017277760385</c:v>
                </c:pt>
                <c:pt idx="4">
                  <c:v>172.61898622402384</c:v>
                </c:pt>
                <c:pt idx="5">
                  <c:v>172.2490322752393</c:v>
                </c:pt>
                <c:pt idx="6">
                  <c:v>171.88030389173591</c:v>
                </c:pt>
                <c:pt idx="7">
                  <c:v>171.51279408783759</c:v>
                </c:pt>
                <c:pt idx="8">
                  <c:v>171.14649593119094</c:v>
                </c:pt>
                <c:pt idx="9">
                  <c:v>170.78140254225625</c:v>
                </c:pt>
                <c:pt idx="10">
                  <c:v>170.41750709380372</c:v>
                </c:pt>
                <c:pt idx="11">
                  <c:v>170.05479905975133</c:v>
                </c:pt>
                <c:pt idx="12">
                  <c:v>169.69326807804043</c:v>
                </c:pt>
                <c:pt idx="13">
                  <c:v>169.33290769949949</c:v>
                </c:pt>
                <c:pt idx="14">
                  <c:v>168.97371152178479</c:v>
                </c:pt>
                <c:pt idx="15">
                  <c:v>168.61567318895302</c:v>
                </c:pt>
                <c:pt idx="16">
                  <c:v>168.25878639103877</c:v>
                </c:pt>
                <c:pt idx="17">
                  <c:v>167.90304486363664</c:v>
                </c:pt>
                <c:pt idx="18">
                  <c:v>167.548442387488</c:v>
                </c:pt>
                <c:pt idx="19">
                  <c:v>167.19497278807182</c:v>
                </c:pt>
                <c:pt idx="20">
                  <c:v>166.84262993520085</c:v>
                </c:pt>
                <c:pt idx="21">
                  <c:v>166.49140962018998</c:v>
                </c:pt>
                <c:pt idx="22">
                  <c:v>166.14130762380023</c:v>
                </c:pt>
                <c:pt idx="23">
                  <c:v>165.79231783891373</c:v>
                </c:pt>
                <c:pt idx="24">
                  <c:v>165.44443420283761</c:v>
                </c:pt>
                <c:pt idx="25">
                  <c:v>165.09765069689891</c:v>
                </c:pt>
                <c:pt idx="26">
                  <c:v>164.75196134604394</c:v>
                </c:pt>
                <c:pt idx="27">
                  <c:v>164.40736021844188</c:v>
                </c:pt>
                <c:pt idx="28">
                  <c:v>164.06384142509305</c:v>
                </c:pt>
                <c:pt idx="29">
                  <c:v>163.72139911944097</c:v>
                </c:pt>
                <c:pt idx="30">
                  <c:v>163.38002749698916</c:v>
                </c:pt>
                <c:pt idx="31">
                  <c:v>163.03972079492169</c:v>
                </c:pt>
                <c:pt idx="32">
                  <c:v>162.700473291728</c:v>
                </c:pt>
                <c:pt idx="33">
                  <c:v>162.36227930683197</c:v>
                </c:pt>
                <c:pt idx="34">
                  <c:v>162.02513320022456</c:v>
                </c:pt>
                <c:pt idx="35">
                  <c:v>161.68902937210092</c:v>
                </c:pt>
                <c:pt idx="36">
                  <c:v>161.35396226250091</c:v>
                </c:pt>
                <c:pt idx="37">
                  <c:v>161.01992635095397</c:v>
                </c:pt>
                <c:pt idx="38">
                  <c:v>160.6869161561273</c:v>
                </c:pt>
                <c:pt idx="39">
                  <c:v>160.35492623547839</c:v>
                </c:pt>
                <c:pt idx="40">
                  <c:v>160.02395118491057</c:v>
                </c:pt>
                <c:pt idx="41">
                  <c:v>159.69398563843299</c:v>
                </c:pt>
                <c:pt idx="42">
                  <c:v>159.36502426782351</c:v>
                </c:pt>
                <c:pt idx="43">
                  <c:v>159.03706178229567</c:v>
                </c:pt>
                <c:pt idx="44">
                  <c:v>158.71009292816908</c:v>
                </c:pt>
                <c:pt idx="45">
                  <c:v>158.384112488543</c:v>
                </c:pt>
                <c:pt idx="46">
                  <c:v>158.05911528297398</c:v>
                </c:pt>
                <c:pt idx="47">
                  <c:v>157.73509616715623</c:v>
                </c:pt>
                <c:pt idx="48">
                  <c:v>157.4120500326058</c:v>
                </c:pt>
                <c:pt idx="49">
                  <c:v>157.08997180634799</c:v>
                </c:pt>
                <c:pt idx="50">
                  <c:v>156.76885645060796</c:v>
                </c:pt>
                <c:pt idx="51">
                  <c:v>156.44869896250458</c:v>
                </c:pt>
                <c:pt idx="52">
                  <c:v>156.12949437374769</c:v>
                </c:pt>
                <c:pt idx="53">
                  <c:v>155.81123775033817</c:v>
                </c:pt>
                <c:pt idx="54">
                  <c:v>155.49392419227146</c:v>
                </c:pt>
                <c:pt idx="55">
                  <c:v>155.17754883324403</c:v>
                </c:pt>
                <c:pt idx="56">
                  <c:v>154.86210684036286</c:v>
                </c:pt>
                <c:pt idx="57">
                  <c:v>154.54759341385798</c:v>
                </c:pt>
                <c:pt idx="58">
                  <c:v>154.23400378679816</c:v>
                </c:pt>
                <c:pt idx="59">
                  <c:v>153.92133322480899</c:v>
                </c:pt>
                <c:pt idx="60">
                  <c:v>153.60957702579472</c:v>
                </c:pt>
                <c:pt idx="61">
                  <c:v>153.29873051966212</c:v>
                </c:pt>
                <c:pt idx="62">
                  <c:v>152.98878906804774</c:v>
                </c:pt>
                <c:pt idx="63">
                  <c:v>152.67974806404763</c:v>
                </c:pt>
                <c:pt idx="64">
                  <c:v>152.37160293195026</c:v>
                </c:pt>
                <c:pt idx="65">
                  <c:v>152.06434912697156</c:v>
                </c:pt>
                <c:pt idx="66">
                  <c:v>151.75798213499326</c:v>
                </c:pt>
                <c:pt idx="67">
                  <c:v>151.45249747230343</c:v>
                </c:pt>
                <c:pt idx="68">
                  <c:v>151.14789068534006</c:v>
                </c:pt>
                <c:pt idx="69">
                  <c:v>150.84415735043689</c:v>
                </c:pt>
                <c:pt idx="70">
                  <c:v>150.54129307357212</c:v>
                </c:pt>
                <c:pt idx="71">
                  <c:v>150.23929349011942</c:v>
                </c:pt>
                <c:pt idx="72">
                  <c:v>149.93815426460168</c:v>
                </c:pt>
                <c:pt idx="73">
                  <c:v>149.63787109044696</c:v>
                </c:pt>
                <c:pt idx="74">
                  <c:v>149.33843968974716</c:v>
                </c:pt>
                <c:pt idx="75">
                  <c:v>149.03985581301913</c:v>
                </c:pt>
                <c:pt idx="76">
                  <c:v>148.74211523896787</c:v>
                </c:pt>
                <c:pt idx="77">
                  <c:v>148.44521377425244</c:v>
                </c:pt>
                <c:pt idx="78">
                  <c:v>148.14914725325403</c:v>
                </c:pt>
                <c:pt idx="79">
                  <c:v>147.85391153784647</c:v>
                </c:pt>
                <c:pt idx="80">
                  <c:v>147.5595025171688</c:v>
                </c:pt>
                <c:pt idx="81">
                  <c:v>147.26591610740039</c:v>
                </c:pt>
                <c:pt idx="82">
                  <c:v>146.97314825153822</c:v>
                </c:pt>
                <c:pt idx="83">
                  <c:v>146.68119491917608</c:v>
                </c:pt>
                <c:pt idx="84">
                  <c:v>146.39005210628645</c:v>
                </c:pt>
                <c:pt idx="85">
                  <c:v>146.09971583500419</c:v>
                </c:pt>
                <c:pt idx="86">
                  <c:v>145.81018215341234</c:v>
                </c:pt>
                <c:pt idx="87">
                  <c:v>145.52144713533031</c:v>
                </c:pt>
                <c:pt idx="88">
                  <c:v>145.23350688010387</c:v>
                </c:pt>
                <c:pt idx="89">
                  <c:v>144.94635751239753</c:v>
                </c:pt>
                <c:pt idx="90">
                  <c:v>144.65999518198845</c:v>
                </c:pt>
                <c:pt idx="91">
                  <c:v>144.37441606356296</c:v>
                </c:pt>
                <c:pt idx="92">
                  <c:v>144.0896163565146</c:v>
                </c:pt>
                <c:pt idx="93">
                  <c:v>143.80559228474436</c:v>
                </c:pt>
                <c:pt idx="94">
                  <c:v>143.52234009646287</c:v>
                </c:pt>
                <c:pt idx="95">
                  <c:v>143.23985606399441</c:v>
                </c:pt>
                <c:pt idx="96">
                  <c:v>142.9581364835829</c:v>
                </c:pt>
                <c:pt idx="97">
                  <c:v>142.6771776751998</c:v>
                </c:pt>
                <c:pt idx="98">
                  <c:v>142.39697598235367</c:v>
                </c:pt>
                <c:pt idx="99">
                  <c:v>142.11752777190196</c:v>
                </c:pt>
                <c:pt idx="100">
                  <c:v>141.83882943386411</c:v>
                </c:pt>
                <c:pt idx="101">
                  <c:v>139.05946826689109</c:v>
                </c:pt>
                <c:pt idx="102">
                  <c:v>136.3536464571186</c:v>
                </c:pt>
                <c:pt idx="103">
                  <c:v>133.71792419049612</c:v>
                </c:pt>
                <c:pt idx="104">
                  <c:v>131.14907311580754</c:v>
                </c:pt>
                <c:pt idx="105">
                  <c:v>128.64406027645498</c:v>
                </c:pt>
                <c:pt idx="106">
                  <c:v>126.20003349923545</c:v>
                </c:pt>
                <c:pt idx="107">
                  <c:v>123.8143080883095</c:v>
                </c:pt>
                <c:pt idx="108">
                  <c:v>121.4843546904718</c:v>
                </c:pt>
                <c:pt idx="109">
                  <c:v>119.207788213399</c:v>
                </c:pt>
                <c:pt idx="110">
                  <c:v>116.98235769211188</c:v>
                </c:pt>
                <c:pt idx="111">
                  <c:v>114.80593701072517</c:v>
                </c:pt>
                <c:pt idx="112">
                  <c:v>112.67651639691546</c:v>
                </c:pt>
                <c:pt idx="113">
                  <c:v>110.59219461561585</c:v>
                </c:pt>
                <c:pt idx="114">
                  <c:v>108.5511717964214</c:v>
                </c:pt>
                <c:pt idx="115">
                  <c:v>106.55174283620863</c:v>
                </c:pt>
                <c:pt idx="116">
                  <c:v>104.59229132466174</c:v>
                </c:pt>
                <c:pt idx="117">
                  <c:v>102.67128394586942</c:v>
                </c:pt>
                <c:pt idx="118">
                  <c:v>100.78726531399558</c:v>
                </c:pt>
                <c:pt idx="119">
                  <c:v>98.938853205323781</c:v>
                </c:pt>
                <c:pt idx="120">
                  <c:v>97.124734152789557</c:v>
                </c:pt>
                <c:pt idx="121">
                  <c:v>95.343659372512732</c:v>
                </c:pt>
                <c:pt idx="122">
                  <c:v>93.59444099487159</c:v>
                </c:pt>
                <c:pt idx="123">
                  <c:v>91.875948575369762</c:v>
                </c:pt>
                <c:pt idx="124">
                  <c:v>90.187105862971137</c:v>
                </c:pt>
                <c:pt idx="125">
                  <c:v>88.526887805755607</c:v>
                </c:pt>
                <c:pt idx="126">
                  <c:v>86.894317775705701</c:v>
                </c:pt>
                <c:pt idx="127">
                  <c:v>85.288464996199522</c:v>
                </c:pt>
                <c:pt idx="128">
                  <c:v>83.708442157380546</c:v>
                </c:pt>
                <c:pt idx="129">
                  <c:v>82.153403206020954</c:v>
                </c:pt>
                <c:pt idx="130">
                  <c:v>80.622541297809605</c:v>
                </c:pt>
                <c:pt idx="131">
                  <c:v>79.115086901194886</c:v>
                </c:pt>
                <c:pt idx="132">
                  <c:v>77.630306043010478</c:v>
                </c:pt>
                <c:pt idx="133">
                  <c:v>76.16749868712148</c:v>
                </c:pt>
                <c:pt idx="134">
                  <c:v>74.725997238260703</c:v>
                </c:pt>
                <c:pt idx="135">
                  <c:v>73.305165164091093</c:v>
                </c:pt>
                <c:pt idx="136">
                  <c:v>71.904395729338916</c:v>
                </c:pt>
                <c:pt idx="137">
                  <c:v>70.52311083660328</c:v>
                </c:pt>
                <c:pt idx="138">
                  <c:v>69.160759969168339</c:v>
                </c:pt>
                <c:pt idx="139">
                  <c:v>67.816819231832881</c:v>
                </c:pt>
                <c:pt idx="140">
                  <c:v>66.490790486435188</c:v>
                </c:pt>
                <c:pt idx="141">
                  <c:v>65.18220057939655</c:v>
                </c:pt>
                <c:pt idx="142">
                  <c:v>63.89060065924042</c:v>
                </c:pt>
                <c:pt idx="143">
                  <c:v>62.61556558267332</c:v>
                </c:pt>
                <c:pt idx="144">
                  <c:v>61.356693408445111</c:v>
                </c:pt>
                <c:pt idx="145">
                  <c:v>60.113604978845423</c:v>
                </c:pt>
                <c:pt idx="146">
                  <c:v>58.885943589348159</c:v>
                </c:pt>
                <c:pt idx="147">
                  <c:v>57.673374747593044</c:v>
                </c:pt>
                <c:pt idx="148">
                  <c:v>56.475586023599014</c:v>
                </c:pt>
                <c:pt idx="149">
                  <c:v>55.292286993846631</c:v>
                </c:pt>
                <c:pt idx="150">
                  <c:v>54.123209282652311</c:v>
                </c:pt>
                <c:pt idx="151">
                  <c:v>52.968106705093703</c:v>
                </c:pt>
                <c:pt idx="152">
                  <c:v>51.826755516640162</c:v>
                </c:pt>
                <c:pt idx="153">
                  <c:v>50.698954775602537</c:v>
                </c:pt>
                <c:pt idx="154">
                  <c:v>49.584526825548224</c:v>
                </c:pt>
                <c:pt idx="155">
                  <c:v>48.48331790593754</c:v>
                </c:pt>
                <c:pt idx="156">
                  <c:v>47.395198900429413</c:v>
                </c:pt>
                <c:pt idx="157">
                  <c:v>46.320066233580917</c:v>
                </c:pt>
                <c:pt idx="158">
                  <c:v>45.257842928024409</c:v>
                </c:pt>
                <c:pt idx="159">
                  <c:v>44.208479835642869</c:v>
                </c:pt>
                <c:pt idx="160">
                  <c:v>43.171957057764146</c:v>
                </c:pt>
                <c:pt idx="161">
                  <c:v>42.148285570937141</c:v>
                </c:pt>
                <c:pt idx="162">
                  <c:v>41.137509076399724</c:v>
                </c:pt>
                <c:pt idx="163">
                  <c:v>40.139706092847469</c:v>
                </c:pt>
                <c:pt idx="164">
                  <c:v>39.154992313483994</c:v>
                </c:pt>
                <c:pt idx="165">
                  <c:v>38.183523249468244</c:v>
                </c:pt>
                <c:pt idx="166">
                  <c:v>37.225497182617865</c:v>
                </c:pt>
                <c:pt idx="167">
                  <c:v>36.281158450371578</c:v>
                </c:pt>
                <c:pt idx="168">
                  <c:v>35.350801085276196</c:v>
                </c:pt>
                <c:pt idx="169">
                  <c:v>34.434772829272617</c:v>
                </c:pt>
                <c:pt idx="170">
                  <c:v>33.533479539321227</c:v>
                </c:pt>
                <c:pt idx="171">
                  <c:v>32.647389994799269</c:v>
                </c:pt>
                <c:pt idx="172">
                  <c:v>31.777041107817361</c:v>
                </c:pt>
                <c:pt idx="173">
                  <c:v>30.923043524133082</c:v>
                </c:pt>
                <c:pt idx="174">
                  <c:v>30.086087583452517</c:v>
                </c:pt>
                <c:pt idx="175">
                  <c:v>29.266949582129165</c:v>
                </c:pt>
                <c:pt idx="176">
                  <c:v>28.466498246888108</c:v>
                </c:pt>
                <c:pt idx="177">
                  <c:v>27.685701283336687</c:v>
                </c:pt>
                <c:pt idx="178">
                  <c:v>26.925631805736465</c:v>
                </c:pt>
                <c:pt idx="179">
                  <c:v>26.187474383049576</c:v>
                </c:pt>
                <c:pt idx="180">
                  <c:v>25.472530349446245</c:v>
                </c:pt>
                <c:pt idx="181">
                  <c:v>24.782221925240862</c:v>
                </c:pt>
                <c:pt idx="182">
                  <c:v>24.118094578585794</c:v>
                </c:pt>
                <c:pt idx="183">
                  <c:v>23.481816934295445</c:v>
                </c:pt>
                <c:pt idx="184">
                  <c:v>22.87517741347374</c:v>
                </c:pt>
                <c:pt idx="185">
                  <c:v>22.30007668165495</c:v>
                </c:pt>
                <c:pt idx="186">
                  <c:v>21.758514916478038</c:v>
                </c:pt>
                <c:pt idx="187">
                  <c:v>21.252572908396328</c:v>
                </c:pt>
                <c:pt idx="188">
                  <c:v>20.784386115434298</c:v>
                </c:pt>
                <c:pt idx="189">
                  <c:v>20.356111043251083</c:v>
                </c:pt>
                <c:pt idx="190">
                  <c:v>19.969883746650634</c:v>
                </c:pt>
                <c:pt idx="191">
                  <c:v>19.627770862890507</c:v>
                </c:pt>
                <c:pt idx="192">
                  <c:v>19.331714374389314</c:v>
                </c:pt>
                <c:pt idx="193">
                  <c:v>19.083472198623756</c:v>
                </c:pt>
                <c:pt idx="194">
                  <c:v>18.884557605974184</c:v>
                </c:pt>
                <c:pt idx="195">
                  <c:v>18.73618121847473</c:v>
                </c:pt>
                <c:pt idx="196">
                  <c:v>18.63919977107313</c:v>
                </c:pt>
                <c:pt idx="197">
                  <c:v>18.594075770662897</c:v>
                </c:pt>
                <c:pt idx="198">
                  <c:v>18.60085158446557</c:v>
                </c:pt>
                <c:pt idx="199">
                  <c:v>18.6591403537006</c:v>
                </c:pt>
                <c:pt idx="200">
                  <c:v>18.768134605947136</c:v>
                </c:pt>
                <c:pt idx="201">
                  <c:v>18.926631770095042</c:v>
                </c:pt>
                <c:pt idx="202">
                  <c:v>19.133074258908163</c:v>
                </c:pt>
                <c:pt idx="203">
                  <c:v>19.385600620594797</c:v>
                </c:pt>
                <c:pt idx="204">
                  <c:v>19.6821036250529</c:v>
                </c:pt>
                <c:pt idx="205">
                  <c:v>20.020291075794304</c:v>
                </c:pt>
                <c:pt idx="206">
                  <c:v>20.397745548167233</c:v>
                </c:pt>
                <c:pt idx="207">
                  <c:v>20.811979999104043</c:v>
                </c:pt>
                <c:pt idx="208">
                  <c:v>21.260487099395061</c:v>
                </c:pt>
                <c:pt idx="209">
                  <c:v>21.740781049762933</c:v>
                </c:pt>
                <c:pt idx="210">
                  <c:v>22.250431442845276</c:v>
                </c:pt>
                <c:pt idx="211">
                  <c:v>22.787089361181245</c:v>
                </c:pt>
                <c:pt idx="212">
                  <c:v>23.348506337892776</c:v>
                </c:pt>
                <c:pt idx="213">
                  <c:v>23.932547065556005</c:v>
                </c:pt>
                <c:pt idx="214">
                  <c:v>24.537196851508952</c:v>
                </c:pt>
                <c:pt idx="215">
                  <c:v>25.160564822684229</c:v>
                </c:pt>
                <c:pt idx="216">
                  <c:v>25.800883816556649</c:v>
                </c:pt>
                <c:pt idx="217">
                  <c:v>26.456507787599538</c:v>
                </c:pt>
                <c:pt idx="218">
                  <c:v>27.125907433933346</c:v>
                </c:pt>
                <c:pt idx="219">
                  <c:v>27.807664622592817</c:v>
                </c:pt>
                <c:pt idx="220">
                  <c:v>28.500466073938586</c:v>
                </c:pt>
                <c:pt idx="221">
                  <c:v>29.203096661487407</c:v>
                </c:pt>
                <c:pt idx="222">
                  <c:v>29.914432594897157</c:v>
                </c:pt>
                <c:pt idx="223">
                  <c:v>30.633434681010481</c:v>
                </c:pt>
                <c:pt idx="224">
                  <c:v>31.359141799525055</c:v>
                </c:pt>
                <c:pt idx="225">
                  <c:v>32.090664684222617</c:v>
                </c:pt>
                <c:pt idx="226">
                  <c:v>32.827180065767934</c:v>
                </c:pt>
                <c:pt idx="227">
                  <c:v>33.567925205950111</c:v>
                </c:pt>
                <c:pt idx="228">
                  <c:v>34.312192834131622</c:v>
                </c:pt>
                <c:pt idx="229">
                  <c:v>35.059326483081108</c:v>
                </c:pt>
                <c:pt idx="230">
                  <c:v>35.808716212030546</c:v>
                </c:pt>
                <c:pt idx="231">
                  <c:v>36.559794698685721</c:v>
                </c:pt>
                <c:pt idx="232">
                  <c:v>37.312033678208898</c:v>
                </c:pt>
                <c:pt idx="233">
                  <c:v>38.064940705240446</c:v>
                </c:pt>
                <c:pt idx="234">
                  <c:v>38.818056214333026</c:v>
                </c:pt>
                <c:pt idx="235">
                  <c:v>39.570950854358571</c:v>
                </c:pt>
                <c:pt idx="236">
                  <c:v>40.32322307322859</c:v>
                </c:pt>
                <c:pt idx="237">
                  <c:v>41.07449693043079</c:v>
                </c:pt>
                <c:pt idx="238">
                  <c:v>41.824420116273657</c:v>
                </c:pt>
                <c:pt idx="239">
                  <c:v>42.572662158234465</c:v>
                </c:pt>
                <c:pt idx="240">
                  <c:v>43.318912796345479</c:v>
                </c:pt>
                <c:pt idx="241">
                  <c:v>44.062880511074745</c:v>
                </c:pt>
                <c:pt idx="242">
                  <c:v>44.804291188624426</c:v>
                </c:pt>
                <c:pt idx="243">
                  <c:v>45.542886909959734</c:v>
                </c:pt>
                <c:pt idx="244">
                  <c:v>46.278424851181057</c:v>
                </c:pt>
                <c:pt idx="245">
                  <c:v>47.010676284055378</c:v>
                </c:pt>
                <c:pt idx="246">
                  <c:v>47.739425666628819</c:v>
                </c:pt>
                <c:pt idx="247">
                  <c:v>48.464469814851959</c:v>
                </c:pt>
                <c:pt idx="248">
                  <c:v>49.18561714706734</c:v>
                </c:pt>
                <c:pt idx="249">
                  <c:v>49.90268699403984</c:v>
                </c:pt>
                <c:pt idx="250">
                  <c:v>50.61550896796092</c:v>
                </c:pt>
                <c:pt idx="251">
                  <c:v>51.323922384533738</c:v>
                </c:pt>
                <c:pt idx="252">
                  <c:v>52.027775732853655</c:v>
                </c:pt>
                <c:pt idx="253">
                  <c:v>52.726926188344393</c:v>
                </c:pt>
                <c:pt idx="254">
                  <c:v>53.421239164499283</c:v>
                </c:pt>
                <c:pt idx="255">
                  <c:v>54.110587899615616</c:v>
                </c:pt>
                <c:pt idx="256">
                  <c:v>54.794853075102715</c:v>
                </c:pt>
                <c:pt idx="257">
                  <c:v>55.473922462296088</c:v>
                </c:pt>
                <c:pt idx="258">
                  <c:v>56.147690595024677</c:v>
                </c:pt>
                <c:pt idx="259">
                  <c:v>56.816058465459996</c:v>
                </c:pt>
                <c:pt idx="260">
                  <c:v>57.478933241028223</c:v>
                </c:pt>
                <c:pt idx="261">
                  <c:v>58.136228000392094</c:v>
                </c:pt>
                <c:pt idx="262">
                  <c:v>58.787861486711684</c:v>
                </c:pt>
                <c:pt idx="263">
                  <c:v>59.433757876574305</c:v>
                </c:pt>
                <c:pt idx="264">
                  <c:v>60.07384656314629</c:v>
                </c:pt>
                <c:pt idx="265">
                  <c:v>60.708061952244769</c:v>
                </c:pt>
                <c:pt idx="266">
                  <c:v>61.336343270158231</c:v>
                </c:pt>
                <c:pt idx="267">
                  <c:v>61.958634382161847</c:v>
                </c:pt>
                <c:pt idx="268">
                  <c:v>62.574883620778607</c:v>
                </c:pt>
                <c:pt idx="269">
                  <c:v>63.185043622931829</c:v>
                </c:pt>
                <c:pt idx="270">
                  <c:v>63.78907117521954</c:v>
                </c:pt>
                <c:pt idx="271">
                  <c:v>64.386927066617417</c:v>
                </c:pt>
                <c:pt idx="272">
                  <c:v>64.978575947985689</c:v>
                </c:pt>
                <c:pt idx="273">
                  <c:v>65.563986197817059</c:v>
                </c:pt>
                <c:pt idx="274">
                  <c:v>66.143129793718487</c:v>
                </c:pt>
                <c:pt idx="275">
                  <c:v>66.715982189169353</c:v>
                </c:pt>
                <c:pt idx="276">
                  <c:v>67.282522195144125</c:v>
                </c:pt>
                <c:pt idx="277">
                  <c:v>67.842731866227624</c:v>
                </c:pt>
                <c:pt idx="278">
                  <c:v>68.396596390888249</c:v>
                </c:pt>
                <c:pt idx="279">
                  <c:v>68.9441039856071</c:v>
                </c:pt>
                <c:pt idx="280">
                  <c:v>69.485245792590689</c:v>
                </c:pt>
                <c:pt idx="281">
                  <c:v>70.020015780822064</c:v>
                </c:pt>
                <c:pt idx="282">
                  <c:v>70.548410650229215</c:v>
                </c:pt>
                <c:pt idx="283">
                  <c:v>71.070429738771097</c:v>
                </c:pt>
                <c:pt idx="284">
                  <c:v>71.586074932262093</c:v>
                </c:pt>
                <c:pt idx="285">
                  <c:v>72.095350576772489</c:v>
                </c:pt>
                <c:pt idx="286">
                  <c:v>72.59826339345959</c:v>
                </c:pt>
                <c:pt idx="287">
                  <c:v>73.094822395697364</c:v>
                </c:pt>
                <c:pt idx="288">
                  <c:v>73.585038808386642</c:v>
                </c:pt>
                <c:pt idx="289">
                  <c:v>74.068925989338609</c:v>
                </c:pt>
                <c:pt idx="290">
                  <c:v>74.546499352635593</c:v>
                </c:pt>
                <c:pt idx="291">
                  <c:v>75.017776293882164</c:v>
                </c:pt>
                <c:pt idx="292">
                  <c:v>75.482776117268202</c:v>
                </c:pt>
                <c:pt idx="293">
                  <c:v>75.941519964373342</c:v>
                </c:pt>
                <c:pt idx="294">
                  <c:v>76.394030744648887</c:v>
                </c:pt>
                <c:pt idx="295">
                  <c:v>76.840333067519623</c:v>
                </c:pt>
                <c:pt idx="296">
                  <c:v>77.280453176053157</c:v>
                </c:pt>
                <c:pt idx="297">
                  <c:v>77.714418882149801</c:v>
                </c:pt>
                <c:pt idx="298">
                  <c:v>78.142259503209814</c:v>
                </c:pt>
                <c:pt idx="299">
                  <c:v>78.564005800239485</c:v>
                </c:pt>
                <c:pt idx="300">
                  <c:v>78.979689917360005</c:v>
                </c:pt>
                <c:pt idx="301">
                  <c:v>79.389345322687404</c:v>
                </c:pt>
                <c:pt idx="302">
                  <c:v>79.793006750553303</c:v>
                </c:pt>
                <c:pt idx="303">
                  <c:v>80.190710145039773</c:v>
                </c:pt>
                <c:pt idx="304">
                  <c:v>80.582492604802738</c:v>
                </c:pt>
                <c:pt idx="305">
                  <c:v>80.968392329161176</c:v>
                </c:pt>
                <c:pt idx="306">
                  <c:v>81.34844856542999</c:v>
                </c:pt>
                <c:pt idx="307">
                  <c:v>81.72270155747691</c:v>
                </c:pt>
                <c:pt idx="308">
                  <c:v>82.091192495484009</c:v>
                </c:pt>
                <c:pt idx="309">
                  <c:v>82.453963466896369</c:v>
                </c:pt>
                <c:pt idx="310">
                  <c:v>82.811057408540577</c:v>
                </c:pt>
                <c:pt idx="311">
                  <c:v>83.162518059897096</c:v>
                </c:pt>
                <c:pt idx="312">
                  <c:v>83.508389917510883</c:v>
                </c:pt>
                <c:pt idx="313">
                  <c:v>83.848718190525233</c:v>
                </c:pt>
                <c:pt idx="314">
                  <c:v>84.18354875732436</c:v>
                </c:pt>
                <c:pt idx="315">
                  <c:v>84.512928123270541</c:v>
                </c:pt>
                <c:pt idx="316">
                  <c:v>84.836903379521658</c:v>
                </c:pt>
                <c:pt idx="317">
                  <c:v>85.155522162916029</c:v>
                </c:pt>
                <c:pt idx="318">
                  <c:v>85.468832616910461</c:v>
                </c:pt>
                <c:pt idx="319">
                  <c:v>85.776883353558347</c:v>
                </c:pt>
                <c:pt idx="320">
                  <c:v>86.079723416514625</c:v>
                </c:pt>
                <c:pt idx="321">
                  <c:v>86.377402245054</c:v>
                </c:pt>
                <c:pt idx="322">
                  <c:v>86.669969639089572</c:v>
                </c:pt>
                <c:pt idx="323">
                  <c:v>86.957475725178099</c:v>
                </c:pt>
                <c:pt idx="324">
                  <c:v>87.239970923498916</c:v>
                </c:pt>
                <c:pt idx="325">
                  <c:v>87.517505915793066</c:v>
                </c:pt>
                <c:pt idx="326">
                  <c:v>87.790131614248949</c:v>
                </c:pt>
                <c:pt idx="327">
                  <c:v>88.057899131321193</c:v>
                </c:pt>
                <c:pt idx="328">
                  <c:v>88.32085975046904</c:v>
                </c:pt>
                <c:pt idx="329">
                  <c:v>88.579064897800379</c:v>
                </c:pt>
                <c:pt idx="330">
                  <c:v>88.832566114607872</c:v>
                </c:pt>
                <c:pt idx="331">
                  <c:v>89.081415030782878</c:v>
                </c:pt>
                <c:pt idx="332">
                  <c:v>89.325663339093666</c:v>
                </c:pt>
                <c:pt idx="333">
                  <c:v>89.565362770313229</c:v>
                </c:pt>
                <c:pt idx="334">
                  <c:v>89.800565069182952</c:v>
                </c:pt>
                <c:pt idx="335">
                  <c:v>90.031321971197798</c:v>
                </c:pt>
                <c:pt idx="336">
                  <c:v>90.257685180198408</c:v>
                </c:pt>
                <c:pt idx="337">
                  <c:v>90.479706346755947</c:v>
                </c:pt>
                <c:pt idx="338">
                  <c:v>90.697437047335342</c:v>
                </c:pt>
                <c:pt idx="339">
                  <c:v>90.910928764222049</c:v>
                </c:pt>
                <c:pt idx="340">
                  <c:v>91.12023286619808</c:v>
                </c:pt>
                <c:pt idx="341">
                  <c:v>91.325400589952721</c:v>
                </c:pt>
                <c:pt idx="342">
                  <c:v>91.526483022213128</c:v>
                </c:pt>
                <c:pt idx="343">
                  <c:v>91.723531082580635</c:v>
                </c:pt>
                <c:pt idx="344">
                  <c:v>91.916595507057565</c:v>
                </c:pt>
                <c:pt idx="345">
                  <c:v>92.105726832250696</c:v>
                </c:pt>
                <c:pt idx="346">
                  <c:v>92.290975380236262</c:v>
                </c:pt>
                <c:pt idx="347">
                  <c:v>92.472391244072213</c:v>
                </c:pt>
                <c:pt idx="348">
                  <c:v>92.650024273943515</c:v>
                </c:pt>
                <c:pt idx="349">
                  <c:v>92.823924063925489</c:v>
                </c:pt>
                <c:pt idx="350">
                  <c:v>92.994139939351513</c:v>
                </c:pt>
                <c:pt idx="351">
                  <c:v>93.160720944770432</c:v>
                </c:pt>
                <c:pt idx="352">
                  <c:v>93.323715832479678</c:v>
                </c:pt>
                <c:pt idx="353">
                  <c:v>93.483173051619872</c:v>
                </c:pt>
                <c:pt idx="354">
                  <c:v>93.6391407378172</c:v>
                </c:pt>
                <c:pt idx="355">
                  <c:v>93.79166670335951</c:v>
                </c:pt>
                <c:pt idx="356">
                  <c:v>93.940798427892432</c:v>
                </c:pt>
                <c:pt idx="357">
                  <c:v>94.086583049622092</c:v>
                </c:pt>
                <c:pt idx="358">
                  <c:v>94.229067357010578</c:v>
                </c:pt>
                <c:pt idx="359">
                  <c:v>94.368297780951437</c:v>
                </c:pt>
                <c:pt idx="360">
                  <c:v>94.50432038741144</c:v>
                </c:pt>
                <c:pt idx="361">
                  <c:v>94.637180870525938</c:v>
                </c:pt>
                <c:pt idx="362">
                  <c:v>94.766924546134916</c:v>
                </c:pt>
                <c:pt idx="363">
                  <c:v>94.893596345747085</c:v>
                </c:pt>
                <c:pt idx="364">
                  <c:v>95.017240810919375</c:v>
                </c:pt>
                <c:pt idx="365">
                  <c:v>95.137902088039695</c:v>
                </c:pt>
                <c:pt idx="366">
                  <c:v>95.255623923500622</c:v>
                </c:pt>
                <c:pt idx="367">
                  <c:v>95.370449659252344</c:v>
                </c:pt>
                <c:pt idx="368">
                  <c:v>95.482422228722697</c:v>
                </c:pt>
                <c:pt idx="369">
                  <c:v>95.591584153093066</c:v>
                </c:pt>
                <c:pt idx="370">
                  <c:v>95.697977537918618</c:v>
                </c:pt>
                <c:pt idx="371">
                  <c:v>95.801644070081736</c:v>
                </c:pt>
                <c:pt idx="372">
                  <c:v>95.902625015067528</c:v>
                </c:pt>
                <c:pt idx="373">
                  <c:v>96.000961214550912</c:v>
                </c:pt>
                <c:pt idx="374">
                  <c:v>96.096693084284396</c:v>
                </c:pt>
                <c:pt idx="375">
                  <c:v>96.189860612276448</c:v>
                </c:pt>
                <c:pt idx="376">
                  <c:v>96.280503357249984</c:v>
                </c:pt>
                <c:pt idx="377">
                  <c:v>96.368660447371468</c:v>
                </c:pt>
                <c:pt idx="378">
                  <c:v>96.454370579240262</c:v>
                </c:pt>
                <c:pt idx="379">
                  <c:v>96.53767201712931</c:v>
                </c:pt>
                <c:pt idx="380">
                  <c:v>96.618602592467298</c:v>
                </c:pt>
                <c:pt idx="381">
                  <c:v>96.697199703553522</c:v>
                </c:pt>
                <c:pt idx="382">
                  <c:v>96.773500315496307</c:v>
                </c:pt>
                <c:pt idx="383">
                  <c:v>96.847540960366302</c:v>
                </c:pt>
                <c:pt idx="384">
                  <c:v>96.847612758321773</c:v>
                </c:pt>
                <c:pt idx="385">
                  <c:v>96.847684554092567</c:v>
                </c:pt>
                <c:pt idx="386">
                  <c:v>96.847756347678725</c:v>
                </c:pt>
                <c:pt idx="387">
                  <c:v>96.847828139080292</c:v>
                </c:pt>
                <c:pt idx="388">
                  <c:v>96.847899928297267</c:v>
                </c:pt>
                <c:pt idx="389">
                  <c:v>96.847971715329734</c:v>
                </c:pt>
                <c:pt idx="390">
                  <c:v>96.848043500177695</c:v>
                </c:pt>
                <c:pt idx="391">
                  <c:v>96.848115282841178</c:v>
                </c:pt>
                <c:pt idx="392">
                  <c:v>96.848187063320267</c:v>
                </c:pt>
                <c:pt idx="393">
                  <c:v>96.84825884161495</c:v>
                </c:pt>
                <c:pt idx="394">
                  <c:v>96.848330617725267</c:v>
                </c:pt>
                <c:pt idx="395">
                  <c:v>96.848402391651263</c:v>
                </c:pt>
                <c:pt idx="396">
                  <c:v>96.848474163392979</c:v>
                </c:pt>
                <c:pt idx="397">
                  <c:v>96.848545932950429</c:v>
                </c:pt>
                <c:pt idx="398">
                  <c:v>96.848617700323672</c:v>
                </c:pt>
                <c:pt idx="399">
                  <c:v>96.848689465512734</c:v>
                </c:pt>
                <c:pt idx="400">
                  <c:v>96.848761228517645</c:v>
                </c:pt>
                <c:pt idx="401">
                  <c:v>96.848832989338447</c:v>
                </c:pt>
                <c:pt idx="402">
                  <c:v>96.848904747975183</c:v>
                </c:pt>
                <c:pt idx="403">
                  <c:v>96.848976504427853</c:v>
                </c:pt>
                <c:pt idx="404">
                  <c:v>96.849048258696527</c:v>
                </c:pt>
                <c:pt idx="405">
                  <c:v>96.849120010781235</c:v>
                </c:pt>
                <c:pt idx="406">
                  <c:v>96.84919176068199</c:v>
                </c:pt>
                <c:pt idx="407">
                  <c:v>96.849263508398863</c:v>
                </c:pt>
                <c:pt idx="408">
                  <c:v>96.849335253931855</c:v>
                </c:pt>
                <c:pt idx="409">
                  <c:v>96.849406997281008</c:v>
                </c:pt>
                <c:pt idx="410">
                  <c:v>96.849478738446365</c:v>
                </c:pt>
                <c:pt idx="411">
                  <c:v>96.849550477427968</c:v>
                </c:pt>
                <c:pt idx="412">
                  <c:v>96.849622214225832</c:v>
                </c:pt>
                <c:pt idx="413">
                  <c:v>96.849693948840027</c:v>
                </c:pt>
                <c:pt idx="414">
                  <c:v>96.849765681270569</c:v>
                </c:pt>
                <c:pt idx="415">
                  <c:v>96.84983741151747</c:v>
                </c:pt>
                <c:pt idx="416">
                  <c:v>96.849909139580774</c:v>
                </c:pt>
                <c:pt idx="417">
                  <c:v>96.849980865460523</c:v>
                </c:pt>
                <c:pt idx="418">
                  <c:v>96.850052589156789</c:v>
                </c:pt>
                <c:pt idx="419">
                  <c:v>96.850124310669557</c:v>
                </c:pt>
                <c:pt idx="420">
                  <c:v>96.85019602999887</c:v>
                </c:pt>
                <c:pt idx="421">
                  <c:v>96.850267747144756</c:v>
                </c:pt>
                <c:pt idx="422">
                  <c:v>96.850339462107272</c:v>
                </c:pt>
                <c:pt idx="423">
                  <c:v>96.85041117488646</c:v>
                </c:pt>
                <c:pt idx="424">
                  <c:v>96.850482885482336</c:v>
                </c:pt>
                <c:pt idx="425">
                  <c:v>96.850554593894941</c:v>
                </c:pt>
                <c:pt idx="426">
                  <c:v>96.850626300124304</c:v>
                </c:pt>
                <c:pt idx="427">
                  <c:v>96.850698004170468</c:v>
                </c:pt>
                <c:pt idx="428">
                  <c:v>96.850769706033461</c:v>
                </c:pt>
                <c:pt idx="429">
                  <c:v>96.850841405713325</c:v>
                </c:pt>
                <c:pt idx="430">
                  <c:v>96.850913103210075</c:v>
                </c:pt>
                <c:pt idx="431">
                  <c:v>96.850984798523797</c:v>
                </c:pt>
                <c:pt idx="432">
                  <c:v>96.851056491654461</c:v>
                </c:pt>
                <c:pt idx="433">
                  <c:v>96.851128182602139</c:v>
                </c:pt>
                <c:pt idx="434">
                  <c:v>96.851199871366873</c:v>
                </c:pt>
                <c:pt idx="435">
                  <c:v>96.851271557948664</c:v>
                </c:pt>
                <c:pt idx="436">
                  <c:v>96.851343242347582</c:v>
                </c:pt>
                <c:pt idx="437">
                  <c:v>96.851414924563642</c:v>
                </c:pt>
                <c:pt idx="438">
                  <c:v>96.851486604596872</c:v>
                </c:pt>
                <c:pt idx="439">
                  <c:v>96.851558282447343</c:v>
                </c:pt>
                <c:pt idx="440">
                  <c:v>96.851629958115069</c:v>
                </c:pt>
                <c:pt idx="441">
                  <c:v>96.851701631600065</c:v>
                </c:pt>
                <c:pt idx="442">
                  <c:v>96.851773302902387</c:v>
                </c:pt>
                <c:pt idx="443">
                  <c:v>96.851844972022064</c:v>
                </c:pt>
                <c:pt idx="444">
                  <c:v>96.851916638959139</c:v>
                </c:pt>
                <c:pt idx="445">
                  <c:v>96.85198830371364</c:v>
                </c:pt>
                <c:pt idx="446">
                  <c:v>96.852059966285594</c:v>
                </c:pt>
                <c:pt idx="447">
                  <c:v>96.85213162667506</c:v>
                </c:pt>
                <c:pt idx="448">
                  <c:v>96.852203284882066</c:v>
                </c:pt>
                <c:pt idx="449">
                  <c:v>96.852274940906625</c:v>
                </c:pt>
                <c:pt idx="450">
                  <c:v>96.852346594748781</c:v>
                </c:pt>
                <c:pt idx="451">
                  <c:v>96.852418246408575</c:v>
                </c:pt>
                <c:pt idx="452">
                  <c:v>96.852489895886052</c:v>
                </c:pt>
                <c:pt idx="453">
                  <c:v>96.852561543181238</c:v>
                </c:pt>
                <c:pt idx="454">
                  <c:v>96.852633188294163</c:v>
                </c:pt>
                <c:pt idx="455">
                  <c:v>96.852704831224884</c:v>
                </c:pt>
                <c:pt idx="456">
                  <c:v>96.852776471973385</c:v>
                </c:pt>
                <c:pt idx="457">
                  <c:v>96.852848110539753</c:v>
                </c:pt>
                <c:pt idx="458">
                  <c:v>96.852919746923988</c:v>
                </c:pt>
                <c:pt idx="459">
                  <c:v>96.852991381126145</c:v>
                </c:pt>
                <c:pt idx="460">
                  <c:v>96.853063013146269</c:v>
                </c:pt>
                <c:pt idx="461">
                  <c:v>96.853134642984358</c:v>
                </c:pt>
                <c:pt idx="462">
                  <c:v>96.853206270640484</c:v>
                </c:pt>
                <c:pt idx="463">
                  <c:v>96.853277896114662</c:v>
                </c:pt>
                <c:pt idx="464">
                  <c:v>96.853349519406933</c:v>
                </c:pt>
                <c:pt idx="465">
                  <c:v>96.853421140517327</c:v>
                </c:pt>
                <c:pt idx="466">
                  <c:v>96.853492759445885</c:v>
                </c:pt>
                <c:pt idx="467">
                  <c:v>96.853564376192637</c:v>
                </c:pt>
                <c:pt idx="468">
                  <c:v>96.853635990757638</c:v>
                </c:pt>
                <c:pt idx="469">
                  <c:v>96.85370760314089</c:v>
                </c:pt>
                <c:pt idx="470">
                  <c:v>96.853779213342449</c:v>
                </c:pt>
                <c:pt idx="471">
                  <c:v>96.853850821362343</c:v>
                </c:pt>
                <c:pt idx="472">
                  <c:v>96.853922427200601</c:v>
                </c:pt>
                <c:pt idx="473">
                  <c:v>96.853994030857265</c:v>
                </c:pt>
                <c:pt idx="474">
                  <c:v>96.854065632332393</c:v>
                </c:pt>
                <c:pt idx="475">
                  <c:v>96.854137231625984</c:v>
                </c:pt>
                <c:pt idx="476">
                  <c:v>96.854208828738081</c:v>
                </c:pt>
                <c:pt idx="477">
                  <c:v>96.85428042366874</c:v>
                </c:pt>
                <c:pt idx="478">
                  <c:v>96.854352016417977</c:v>
                </c:pt>
                <c:pt idx="479">
                  <c:v>96.854423606985833</c:v>
                </c:pt>
                <c:pt idx="480">
                  <c:v>96.854495195372337</c:v>
                </c:pt>
                <c:pt idx="481">
                  <c:v>96.854566781577532</c:v>
                </c:pt>
                <c:pt idx="482">
                  <c:v>96.854638365601431</c:v>
                </c:pt>
                <c:pt idx="483">
                  <c:v>96.854709947444107</c:v>
                </c:pt>
                <c:pt idx="484">
                  <c:v>96.854781527105573</c:v>
                </c:pt>
                <c:pt idx="485">
                  <c:v>96.854853104585857</c:v>
                </c:pt>
                <c:pt idx="486">
                  <c:v>96.854924679885016</c:v>
                </c:pt>
                <c:pt idx="487">
                  <c:v>96.854996253003051</c:v>
                </c:pt>
                <c:pt idx="488">
                  <c:v>96.855067823940033</c:v>
                </c:pt>
                <c:pt idx="489">
                  <c:v>96.855139392695975</c:v>
                </c:pt>
                <c:pt idx="490">
                  <c:v>96.85521095927092</c:v>
                </c:pt>
                <c:pt idx="491">
                  <c:v>96.855282523664897</c:v>
                </c:pt>
                <c:pt idx="492">
                  <c:v>96.855354085877948</c:v>
                </c:pt>
                <c:pt idx="493">
                  <c:v>96.855425645910103</c:v>
                </c:pt>
                <c:pt idx="494">
                  <c:v>96.855497203761402</c:v>
                </c:pt>
                <c:pt idx="495">
                  <c:v>96.855568759431875</c:v>
                </c:pt>
                <c:pt idx="496">
                  <c:v>96.855640312921565</c:v>
                </c:pt>
                <c:pt idx="497">
                  <c:v>96.8557118642305</c:v>
                </c:pt>
                <c:pt idx="498">
                  <c:v>96.855783413358722</c:v>
                </c:pt>
                <c:pt idx="499">
                  <c:v>96.85585496030626</c:v>
                </c:pt>
                <c:pt idx="500">
                  <c:v>96.855926505073128</c:v>
                </c:pt>
                <c:pt idx="501">
                  <c:v>96.855998047659398</c:v>
                </c:pt>
                <c:pt idx="502">
                  <c:v>96.856069588065097</c:v>
                </c:pt>
                <c:pt idx="503">
                  <c:v>96.85614112629024</c:v>
                </c:pt>
                <c:pt idx="504">
                  <c:v>96.856212662334883</c:v>
                </c:pt>
                <c:pt idx="505">
                  <c:v>96.856284196199042</c:v>
                </c:pt>
                <c:pt idx="506">
                  <c:v>96.856355727882757</c:v>
                </c:pt>
                <c:pt idx="507">
                  <c:v>96.856427257386088</c:v>
                </c:pt>
                <c:pt idx="508">
                  <c:v>96.856498784709046</c:v>
                </c:pt>
                <c:pt idx="509">
                  <c:v>96.856570309851662</c:v>
                </c:pt>
                <c:pt idx="510">
                  <c:v>96.856641832813978</c:v>
                </c:pt>
                <c:pt idx="511">
                  <c:v>96.856713353596021</c:v>
                </c:pt>
                <c:pt idx="512">
                  <c:v>96.856784872197835</c:v>
                </c:pt>
                <c:pt idx="513">
                  <c:v>96.856856388619477</c:v>
                </c:pt>
                <c:pt idx="514">
                  <c:v>96.856927902860932</c:v>
                </c:pt>
                <c:pt idx="515">
                  <c:v>96.856999414922285</c:v>
                </c:pt>
                <c:pt idx="516">
                  <c:v>96.857070924803537</c:v>
                </c:pt>
                <c:pt idx="517">
                  <c:v>96.85714243250473</c:v>
                </c:pt>
                <c:pt idx="518">
                  <c:v>96.857213938025922</c:v>
                </c:pt>
                <c:pt idx="519">
                  <c:v>96.857285441367125</c:v>
                </c:pt>
                <c:pt idx="520">
                  <c:v>96.857356942528355</c:v>
                </c:pt>
                <c:pt idx="521">
                  <c:v>96.857428441509697</c:v>
                </c:pt>
                <c:pt idx="522">
                  <c:v>96.857499938311136</c:v>
                </c:pt>
                <c:pt idx="523">
                  <c:v>96.857571432932744</c:v>
                </c:pt>
                <c:pt idx="524">
                  <c:v>96.857642925374549</c:v>
                </c:pt>
                <c:pt idx="525">
                  <c:v>96.857714415636565</c:v>
                </c:pt>
                <c:pt idx="526">
                  <c:v>96.857785903718863</c:v>
                </c:pt>
                <c:pt idx="527">
                  <c:v>96.857857389621444</c:v>
                </c:pt>
                <c:pt idx="528">
                  <c:v>96.857928873344349</c:v>
                </c:pt>
                <c:pt idx="529">
                  <c:v>96.858000354887622</c:v>
                </c:pt>
                <c:pt idx="530">
                  <c:v>96.858071834251305</c:v>
                </c:pt>
                <c:pt idx="531">
                  <c:v>96.858143311435427</c:v>
                </c:pt>
                <c:pt idx="532">
                  <c:v>96.858214786440001</c:v>
                </c:pt>
                <c:pt idx="533">
                  <c:v>96.858286259265086</c:v>
                </c:pt>
                <c:pt idx="534">
                  <c:v>96.858357729910708</c:v>
                </c:pt>
                <c:pt idx="535">
                  <c:v>96.858429198376925</c:v>
                </c:pt>
                <c:pt idx="536">
                  <c:v>96.858500664663737</c:v>
                </c:pt>
                <c:pt idx="537">
                  <c:v>96.858572128771186</c:v>
                </c:pt>
                <c:pt idx="538">
                  <c:v>96.858643590699302</c:v>
                </c:pt>
                <c:pt idx="539">
                  <c:v>96.858715050448168</c:v>
                </c:pt>
                <c:pt idx="540">
                  <c:v>96.858786508017772</c:v>
                </c:pt>
                <c:pt idx="541">
                  <c:v>96.858857963408155</c:v>
                </c:pt>
                <c:pt idx="542">
                  <c:v>96.858929416619361</c:v>
                </c:pt>
                <c:pt idx="543">
                  <c:v>96.859000867651417</c:v>
                </c:pt>
                <c:pt idx="544">
                  <c:v>96.859072316504367</c:v>
                </c:pt>
                <c:pt idx="545">
                  <c:v>96.859143763178224</c:v>
                </c:pt>
                <c:pt idx="546">
                  <c:v>96.859215207673074</c:v>
                </c:pt>
                <c:pt idx="547">
                  <c:v>96.859286649988888</c:v>
                </c:pt>
                <c:pt idx="548">
                  <c:v>96.859358090125738</c:v>
                </c:pt>
                <c:pt idx="549">
                  <c:v>96.859429528083652</c:v>
                </c:pt>
                <c:pt idx="550">
                  <c:v>96.859500963862672</c:v>
                </c:pt>
                <c:pt idx="551">
                  <c:v>96.859572397462827</c:v>
                </c:pt>
                <c:pt idx="552">
                  <c:v>96.85964382888416</c:v>
                </c:pt>
                <c:pt idx="553">
                  <c:v>96.859715258126684</c:v>
                </c:pt>
                <c:pt idx="554">
                  <c:v>96.859786685190457</c:v>
                </c:pt>
                <c:pt idx="555">
                  <c:v>96.859858110075479</c:v>
                </c:pt>
                <c:pt idx="556">
                  <c:v>96.859929532781834</c:v>
                </c:pt>
                <c:pt idx="557">
                  <c:v>96.860000953309509</c:v>
                </c:pt>
                <c:pt idx="558">
                  <c:v>96.860072371658589</c:v>
                </c:pt>
                <c:pt idx="559">
                  <c:v>96.860143787829074</c:v>
                </c:pt>
                <c:pt idx="560">
                  <c:v>96.860215201821006</c:v>
                </c:pt>
                <c:pt idx="561">
                  <c:v>96.860286613634415</c:v>
                </c:pt>
                <c:pt idx="562">
                  <c:v>96.860358023269356</c:v>
                </c:pt>
                <c:pt idx="563">
                  <c:v>96.86042943072583</c:v>
                </c:pt>
                <c:pt idx="564">
                  <c:v>96.860500836003908</c:v>
                </c:pt>
                <c:pt idx="565">
                  <c:v>96.86057223910359</c:v>
                </c:pt>
                <c:pt idx="566">
                  <c:v>96.860643640024946</c:v>
                </c:pt>
                <c:pt idx="567">
                  <c:v>96.860715038768006</c:v>
                </c:pt>
                <c:pt idx="568">
                  <c:v>96.860786435332784</c:v>
                </c:pt>
                <c:pt idx="569">
                  <c:v>96.860857829719322</c:v>
                </c:pt>
                <c:pt idx="570">
                  <c:v>96.860929221927648</c:v>
                </c:pt>
                <c:pt idx="571">
                  <c:v>96.86100061195782</c:v>
                </c:pt>
                <c:pt idx="572">
                  <c:v>96.861071999809852</c:v>
                </c:pt>
                <c:pt idx="573">
                  <c:v>96.861143385483814</c:v>
                </c:pt>
                <c:pt idx="574">
                  <c:v>96.861214768979679</c:v>
                </c:pt>
                <c:pt idx="575">
                  <c:v>96.861286150297531</c:v>
                </c:pt>
                <c:pt idx="576">
                  <c:v>96.86135752943737</c:v>
                </c:pt>
                <c:pt idx="577">
                  <c:v>96.861428906399283</c:v>
                </c:pt>
                <c:pt idx="578">
                  <c:v>96.861500281183254</c:v>
                </c:pt>
                <c:pt idx="579">
                  <c:v>96.861571653789341</c:v>
                </c:pt>
                <c:pt idx="580">
                  <c:v>96.861643024217571</c:v>
                </c:pt>
                <c:pt idx="581">
                  <c:v>96.861714392468002</c:v>
                </c:pt>
                <c:pt idx="582">
                  <c:v>96.86178575854062</c:v>
                </c:pt>
                <c:pt idx="583">
                  <c:v>96.861857122435524</c:v>
                </c:pt>
                <c:pt idx="584">
                  <c:v>96.861928484152685</c:v>
                </c:pt>
                <c:pt idx="585">
                  <c:v>96.861999843692189</c:v>
                </c:pt>
                <c:pt idx="586">
                  <c:v>96.862071201054036</c:v>
                </c:pt>
                <c:pt idx="587">
                  <c:v>96.862142556238283</c:v>
                </c:pt>
                <c:pt idx="588">
                  <c:v>96.862213909244957</c:v>
                </c:pt>
                <c:pt idx="589">
                  <c:v>96.862285260074088</c:v>
                </c:pt>
                <c:pt idx="590">
                  <c:v>96.862356608725719</c:v>
                </c:pt>
                <c:pt idx="591">
                  <c:v>96.862427955199877</c:v>
                </c:pt>
                <c:pt idx="592">
                  <c:v>96.862499299496605</c:v>
                </c:pt>
                <c:pt idx="593">
                  <c:v>96.862570641615932</c:v>
                </c:pt>
                <c:pt idx="594">
                  <c:v>96.862641981557886</c:v>
                </c:pt>
                <c:pt idx="595">
                  <c:v>96.862713319322523</c:v>
                </c:pt>
                <c:pt idx="596">
                  <c:v>96.862784654909859</c:v>
                </c:pt>
                <c:pt idx="597">
                  <c:v>96.862855988319964</c:v>
                </c:pt>
                <c:pt idx="598">
                  <c:v>96.86292731955281</c:v>
                </c:pt>
                <c:pt idx="599">
                  <c:v>96.862998648608482</c:v>
                </c:pt>
                <c:pt idx="600">
                  <c:v>96.863069975486994</c:v>
                </c:pt>
                <c:pt idx="601">
                  <c:v>96.863141300188403</c:v>
                </c:pt>
                <c:pt idx="602">
                  <c:v>96.863212622712709</c:v>
                </c:pt>
                <c:pt idx="603">
                  <c:v>96.863283943059969</c:v>
                </c:pt>
                <c:pt idx="604">
                  <c:v>96.863355261230211</c:v>
                </c:pt>
                <c:pt idx="605">
                  <c:v>96.863426577223464</c:v>
                </c:pt>
                <c:pt idx="606">
                  <c:v>96.863497891039785</c:v>
                </c:pt>
                <c:pt idx="607">
                  <c:v>96.863569202679201</c:v>
                </c:pt>
                <c:pt idx="608">
                  <c:v>96.863640512141743</c:v>
                </c:pt>
                <c:pt idx="609">
                  <c:v>96.863711819427451</c:v>
                </c:pt>
                <c:pt idx="610">
                  <c:v>96.86378312453634</c:v>
                </c:pt>
                <c:pt idx="611">
                  <c:v>96.863854427468468</c:v>
                </c:pt>
                <c:pt idx="612">
                  <c:v>96.863925728223847</c:v>
                </c:pt>
                <c:pt idx="613">
                  <c:v>96.863997026802551</c:v>
                </c:pt>
                <c:pt idx="614">
                  <c:v>96.864068323204563</c:v>
                </c:pt>
                <c:pt idx="615">
                  <c:v>96.864139617429956</c:v>
                </c:pt>
                <c:pt idx="616">
                  <c:v>96.864210909478743</c:v>
                </c:pt>
                <c:pt idx="617">
                  <c:v>96.864282199350981</c:v>
                </c:pt>
                <c:pt idx="618">
                  <c:v>96.864353487046685</c:v>
                </c:pt>
                <c:pt idx="619">
                  <c:v>96.864424772565911</c:v>
                </c:pt>
                <c:pt idx="620">
                  <c:v>96.864496055908674</c:v>
                </c:pt>
                <c:pt idx="621">
                  <c:v>96.864567337075016</c:v>
                </c:pt>
                <c:pt idx="622">
                  <c:v>96.864638616064966</c:v>
                </c:pt>
                <c:pt idx="623">
                  <c:v>96.864709892878579</c:v>
                </c:pt>
                <c:pt idx="624">
                  <c:v>96.864781167515872</c:v>
                </c:pt>
                <c:pt idx="625">
                  <c:v>96.864852439976872</c:v>
                </c:pt>
                <c:pt idx="626">
                  <c:v>96.864923710261635</c:v>
                </c:pt>
                <c:pt idx="627">
                  <c:v>96.864994978370206</c:v>
                </c:pt>
                <c:pt idx="628">
                  <c:v>96.865066244302568</c:v>
                </c:pt>
                <c:pt idx="629">
                  <c:v>96.865137508058808</c:v>
                </c:pt>
                <c:pt idx="630">
                  <c:v>96.86520876963894</c:v>
                </c:pt>
                <c:pt idx="631">
                  <c:v>96.865280029042992</c:v>
                </c:pt>
                <c:pt idx="632">
                  <c:v>96.865351286271007</c:v>
                </c:pt>
                <c:pt idx="633">
                  <c:v>96.865422541323028</c:v>
                </c:pt>
                <c:pt idx="634">
                  <c:v>96.865493794199068</c:v>
                </c:pt>
                <c:pt idx="635">
                  <c:v>96.865565044899185</c:v>
                </c:pt>
                <c:pt idx="636">
                  <c:v>96.865636293423393</c:v>
                </c:pt>
                <c:pt idx="637">
                  <c:v>96.865707539771748</c:v>
                </c:pt>
                <c:pt idx="638">
                  <c:v>96.865778783944279</c:v>
                </c:pt>
                <c:pt idx="639">
                  <c:v>96.865850025941</c:v>
                </c:pt>
                <c:pt idx="640">
                  <c:v>96.865921265761969</c:v>
                </c:pt>
                <c:pt idx="641">
                  <c:v>96.865992503407227</c:v>
                </c:pt>
                <c:pt idx="642">
                  <c:v>96.866063738876818</c:v>
                </c:pt>
                <c:pt idx="643">
                  <c:v>96.866134972170727</c:v>
                </c:pt>
                <c:pt idx="644">
                  <c:v>96.866206203289025</c:v>
                </c:pt>
                <c:pt idx="645">
                  <c:v>96.866277432231726</c:v>
                </c:pt>
                <c:pt idx="646">
                  <c:v>96.866348658998916</c:v>
                </c:pt>
                <c:pt idx="647">
                  <c:v>96.866419883590567</c:v>
                </c:pt>
                <c:pt idx="648">
                  <c:v>96.866491106006748</c:v>
                </c:pt>
                <c:pt idx="649">
                  <c:v>96.866562326247475</c:v>
                </c:pt>
                <c:pt idx="650">
                  <c:v>96.866633544312805</c:v>
                </c:pt>
                <c:pt idx="651">
                  <c:v>96.866704760202751</c:v>
                </c:pt>
                <c:pt idx="652">
                  <c:v>96.866775973917356</c:v>
                </c:pt>
                <c:pt idx="653">
                  <c:v>96.866847185456663</c:v>
                </c:pt>
                <c:pt idx="654">
                  <c:v>96.866918394820701</c:v>
                </c:pt>
                <c:pt idx="655">
                  <c:v>96.866989602009511</c:v>
                </c:pt>
                <c:pt idx="656">
                  <c:v>96.867060807023108</c:v>
                </c:pt>
                <c:pt idx="657">
                  <c:v>96.867132009861535</c:v>
                </c:pt>
                <c:pt idx="658">
                  <c:v>96.867203210524849</c:v>
                </c:pt>
                <c:pt idx="659">
                  <c:v>96.867274409013064</c:v>
                </c:pt>
                <c:pt idx="660">
                  <c:v>96.867345605326221</c:v>
                </c:pt>
                <c:pt idx="661">
                  <c:v>96.867416799464337</c:v>
                </c:pt>
                <c:pt idx="662">
                  <c:v>96.867487991427481</c:v>
                </c:pt>
                <c:pt idx="663">
                  <c:v>96.867559181215668</c:v>
                </c:pt>
                <c:pt idx="664">
                  <c:v>96.867630368828941</c:v>
                </c:pt>
                <c:pt idx="665">
                  <c:v>96.867701554267313</c:v>
                </c:pt>
                <c:pt idx="666">
                  <c:v>96.867772737530842</c:v>
                </c:pt>
                <c:pt idx="667">
                  <c:v>96.867843918619556</c:v>
                </c:pt>
                <c:pt idx="668">
                  <c:v>96.867915097533484</c:v>
                </c:pt>
                <c:pt idx="669">
                  <c:v>96.867986274272681</c:v>
                </c:pt>
                <c:pt idx="670">
                  <c:v>96.868057448837163</c:v>
                </c:pt>
                <c:pt idx="671">
                  <c:v>96.868128621226987</c:v>
                </c:pt>
                <c:pt idx="672">
                  <c:v>96.868199791442137</c:v>
                </c:pt>
                <c:pt idx="673">
                  <c:v>96.8682709594827</c:v>
                </c:pt>
                <c:pt idx="674">
                  <c:v>96.868342125348676</c:v>
                </c:pt>
                <c:pt idx="675">
                  <c:v>96.86841328904012</c:v>
                </c:pt>
                <c:pt idx="676">
                  <c:v>96.868484450557077</c:v>
                </c:pt>
                <c:pt idx="677">
                  <c:v>96.868555609899559</c:v>
                </c:pt>
                <c:pt idx="678">
                  <c:v>96.86862676706761</c:v>
                </c:pt>
                <c:pt idx="679">
                  <c:v>96.868697922061273</c:v>
                </c:pt>
                <c:pt idx="680">
                  <c:v>96.868769074880561</c:v>
                </c:pt>
                <c:pt idx="681">
                  <c:v>96.868840225525545</c:v>
                </c:pt>
                <c:pt idx="682">
                  <c:v>96.868911373996198</c:v>
                </c:pt>
                <c:pt idx="683">
                  <c:v>96.868982520292633</c:v>
                </c:pt>
                <c:pt idx="684">
                  <c:v>96.869053664414835</c:v>
                </c:pt>
                <c:pt idx="685">
                  <c:v>96.869124806362848</c:v>
                </c:pt>
                <c:pt idx="686">
                  <c:v>96.869195946136699</c:v>
                </c:pt>
                <c:pt idx="687">
                  <c:v>96.869267083736432</c:v>
                </c:pt>
                <c:pt idx="688">
                  <c:v>96.869338219162088</c:v>
                </c:pt>
                <c:pt idx="689">
                  <c:v>96.869409352413697</c:v>
                </c:pt>
                <c:pt idx="690">
                  <c:v>96.869480483491273</c:v>
                </c:pt>
                <c:pt idx="691">
                  <c:v>96.869551612394901</c:v>
                </c:pt>
                <c:pt idx="692">
                  <c:v>96.86962273912458</c:v>
                </c:pt>
                <c:pt idx="693">
                  <c:v>96.869693863680354</c:v>
                </c:pt>
                <c:pt idx="694">
                  <c:v>96.869764986062236</c:v>
                </c:pt>
                <c:pt idx="695">
                  <c:v>96.869836106270299</c:v>
                </c:pt>
                <c:pt idx="696">
                  <c:v>96.869907224304541</c:v>
                </c:pt>
                <c:pt idx="697">
                  <c:v>96.869978340165019</c:v>
                </c:pt>
                <c:pt idx="698">
                  <c:v>96.870049453851763</c:v>
                </c:pt>
                <c:pt idx="699">
                  <c:v>96.870120565364829</c:v>
                </c:pt>
                <c:pt idx="700">
                  <c:v>96.870191674704216</c:v>
                </c:pt>
                <c:pt idx="701">
                  <c:v>96.870262781869982</c:v>
                </c:pt>
                <c:pt idx="702">
                  <c:v>96.870333886862142</c:v>
                </c:pt>
                <c:pt idx="703">
                  <c:v>96.87040498968075</c:v>
                </c:pt>
                <c:pt idx="704">
                  <c:v>96.870476090325838</c:v>
                </c:pt>
                <c:pt idx="705">
                  <c:v>96.870547188797431</c:v>
                </c:pt>
                <c:pt idx="706">
                  <c:v>96.87061828509556</c:v>
                </c:pt>
                <c:pt idx="707">
                  <c:v>96.870689379220266</c:v>
                </c:pt>
                <c:pt idx="708">
                  <c:v>96.870760471171607</c:v>
                </c:pt>
                <c:pt idx="709">
                  <c:v>96.870831560949597</c:v>
                </c:pt>
                <c:pt idx="710">
                  <c:v>96.870902648554249</c:v>
                </c:pt>
                <c:pt idx="711">
                  <c:v>96.870973733985636</c:v>
                </c:pt>
                <c:pt idx="712">
                  <c:v>96.871044817243785</c:v>
                </c:pt>
                <c:pt idx="713">
                  <c:v>96.871115898328725</c:v>
                </c:pt>
                <c:pt idx="714">
                  <c:v>96.871186977240484</c:v>
                </c:pt>
                <c:pt idx="715">
                  <c:v>96.871258053979091</c:v>
                </c:pt>
                <c:pt idx="716">
                  <c:v>96.871329128544616</c:v>
                </c:pt>
                <c:pt idx="717">
                  <c:v>96.87140020093706</c:v>
                </c:pt>
                <c:pt idx="718">
                  <c:v>96.871471271156466</c:v>
                </c:pt>
                <c:pt idx="719">
                  <c:v>96.871542339202847</c:v>
                </c:pt>
                <c:pt idx="720">
                  <c:v>96.871613405076289</c:v>
                </c:pt>
                <c:pt idx="721">
                  <c:v>96.871684468776792</c:v>
                </c:pt>
                <c:pt idx="722">
                  <c:v>96.871755530304384</c:v>
                </c:pt>
                <c:pt idx="723">
                  <c:v>96.871826589659122</c:v>
                </c:pt>
                <c:pt idx="724">
                  <c:v>96.871897646841049</c:v>
                </c:pt>
                <c:pt idx="725">
                  <c:v>96.871968701850179</c:v>
                </c:pt>
                <c:pt idx="726">
                  <c:v>96.872039754686554</c:v>
                </c:pt>
                <c:pt idx="727">
                  <c:v>96.872110805350204</c:v>
                </c:pt>
                <c:pt idx="728">
                  <c:v>96.87218185384117</c:v>
                </c:pt>
                <c:pt idx="729">
                  <c:v>96.872252900159481</c:v>
                </c:pt>
                <c:pt idx="730">
                  <c:v>96.872323944305165</c:v>
                </c:pt>
                <c:pt idx="731">
                  <c:v>96.872394986278252</c:v>
                </c:pt>
                <c:pt idx="732">
                  <c:v>96.872466026078811</c:v>
                </c:pt>
                <c:pt idx="733">
                  <c:v>96.872537063706858</c:v>
                </c:pt>
                <c:pt idx="734">
                  <c:v>96.872608099162434</c:v>
                </c:pt>
                <c:pt idx="735">
                  <c:v>96.872679132445555</c:v>
                </c:pt>
                <c:pt idx="736">
                  <c:v>96.872750163556276</c:v>
                </c:pt>
                <c:pt idx="737">
                  <c:v>96.872821192494612</c:v>
                </c:pt>
                <c:pt idx="738">
                  <c:v>96.872892219260621</c:v>
                </c:pt>
                <c:pt idx="739">
                  <c:v>96.872963243854315</c:v>
                </c:pt>
                <c:pt idx="740">
                  <c:v>96.873034266275752</c:v>
                </c:pt>
                <c:pt idx="741">
                  <c:v>96.873105286524947</c:v>
                </c:pt>
                <c:pt idx="742">
                  <c:v>96.873176304601941</c:v>
                </c:pt>
                <c:pt idx="743">
                  <c:v>96.873247320506778</c:v>
                </c:pt>
                <c:pt idx="744">
                  <c:v>96.873318334239485</c:v>
                </c:pt>
                <c:pt idx="745">
                  <c:v>96.873389345800106</c:v>
                </c:pt>
                <c:pt idx="746">
                  <c:v>96.873460355188641</c:v>
                </c:pt>
                <c:pt idx="747">
                  <c:v>96.87353136240516</c:v>
                </c:pt>
                <c:pt idx="748">
                  <c:v>96.873602367449706</c:v>
                </c:pt>
                <c:pt idx="749">
                  <c:v>96.873673370322265</c:v>
                </c:pt>
                <c:pt idx="750">
                  <c:v>96.873744371022937</c:v>
                </c:pt>
                <c:pt idx="751">
                  <c:v>96.873815369551707</c:v>
                </c:pt>
                <c:pt idx="752">
                  <c:v>96.873886365908632</c:v>
                </c:pt>
                <c:pt idx="753">
                  <c:v>96.873957360093726</c:v>
                </c:pt>
                <c:pt idx="754">
                  <c:v>96.874028352107047</c:v>
                </c:pt>
                <c:pt idx="755">
                  <c:v>96.874099341948622</c:v>
                </c:pt>
                <c:pt idx="756">
                  <c:v>96.874170329618494</c:v>
                </c:pt>
                <c:pt idx="757">
                  <c:v>96.874241315116677</c:v>
                </c:pt>
                <c:pt idx="758">
                  <c:v>96.874312298443229</c:v>
                </c:pt>
                <c:pt idx="759">
                  <c:v>96.874383279598177</c:v>
                </c:pt>
                <c:pt idx="760">
                  <c:v>96.874454258581537</c:v>
                </c:pt>
                <c:pt idx="761">
                  <c:v>96.874525235393378</c:v>
                </c:pt>
                <c:pt idx="762">
                  <c:v>96.874596210033701</c:v>
                </c:pt>
                <c:pt idx="763">
                  <c:v>96.874667182502577</c:v>
                </c:pt>
                <c:pt idx="764">
                  <c:v>96.874738152800006</c:v>
                </c:pt>
                <c:pt idx="765">
                  <c:v>96.874809120926031</c:v>
                </c:pt>
                <c:pt idx="766">
                  <c:v>96.874880086880722</c:v>
                </c:pt>
                <c:pt idx="767">
                  <c:v>96.874951050664066</c:v>
                </c:pt>
                <c:pt idx="768">
                  <c:v>96.875022012276119</c:v>
                </c:pt>
                <c:pt idx="769">
                  <c:v>96.875092971716896</c:v>
                </c:pt>
                <c:pt idx="770">
                  <c:v>96.875163928986481</c:v>
                </c:pt>
                <c:pt idx="771">
                  <c:v>96.875234884084847</c:v>
                </c:pt>
                <c:pt idx="772">
                  <c:v>96.875305837012078</c:v>
                </c:pt>
                <c:pt idx="773">
                  <c:v>96.87537678776819</c:v>
                </c:pt>
                <c:pt idx="774">
                  <c:v>96.875447736353223</c:v>
                </c:pt>
                <c:pt idx="775">
                  <c:v>96.875518682767193</c:v>
                </c:pt>
                <c:pt idx="776">
                  <c:v>96.875589627010157</c:v>
                </c:pt>
                <c:pt idx="777">
                  <c:v>96.875660569082143</c:v>
                </c:pt>
                <c:pt idx="778">
                  <c:v>96.875731508983179</c:v>
                </c:pt>
                <c:pt idx="779">
                  <c:v>96.875802446713323</c:v>
                </c:pt>
                <c:pt idx="780">
                  <c:v>96.875873382272573</c:v>
                </c:pt>
                <c:pt idx="781">
                  <c:v>96.875944315661002</c:v>
                </c:pt>
                <c:pt idx="782">
                  <c:v>96.876015246878609</c:v>
                </c:pt>
                <c:pt idx="783">
                  <c:v>96.876086175925451</c:v>
                </c:pt>
                <c:pt idx="784">
                  <c:v>96.876157102801571</c:v>
                </c:pt>
                <c:pt idx="785">
                  <c:v>96.876228027506968</c:v>
                </c:pt>
                <c:pt idx="786">
                  <c:v>96.876298950041729</c:v>
                </c:pt>
                <c:pt idx="787">
                  <c:v>96.876369870405824</c:v>
                </c:pt>
                <c:pt idx="788">
                  <c:v>96.876440788599339</c:v>
                </c:pt>
                <c:pt idx="789">
                  <c:v>96.876511704622303</c:v>
                </c:pt>
                <c:pt idx="790">
                  <c:v>96.876582618474728</c:v>
                </c:pt>
                <c:pt idx="791">
                  <c:v>96.876653530156659</c:v>
                </c:pt>
                <c:pt idx="792">
                  <c:v>96.876724439668138</c:v>
                </c:pt>
                <c:pt idx="793">
                  <c:v>96.876795347009221</c:v>
                </c:pt>
                <c:pt idx="794">
                  <c:v>96.87686625217988</c:v>
                </c:pt>
                <c:pt idx="795">
                  <c:v>96.876937155180187</c:v>
                </c:pt>
                <c:pt idx="796">
                  <c:v>96.877008056010197</c:v>
                </c:pt>
                <c:pt idx="797">
                  <c:v>96.877078954669912</c:v>
                </c:pt>
                <c:pt idx="798">
                  <c:v>96.877149851159373</c:v>
                </c:pt>
                <c:pt idx="799">
                  <c:v>96.877220745478638</c:v>
                </c:pt>
                <c:pt idx="800">
                  <c:v>96.877291637627707</c:v>
                </c:pt>
                <c:pt idx="801">
                  <c:v>96.87736252760665</c:v>
                </c:pt>
                <c:pt idx="802">
                  <c:v>96.877433415415481</c:v>
                </c:pt>
                <c:pt idx="803">
                  <c:v>96.877504301054245</c:v>
                </c:pt>
                <c:pt idx="804">
                  <c:v>96.877575184522968</c:v>
                </c:pt>
                <c:pt idx="805">
                  <c:v>96.877646065821679</c:v>
                </c:pt>
                <c:pt idx="806">
                  <c:v>96.877716944950421</c:v>
                </c:pt>
                <c:pt idx="807">
                  <c:v>96.877787821909223</c:v>
                </c:pt>
                <c:pt idx="808">
                  <c:v>96.877858696698155</c:v>
                </c:pt>
                <c:pt idx="809">
                  <c:v>96.877929569317203</c:v>
                </c:pt>
                <c:pt idx="810">
                  <c:v>96.878000439766424</c:v>
                </c:pt>
                <c:pt idx="811">
                  <c:v>96.878071308045833</c:v>
                </c:pt>
                <c:pt idx="812">
                  <c:v>96.878142174155499</c:v>
                </c:pt>
                <c:pt idx="813">
                  <c:v>96.878213038095453</c:v>
                </c:pt>
                <c:pt idx="814">
                  <c:v>96.878283899865707</c:v>
                </c:pt>
                <c:pt idx="815">
                  <c:v>96.878354759466291</c:v>
                </c:pt>
                <c:pt idx="816">
                  <c:v>96.878425616897275</c:v>
                </c:pt>
                <c:pt idx="817">
                  <c:v>96.878496472158673</c:v>
                </c:pt>
                <c:pt idx="818">
                  <c:v>96.878567325250501</c:v>
                </c:pt>
                <c:pt idx="819">
                  <c:v>96.878638176172814</c:v>
                </c:pt>
                <c:pt idx="820">
                  <c:v>96.878709024925655</c:v>
                </c:pt>
                <c:pt idx="821">
                  <c:v>96.878779871509053</c:v>
                </c:pt>
                <c:pt idx="822">
                  <c:v>96.878850715923022</c:v>
                </c:pt>
                <c:pt idx="823">
                  <c:v>96.878921558167633</c:v>
                </c:pt>
                <c:pt idx="824">
                  <c:v>96.8789923982429</c:v>
                </c:pt>
                <c:pt idx="825">
                  <c:v>96.879063236148866</c:v>
                </c:pt>
                <c:pt idx="826">
                  <c:v>96.879134071885559</c:v>
                </c:pt>
                <c:pt idx="827">
                  <c:v>96.879204905453008</c:v>
                </c:pt>
                <c:pt idx="828">
                  <c:v>96.879275736851255</c:v>
                </c:pt>
                <c:pt idx="829">
                  <c:v>96.879346566080343</c:v>
                </c:pt>
                <c:pt idx="830">
                  <c:v>96.879417393140301</c:v>
                </c:pt>
                <c:pt idx="831">
                  <c:v>96.879488218031142</c:v>
                </c:pt>
                <c:pt idx="832">
                  <c:v>96.879559040752923</c:v>
                </c:pt>
                <c:pt idx="833">
                  <c:v>96.879629861305673</c:v>
                </c:pt>
                <c:pt idx="834">
                  <c:v>96.879700679689435</c:v>
                </c:pt>
                <c:pt idx="835">
                  <c:v>96.879771495904237</c:v>
                </c:pt>
                <c:pt idx="836">
                  <c:v>96.879842309950121</c:v>
                </c:pt>
                <c:pt idx="837">
                  <c:v>96.879913121827101</c:v>
                </c:pt>
                <c:pt idx="838">
                  <c:v>96.87998393153525</c:v>
                </c:pt>
                <c:pt idx="839">
                  <c:v>96.880054739074566</c:v>
                </c:pt>
                <c:pt idx="840">
                  <c:v>96.880125544445107</c:v>
                </c:pt>
                <c:pt idx="841">
                  <c:v>96.880196347646887</c:v>
                </c:pt>
                <c:pt idx="842">
                  <c:v>96.880267148679962</c:v>
                </c:pt>
                <c:pt idx="843">
                  <c:v>96.880337947544348</c:v>
                </c:pt>
                <c:pt idx="844">
                  <c:v>96.880408744240114</c:v>
                </c:pt>
                <c:pt idx="845">
                  <c:v>96.880479538767247</c:v>
                </c:pt>
                <c:pt idx="846">
                  <c:v>96.880550331125789</c:v>
                </c:pt>
                <c:pt idx="847">
                  <c:v>96.880621121315826</c:v>
                </c:pt>
                <c:pt idx="848">
                  <c:v>96.880691909337315</c:v>
                </c:pt>
                <c:pt idx="849">
                  <c:v>96.88076269519037</c:v>
                </c:pt>
                <c:pt idx="850">
                  <c:v>96.880833478874976</c:v>
                </c:pt>
                <c:pt idx="851">
                  <c:v>96.880904260391176</c:v>
                </c:pt>
                <c:pt idx="852">
                  <c:v>96.880975039739027</c:v>
                </c:pt>
                <c:pt idx="853">
                  <c:v>96.88104581691853</c:v>
                </c:pt>
                <c:pt idx="854">
                  <c:v>96.881116591929739</c:v>
                </c:pt>
                <c:pt idx="855">
                  <c:v>96.881187364772686</c:v>
                </c:pt>
                <c:pt idx="856">
                  <c:v>96.881258135447396</c:v>
                </c:pt>
                <c:pt idx="857">
                  <c:v>96.881328903953943</c:v>
                </c:pt>
                <c:pt idx="858">
                  <c:v>96.881399670292296</c:v>
                </c:pt>
                <c:pt idx="859">
                  <c:v>96.881470434462543</c:v>
                </c:pt>
                <c:pt idx="860">
                  <c:v>96.881541196464696</c:v>
                </c:pt>
                <c:pt idx="861">
                  <c:v>96.881611956298798</c:v>
                </c:pt>
                <c:pt idx="862">
                  <c:v>96.881682713964878</c:v>
                </c:pt>
                <c:pt idx="863">
                  <c:v>96.881753469462979</c:v>
                </c:pt>
                <c:pt idx="864">
                  <c:v>96.881824222793142</c:v>
                </c:pt>
                <c:pt idx="865">
                  <c:v>96.881894973955383</c:v>
                </c:pt>
                <c:pt idx="866">
                  <c:v>96.88196572294973</c:v>
                </c:pt>
                <c:pt idx="867">
                  <c:v>96.882036469776253</c:v>
                </c:pt>
                <c:pt idx="868">
                  <c:v>96.882107214434967</c:v>
                </c:pt>
                <c:pt idx="869">
                  <c:v>96.882177956925887</c:v>
                </c:pt>
                <c:pt idx="870">
                  <c:v>96.882248697249096</c:v>
                </c:pt>
                <c:pt idx="871">
                  <c:v>96.882319435404582</c:v>
                </c:pt>
                <c:pt idx="872">
                  <c:v>96.882390171392402</c:v>
                </c:pt>
                <c:pt idx="873">
                  <c:v>96.882460905212582</c:v>
                </c:pt>
                <c:pt idx="874">
                  <c:v>96.882531636865167</c:v>
                </c:pt>
                <c:pt idx="875">
                  <c:v>96.882602366350184</c:v>
                </c:pt>
                <c:pt idx="876">
                  <c:v>96.882673093667663</c:v>
                </c:pt>
                <c:pt idx="877">
                  <c:v>96.882743818817644</c:v>
                </c:pt>
                <c:pt idx="878">
                  <c:v>96.882814541800158</c:v>
                </c:pt>
                <c:pt idx="879">
                  <c:v>96.882885262615261</c:v>
                </c:pt>
                <c:pt idx="880">
                  <c:v>96.882955981262967</c:v>
                </c:pt>
                <c:pt idx="881">
                  <c:v>96.883026697743333</c:v>
                </c:pt>
                <c:pt idx="882">
                  <c:v>96.883097412056358</c:v>
                </c:pt>
                <c:pt idx="883">
                  <c:v>96.883168124202101</c:v>
                </c:pt>
                <c:pt idx="884">
                  <c:v>96.883238834180588</c:v>
                </c:pt>
                <c:pt idx="885">
                  <c:v>96.883309541991849</c:v>
                </c:pt>
                <c:pt idx="886">
                  <c:v>96.883380247635927</c:v>
                </c:pt>
                <c:pt idx="887">
                  <c:v>96.883450951112877</c:v>
                </c:pt>
                <c:pt idx="888">
                  <c:v>96.883521652422701</c:v>
                </c:pt>
                <c:pt idx="889">
                  <c:v>96.88359235156544</c:v>
                </c:pt>
                <c:pt idx="890">
                  <c:v>96.883663048541138</c:v>
                </c:pt>
                <c:pt idx="891">
                  <c:v>96.883733743349836</c:v>
                </c:pt>
                <c:pt idx="892">
                  <c:v>96.883804435991564</c:v>
                </c:pt>
                <c:pt idx="893">
                  <c:v>96.883875126466336</c:v>
                </c:pt>
                <c:pt idx="894">
                  <c:v>96.883945814774208</c:v>
                </c:pt>
                <c:pt idx="895">
                  <c:v>96.884016500915209</c:v>
                </c:pt>
                <c:pt idx="896">
                  <c:v>96.884087184889381</c:v>
                </c:pt>
                <c:pt idx="897">
                  <c:v>96.884157866696739</c:v>
                </c:pt>
                <c:pt idx="898">
                  <c:v>96.88422854633734</c:v>
                </c:pt>
                <c:pt idx="899">
                  <c:v>96.884299223811212</c:v>
                </c:pt>
                <c:pt idx="900">
                  <c:v>96.884369899118383</c:v>
                </c:pt>
                <c:pt idx="901">
                  <c:v>96.88444057225891</c:v>
                </c:pt>
                <c:pt idx="902">
                  <c:v>96.884511243232794</c:v>
                </c:pt>
                <c:pt idx="903">
                  <c:v>96.88458191204009</c:v>
                </c:pt>
                <c:pt idx="904">
                  <c:v>96.884652578680829</c:v>
                </c:pt>
                <c:pt idx="905">
                  <c:v>96.884723243155051</c:v>
                </c:pt>
                <c:pt idx="906">
                  <c:v>96.884793905462772</c:v>
                </c:pt>
                <c:pt idx="907">
                  <c:v>96.884864565604062</c:v>
                </c:pt>
                <c:pt idx="908">
                  <c:v>96.884935223578921</c:v>
                </c:pt>
                <c:pt idx="909">
                  <c:v>96.885005879387407</c:v>
                </c:pt>
                <c:pt idx="910">
                  <c:v>96.885076533029533</c:v>
                </c:pt>
                <c:pt idx="911">
                  <c:v>96.885147184505357</c:v>
                </c:pt>
                <c:pt idx="912">
                  <c:v>96.885217833814906</c:v>
                </c:pt>
                <c:pt idx="913">
                  <c:v>96.885288480958195</c:v>
                </c:pt>
                <c:pt idx="914">
                  <c:v>96.885359125935281</c:v>
                </c:pt>
                <c:pt idx="915">
                  <c:v>96.885429768746192</c:v>
                </c:pt>
                <c:pt idx="916">
                  <c:v>96.885500409390971</c:v>
                </c:pt>
                <c:pt idx="917">
                  <c:v>96.885571047869647</c:v>
                </c:pt>
                <c:pt idx="918">
                  <c:v>96.885641684182261</c:v>
                </c:pt>
                <c:pt idx="919">
                  <c:v>96.885712318328814</c:v>
                </c:pt>
                <c:pt idx="920">
                  <c:v>96.885782950309391</c:v>
                </c:pt>
                <c:pt idx="921">
                  <c:v>96.885853580123992</c:v>
                </c:pt>
                <c:pt idx="922">
                  <c:v>96.885924207772661</c:v>
                </c:pt>
                <c:pt idx="923">
                  <c:v>96.885994833255452</c:v>
                </c:pt>
                <c:pt idx="924">
                  <c:v>96.886065456572354</c:v>
                </c:pt>
                <c:pt idx="925">
                  <c:v>96.886136077723449</c:v>
                </c:pt>
                <c:pt idx="926">
                  <c:v>96.88620669670874</c:v>
                </c:pt>
                <c:pt idx="927">
                  <c:v>96.886277313528282</c:v>
                </c:pt>
                <c:pt idx="928">
                  <c:v>96.886347928182104</c:v>
                </c:pt>
                <c:pt idx="929">
                  <c:v>96.886418540670235</c:v>
                </c:pt>
                <c:pt idx="930">
                  <c:v>96.88648915099273</c:v>
                </c:pt>
                <c:pt idx="931">
                  <c:v>96.886559759149577</c:v>
                </c:pt>
                <c:pt idx="932">
                  <c:v>96.88663036514086</c:v>
                </c:pt>
                <c:pt idx="933">
                  <c:v>96.886700968966608</c:v>
                </c:pt>
                <c:pt idx="934">
                  <c:v>96.88677157062682</c:v>
                </c:pt>
                <c:pt idx="935">
                  <c:v>96.886842170121568</c:v>
                </c:pt>
                <c:pt idx="936">
                  <c:v>96.886912767450852</c:v>
                </c:pt>
                <c:pt idx="937">
                  <c:v>96.886983362614757</c:v>
                </c:pt>
                <c:pt idx="938">
                  <c:v>96.887053955613268</c:v>
                </c:pt>
                <c:pt idx="939">
                  <c:v>96.887124546446444</c:v>
                </c:pt>
                <c:pt idx="940">
                  <c:v>96.887195135114325</c:v>
                </c:pt>
                <c:pt idx="941">
                  <c:v>96.887265721616927</c:v>
                </c:pt>
                <c:pt idx="942">
                  <c:v>96.887336305954292</c:v>
                </c:pt>
                <c:pt idx="943">
                  <c:v>96.887406888126449</c:v>
                </c:pt>
                <c:pt idx="944">
                  <c:v>96.887477468133469</c:v>
                </c:pt>
                <c:pt idx="945">
                  <c:v>96.887548045975336</c:v>
                </c:pt>
                <c:pt idx="946">
                  <c:v>96.887618621652109</c:v>
                </c:pt>
                <c:pt idx="947">
                  <c:v>96.88768919516383</c:v>
                </c:pt>
                <c:pt idx="948">
                  <c:v>96.887759766510513</c:v>
                </c:pt>
                <c:pt idx="949">
                  <c:v>96.887830335692215</c:v>
                </c:pt>
                <c:pt idx="950">
                  <c:v>96.887900902708964</c:v>
                </c:pt>
                <c:pt idx="951">
                  <c:v>96.887971467560789</c:v>
                </c:pt>
                <c:pt idx="952">
                  <c:v>96.888042030247718</c:v>
                </c:pt>
                <c:pt idx="953">
                  <c:v>96.888112590769794</c:v>
                </c:pt>
                <c:pt idx="954">
                  <c:v>96.888183149127059</c:v>
                </c:pt>
                <c:pt idx="955">
                  <c:v>96.888253705319542</c:v>
                </c:pt>
                <c:pt idx="956">
                  <c:v>96.888324259347257</c:v>
                </c:pt>
                <c:pt idx="957">
                  <c:v>96.88839481121029</c:v>
                </c:pt>
                <c:pt idx="958">
                  <c:v>96.88846536090864</c:v>
                </c:pt>
                <c:pt idx="959">
                  <c:v>96.888535908442336</c:v>
                </c:pt>
                <c:pt idx="960">
                  <c:v>96.888606453811434</c:v>
                </c:pt>
                <c:pt idx="961">
                  <c:v>96.888676997015949</c:v>
                </c:pt>
                <c:pt idx="962">
                  <c:v>96.888747538055938</c:v>
                </c:pt>
                <c:pt idx="963">
                  <c:v>96.8888180769314</c:v>
                </c:pt>
                <c:pt idx="964">
                  <c:v>96.888888613642408</c:v>
                </c:pt>
                <c:pt idx="965">
                  <c:v>96.888959148188988</c:v>
                </c:pt>
                <c:pt idx="966">
                  <c:v>96.889029680571156</c:v>
                </c:pt>
                <c:pt idx="967">
                  <c:v>96.889100210788968</c:v>
                </c:pt>
                <c:pt idx="968">
                  <c:v>96.889170738842438</c:v>
                </c:pt>
                <c:pt idx="969">
                  <c:v>96.889241264731623</c:v>
                </c:pt>
                <c:pt idx="970">
                  <c:v>96.889311788456524</c:v>
                </c:pt>
                <c:pt idx="971">
                  <c:v>96.889382310017226</c:v>
                </c:pt>
                <c:pt idx="972">
                  <c:v>96.889452829413727</c:v>
                </c:pt>
                <c:pt idx="973">
                  <c:v>96.889523346646072</c:v>
                </c:pt>
                <c:pt idx="974">
                  <c:v>96.889593861714289</c:v>
                </c:pt>
                <c:pt idx="975">
                  <c:v>96.88966437461842</c:v>
                </c:pt>
                <c:pt idx="976">
                  <c:v>96.889734885358493</c:v>
                </c:pt>
                <c:pt idx="977">
                  <c:v>96.889805393934552</c:v>
                </c:pt>
                <c:pt idx="978">
                  <c:v>96.889875900346638</c:v>
                </c:pt>
                <c:pt idx="979">
                  <c:v>96.889946404594767</c:v>
                </c:pt>
                <c:pt idx="980">
                  <c:v>96.89001690667898</c:v>
                </c:pt>
                <c:pt idx="981">
                  <c:v>96.890087406599321</c:v>
                </c:pt>
                <c:pt idx="982">
                  <c:v>96.890157904355817</c:v>
                </c:pt>
                <c:pt idx="983">
                  <c:v>96.890228399948498</c:v>
                </c:pt>
                <c:pt idx="984">
                  <c:v>96.890298893377405</c:v>
                </c:pt>
                <c:pt idx="985">
                  <c:v>96.890369384642582</c:v>
                </c:pt>
                <c:pt idx="986">
                  <c:v>96.890439873744057</c:v>
                </c:pt>
                <c:pt idx="987">
                  <c:v>96.890510360681859</c:v>
                </c:pt>
                <c:pt idx="988">
                  <c:v>96.890580845456</c:v>
                </c:pt>
                <c:pt idx="989">
                  <c:v>96.890651328066568</c:v>
                </c:pt>
                <c:pt idx="990">
                  <c:v>96.890721808513575</c:v>
                </c:pt>
                <c:pt idx="991">
                  <c:v>96.890792286797037</c:v>
                </c:pt>
                <c:pt idx="992">
                  <c:v>96.89086276291701</c:v>
                </c:pt>
                <c:pt idx="993">
                  <c:v>96.890933236873522</c:v>
                </c:pt>
                <c:pt idx="994">
                  <c:v>96.891003708666616</c:v>
                </c:pt>
                <c:pt idx="995">
                  <c:v>96.891074178296293</c:v>
                </c:pt>
                <c:pt idx="996">
                  <c:v>96.891144645762623</c:v>
                </c:pt>
                <c:pt idx="997">
                  <c:v>96.891215111065634</c:v>
                </c:pt>
                <c:pt idx="998">
                  <c:v>96.891285574205355</c:v>
                </c:pt>
                <c:pt idx="999">
                  <c:v>96.891356035181829</c:v>
                </c:pt>
                <c:pt idx="1000">
                  <c:v>96.891426493995084</c:v>
                </c:pt>
              </c:numCache>
            </c:numRef>
          </c:yVal>
          <c:smooth val="0"/>
          <c:extLst>
            <c:ext xmlns:c16="http://schemas.microsoft.com/office/drawing/2014/chart" uri="{C3380CC4-5D6E-409C-BE32-E72D297353CC}">
              <c16:uniqueId val="{00000000-011B-490F-A283-4EB42FA064EB}"/>
            </c:ext>
          </c:extLst>
        </c:ser>
        <c:dLbls>
          <c:showLegendKey val="0"/>
          <c:showVal val="0"/>
          <c:showCatName val="0"/>
          <c:showSerName val="0"/>
          <c:showPercent val="0"/>
          <c:showBubbleSize val="0"/>
        </c:dLbls>
        <c:axId val="149125760"/>
        <c:axId val="149132032"/>
      </c:scatterChart>
      <c:valAx>
        <c:axId val="149125760"/>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0"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132032"/>
        <c:crosses val="autoZero"/>
        <c:crossBetween val="midCat"/>
      </c:valAx>
      <c:valAx>
        <c:axId val="149132032"/>
        <c:scaling>
          <c:orientation val="minMax"/>
        </c:scaling>
        <c:delete val="0"/>
        <c:axPos val="l"/>
        <c:majorGridlines>
          <c:spPr>
            <a:ln w="3175">
              <a:solidFill>
                <a:srgbClr val="000000"/>
              </a:solidFill>
              <a:prstDash val="sysDash"/>
            </a:ln>
          </c:spPr>
        </c:majorGridlines>
        <c:title>
          <c:tx>
            <c:strRef>
              <c:f>Courbes!$B$141</c:f>
              <c:strCache>
                <c:ptCount val="1"/>
                <c:pt idx="0">
                  <c:v>Vitesse [m/s]</c:v>
                </c:pt>
              </c:strCache>
            </c:strRef>
          </c:tx>
          <c:layout>
            <c:manualLayout>
              <c:xMode val="edge"/>
              <c:yMode val="edge"/>
              <c:x val="2.5943396226415099E-2"/>
              <c:y val="0.22875870516185479"/>
            </c:manualLayout>
          </c:layout>
          <c:overlay val="0"/>
          <c:spPr>
            <a:noFill/>
            <a:ln w="25400">
              <a:noFill/>
            </a:ln>
          </c:spPr>
          <c:txPr>
            <a:bodyPr/>
            <a:lstStyle/>
            <a:p>
              <a:pPr>
                <a:defRPr sz="1000" b="1"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125760"/>
        <c:crosses val="autoZero"/>
        <c:crossBetween val="midCat"/>
      </c:valAx>
      <c:spPr>
        <a:noFill/>
        <a:ln w="12700">
          <a:solidFill>
            <a:srgbClr val="808080"/>
          </a:solidFill>
          <a:prstDash val="solid"/>
        </a:ln>
      </c:spPr>
    </c:plotArea>
    <c:legend>
      <c:legendPos val="r"/>
      <c:layout>
        <c:manualLayout>
          <c:xMode val="edge"/>
          <c:yMode val="edge"/>
          <c:x val="0.81839684544148961"/>
          <c:y val="0.46444479440069991"/>
          <c:w val="0.13207559550339221"/>
          <c:h val="7.7777777777777779E-2"/>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Accélérations</a:t>
            </a:r>
          </a:p>
        </c:rich>
      </c:tx>
      <c:overlay val="1"/>
    </c:title>
    <c:autoTitleDeleted val="0"/>
    <c:plotArea>
      <c:layout>
        <c:manualLayout>
          <c:layoutTarget val="inner"/>
          <c:xMode val="edge"/>
          <c:yMode val="edge"/>
          <c:x val="9.4339622641509524E-2"/>
          <c:y val="9.4771241830065356E-2"/>
          <c:w val="0.88679245283019104"/>
          <c:h val="0.81699346405228768"/>
        </c:manualLayout>
      </c:layout>
      <c:scatterChart>
        <c:scatterStyle val="lineMarker"/>
        <c:varyColors val="0"/>
        <c:ser>
          <c:idx val="0"/>
          <c:order val="0"/>
          <c:tx>
            <c:strRef>
              <c:f>Courbes!$B$137</c:f>
              <c:strCache>
                <c:ptCount val="1"/>
                <c:pt idx="0">
                  <c:v>Accélération longitudinale</c:v>
                </c:pt>
              </c:strCache>
            </c:strRef>
          </c:tx>
          <c:spPr>
            <a:ln w="25400">
              <a:solidFill>
                <a:srgbClr val="800000"/>
              </a:solidFill>
              <a:prstDash val="solid"/>
            </a:ln>
          </c:spPr>
          <c:marker>
            <c:symbol val="none"/>
          </c:marker>
          <c:xVal>
            <c:numRef>
              <c:f>Calculs!$B$4:$B$1004</c:f>
              <c:numCache>
                <c:formatCode>0.00</c:formatCode>
                <c:ptCount val="1001"/>
                <c:pt idx="0">
                  <c:v>3.2</c:v>
                </c:pt>
                <c:pt idx="1">
                  <c:v>3.21</c:v>
                </c:pt>
                <c:pt idx="2">
                  <c:v>3.2199999999999998</c:v>
                </c:pt>
                <c:pt idx="3">
                  <c:v>3.2299999999999995</c:v>
                </c:pt>
                <c:pt idx="4">
                  <c:v>3.2399999999999993</c:v>
                </c:pt>
                <c:pt idx="5">
                  <c:v>3.2499999999999991</c:v>
                </c:pt>
                <c:pt idx="6">
                  <c:v>3.2599999999999989</c:v>
                </c:pt>
                <c:pt idx="7">
                  <c:v>3.2699999999999987</c:v>
                </c:pt>
                <c:pt idx="8">
                  <c:v>3.2799999999999985</c:v>
                </c:pt>
                <c:pt idx="9">
                  <c:v>3.2899999999999983</c:v>
                </c:pt>
                <c:pt idx="10">
                  <c:v>3.299999999999998</c:v>
                </c:pt>
                <c:pt idx="11">
                  <c:v>3.3099999999999978</c:v>
                </c:pt>
                <c:pt idx="12">
                  <c:v>3.3199999999999976</c:v>
                </c:pt>
                <c:pt idx="13">
                  <c:v>3.3299999999999974</c:v>
                </c:pt>
                <c:pt idx="14">
                  <c:v>3.3399999999999972</c:v>
                </c:pt>
                <c:pt idx="15">
                  <c:v>3.349999999999997</c:v>
                </c:pt>
                <c:pt idx="16">
                  <c:v>3.3599999999999968</c:v>
                </c:pt>
                <c:pt idx="17">
                  <c:v>3.3699999999999966</c:v>
                </c:pt>
                <c:pt idx="18">
                  <c:v>3.3799999999999963</c:v>
                </c:pt>
                <c:pt idx="19">
                  <c:v>3.3899999999999961</c:v>
                </c:pt>
                <c:pt idx="20">
                  <c:v>3.3999999999999959</c:v>
                </c:pt>
                <c:pt idx="21">
                  <c:v>3.4099999999999957</c:v>
                </c:pt>
                <c:pt idx="22">
                  <c:v>3.4199999999999955</c:v>
                </c:pt>
                <c:pt idx="23">
                  <c:v>3.4299999999999953</c:v>
                </c:pt>
                <c:pt idx="24">
                  <c:v>3.4399999999999951</c:v>
                </c:pt>
                <c:pt idx="25">
                  <c:v>3.4499999999999948</c:v>
                </c:pt>
                <c:pt idx="26">
                  <c:v>3.4599999999999946</c:v>
                </c:pt>
                <c:pt idx="27">
                  <c:v>3.4699999999999944</c:v>
                </c:pt>
                <c:pt idx="28">
                  <c:v>3.4799999999999942</c:v>
                </c:pt>
                <c:pt idx="29">
                  <c:v>3.489999999999994</c:v>
                </c:pt>
                <c:pt idx="30">
                  <c:v>3.4999999999999938</c:v>
                </c:pt>
                <c:pt idx="31">
                  <c:v>3.5099999999999936</c:v>
                </c:pt>
                <c:pt idx="32">
                  <c:v>3.5199999999999934</c:v>
                </c:pt>
                <c:pt idx="33">
                  <c:v>3.5299999999999931</c:v>
                </c:pt>
                <c:pt idx="34">
                  <c:v>3.5399999999999929</c:v>
                </c:pt>
                <c:pt idx="35">
                  <c:v>3.5499999999999927</c:v>
                </c:pt>
                <c:pt idx="36">
                  <c:v>3.5599999999999925</c:v>
                </c:pt>
                <c:pt idx="37">
                  <c:v>3.5699999999999923</c:v>
                </c:pt>
                <c:pt idx="38">
                  <c:v>3.5799999999999921</c:v>
                </c:pt>
                <c:pt idx="39">
                  <c:v>3.5899999999999919</c:v>
                </c:pt>
                <c:pt idx="40">
                  <c:v>3.5999999999999917</c:v>
                </c:pt>
                <c:pt idx="41">
                  <c:v>3.6099999999999914</c:v>
                </c:pt>
                <c:pt idx="42">
                  <c:v>3.6199999999999912</c:v>
                </c:pt>
                <c:pt idx="43">
                  <c:v>3.629999999999991</c:v>
                </c:pt>
                <c:pt idx="44">
                  <c:v>3.6399999999999908</c:v>
                </c:pt>
                <c:pt idx="45">
                  <c:v>3.6499999999999906</c:v>
                </c:pt>
                <c:pt idx="46">
                  <c:v>3.6599999999999904</c:v>
                </c:pt>
                <c:pt idx="47">
                  <c:v>3.6699999999999902</c:v>
                </c:pt>
                <c:pt idx="48">
                  <c:v>3.6799999999999899</c:v>
                </c:pt>
                <c:pt idx="49">
                  <c:v>3.6899999999999897</c:v>
                </c:pt>
                <c:pt idx="50">
                  <c:v>3.6999999999999895</c:v>
                </c:pt>
                <c:pt idx="51">
                  <c:v>3.7099999999999893</c:v>
                </c:pt>
                <c:pt idx="52">
                  <c:v>3.7199999999999891</c:v>
                </c:pt>
                <c:pt idx="53">
                  <c:v>3.7299999999999889</c:v>
                </c:pt>
                <c:pt idx="54">
                  <c:v>3.7399999999999887</c:v>
                </c:pt>
                <c:pt idx="55">
                  <c:v>3.7499999999999885</c:v>
                </c:pt>
                <c:pt idx="56">
                  <c:v>3.7599999999999882</c:v>
                </c:pt>
                <c:pt idx="57">
                  <c:v>3.769999999999988</c:v>
                </c:pt>
                <c:pt idx="58">
                  <c:v>3.7799999999999878</c:v>
                </c:pt>
                <c:pt idx="59">
                  <c:v>3.7899999999999876</c:v>
                </c:pt>
                <c:pt idx="60">
                  <c:v>3.7999999999999874</c:v>
                </c:pt>
                <c:pt idx="61">
                  <c:v>3.8099999999999872</c:v>
                </c:pt>
                <c:pt idx="62">
                  <c:v>3.819999999999987</c:v>
                </c:pt>
                <c:pt idx="63">
                  <c:v>3.8299999999999867</c:v>
                </c:pt>
                <c:pt idx="64">
                  <c:v>3.8399999999999865</c:v>
                </c:pt>
                <c:pt idx="65">
                  <c:v>3.8499999999999863</c:v>
                </c:pt>
                <c:pt idx="66">
                  <c:v>3.8599999999999861</c:v>
                </c:pt>
                <c:pt idx="67">
                  <c:v>3.8699999999999859</c:v>
                </c:pt>
                <c:pt idx="68">
                  <c:v>3.8799999999999857</c:v>
                </c:pt>
                <c:pt idx="69">
                  <c:v>3.8899999999999855</c:v>
                </c:pt>
                <c:pt idx="70">
                  <c:v>3.8999999999999853</c:v>
                </c:pt>
                <c:pt idx="71">
                  <c:v>3.909999999999985</c:v>
                </c:pt>
                <c:pt idx="72">
                  <c:v>3.9199999999999848</c:v>
                </c:pt>
                <c:pt idx="73">
                  <c:v>3.9299999999999846</c:v>
                </c:pt>
                <c:pt idx="74">
                  <c:v>3.9399999999999844</c:v>
                </c:pt>
                <c:pt idx="75">
                  <c:v>3.9499999999999842</c:v>
                </c:pt>
                <c:pt idx="76">
                  <c:v>3.959999999999984</c:v>
                </c:pt>
                <c:pt idx="77">
                  <c:v>3.9699999999999838</c:v>
                </c:pt>
                <c:pt idx="78">
                  <c:v>3.9799999999999836</c:v>
                </c:pt>
                <c:pt idx="79">
                  <c:v>3.9899999999999833</c:v>
                </c:pt>
                <c:pt idx="80">
                  <c:v>3.9999999999999831</c:v>
                </c:pt>
                <c:pt idx="81">
                  <c:v>4.0099999999999829</c:v>
                </c:pt>
                <c:pt idx="82">
                  <c:v>4.0199999999999827</c:v>
                </c:pt>
                <c:pt idx="83">
                  <c:v>4.0299999999999825</c:v>
                </c:pt>
                <c:pt idx="84">
                  <c:v>4.0399999999999823</c:v>
                </c:pt>
                <c:pt idx="85">
                  <c:v>4.0499999999999821</c:v>
                </c:pt>
                <c:pt idx="86">
                  <c:v>4.0599999999999818</c:v>
                </c:pt>
                <c:pt idx="87">
                  <c:v>4.0699999999999816</c:v>
                </c:pt>
                <c:pt idx="88">
                  <c:v>4.0799999999999814</c:v>
                </c:pt>
                <c:pt idx="89">
                  <c:v>4.0899999999999812</c:v>
                </c:pt>
                <c:pt idx="90">
                  <c:v>4.099999999999981</c:v>
                </c:pt>
                <c:pt idx="91">
                  <c:v>4.1099999999999808</c:v>
                </c:pt>
                <c:pt idx="92">
                  <c:v>4.1199999999999806</c:v>
                </c:pt>
                <c:pt idx="93">
                  <c:v>4.1299999999999804</c:v>
                </c:pt>
                <c:pt idx="94">
                  <c:v>4.1399999999999801</c:v>
                </c:pt>
                <c:pt idx="95">
                  <c:v>4.1499999999999799</c:v>
                </c:pt>
                <c:pt idx="96">
                  <c:v>4.1599999999999797</c:v>
                </c:pt>
                <c:pt idx="97">
                  <c:v>4.1699999999999795</c:v>
                </c:pt>
                <c:pt idx="98">
                  <c:v>4.1799999999999793</c:v>
                </c:pt>
                <c:pt idx="99">
                  <c:v>4.1899999999999791</c:v>
                </c:pt>
                <c:pt idx="100">
                  <c:v>4.1999999999999789</c:v>
                </c:pt>
                <c:pt idx="101">
                  <c:v>4.2999999999999785</c:v>
                </c:pt>
                <c:pt idx="102">
                  <c:v>4.3999999999999782</c:v>
                </c:pt>
                <c:pt idx="103">
                  <c:v>4.4999999999999778</c:v>
                </c:pt>
                <c:pt idx="104">
                  <c:v>4.5999999999999774</c:v>
                </c:pt>
                <c:pt idx="105">
                  <c:v>4.6999999999999771</c:v>
                </c:pt>
                <c:pt idx="106">
                  <c:v>4.7999999999999767</c:v>
                </c:pt>
                <c:pt idx="107">
                  <c:v>4.8999999999999764</c:v>
                </c:pt>
                <c:pt idx="108">
                  <c:v>4.999999999999976</c:v>
                </c:pt>
                <c:pt idx="109">
                  <c:v>5.0999999999999757</c:v>
                </c:pt>
                <c:pt idx="110">
                  <c:v>5.1999999999999753</c:v>
                </c:pt>
                <c:pt idx="111">
                  <c:v>5.299999999999975</c:v>
                </c:pt>
                <c:pt idx="112">
                  <c:v>5.3999999999999746</c:v>
                </c:pt>
                <c:pt idx="113">
                  <c:v>5.4999999999999742</c:v>
                </c:pt>
                <c:pt idx="114">
                  <c:v>5.5999999999999739</c:v>
                </c:pt>
                <c:pt idx="115">
                  <c:v>5.6999999999999735</c:v>
                </c:pt>
                <c:pt idx="116">
                  <c:v>5.7999999999999732</c:v>
                </c:pt>
                <c:pt idx="117">
                  <c:v>5.8999999999999728</c:v>
                </c:pt>
                <c:pt idx="118">
                  <c:v>5.9999999999999725</c:v>
                </c:pt>
                <c:pt idx="119">
                  <c:v>6.0999999999999721</c:v>
                </c:pt>
                <c:pt idx="120">
                  <c:v>6.1999999999999718</c:v>
                </c:pt>
                <c:pt idx="121">
                  <c:v>6.2999999999999714</c:v>
                </c:pt>
                <c:pt idx="122">
                  <c:v>6.399999999999971</c:v>
                </c:pt>
                <c:pt idx="123">
                  <c:v>6.4999999999999707</c:v>
                </c:pt>
                <c:pt idx="124">
                  <c:v>6.5999999999999703</c:v>
                </c:pt>
                <c:pt idx="125">
                  <c:v>6.69999999999997</c:v>
                </c:pt>
                <c:pt idx="126">
                  <c:v>6.7999999999999696</c:v>
                </c:pt>
                <c:pt idx="127">
                  <c:v>6.8999999999999693</c:v>
                </c:pt>
                <c:pt idx="128">
                  <c:v>6.9999999999999689</c:v>
                </c:pt>
                <c:pt idx="129">
                  <c:v>7.0999999999999686</c:v>
                </c:pt>
                <c:pt idx="130">
                  <c:v>7.1999999999999682</c:v>
                </c:pt>
                <c:pt idx="131">
                  <c:v>7.2999999999999678</c:v>
                </c:pt>
                <c:pt idx="132">
                  <c:v>7.3999999999999675</c:v>
                </c:pt>
                <c:pt idx="133">
                  <c:v>7.4999999999999671</c:v>
                </c:pt>
                <c:pt idx="134">
                  <c:v>7.5999999999999668</c:v>
                </c:pt>
                <c:pt idx="135">
                  <c:v>7.6999999999999664</c:v>
                </c:pt>
                <c:pt idx="136">
                  <c:v>7.7999999999999661</c:v>
                </c:pt>
                <c:pt idx="137">
                  <c:v>7.8999999999999657</c:v>
                </c:pt>
                <c:pt idx="138">
                  <c:v>7.9999999999999654</c:v>
                </c:pt>
                <c:pt idx="139">
                  <c:v>8.0999999999999659</c:v>
                </c:pt>
                <c:pt idx="140">
                  <c:v>8.1999999999999655</c:v>
                </c:pt>
                <c:pt idx="141">
                  <c:v>8.2999999999999652</c:v>
                </c:pt>
                <c:pt idx="142">
                  <c:v>8.3999999999999648</c:v>
                </c:pt>
                <c:pt idx="143">
                  <c:v>8.4999999999999645</c:v>
                </c:pt>
                <c:pt idx="144">
                  <c:v>8.5999999999999641</c:v>
                </c:pt>
                <c:pt idx="145">
                  <c:v>8.6999999999999638</c:v>
                </c:pt>
                <c:pt idx="146">
                  <c:v>8.7999999999999634</c:v>
                </c:pt>
                <c:pt idx="147">
                  <c:v>8.8999999999999631</c:v>
                </c:pt>
                <c:pt idx="148">
                  <c:v>8.9999999999999627</c:v>
                </c:pt>
                <c:pt idx="149">
                  <c:v>9.0999999999999623</c:v>
                </c:pt>
                <c:pt idx="150">
                  <c:v>9.199999999999962</c:v>
                </c:pt>
                <c:pt idx="151">
                  <c:v>9.2999999999999616</c:v>
                </c:pt>
                <c:pt idx="152">
                  <c:v>9.3999999999999613</c:v>
                </c:pt>
                <c:pt idx="153">
                  <c:v>9.4999999999999609</c:v>
                </c:pt>
                <c:pt idx="154">
                  <c:v>9.5999999999999606</c:v>
                </c:pt>
                <c:pt idx="155">
                  <c:v>9.6999999999999602</c:v>
                </c:pt>
                <c:pt idx="156">
                  <c:v>9.7999999999999599</c:v>
                </c:pt>
                <c:pt idx="157">
                  <c:v>9.8999999999999595</c:v>
                </c:pt>
                <c:pt idx="158">
                  <c:v>9.9999999999999591</c:v>
                </c:pt>
                <c:pt idx="159">
                  <c:v>10.099999999999959</c:v>
                </c:pt>
                <c:pt idx="160">
                  <c:v>10.199999999999958</c:v>
                </c:pt>
                <c:pt idx="161">
                  <c:v>10.299999999999958</c:v>
                </c:pt>
                <c:pt idx="162">
                  <c:v>10.399999999999958</c:v>
                </c:pt>
                <c:pt idx="163">
                  <c:v>10.499999999999957</c:v>
                </c:pt>
                <c:pt idx="164">
                  <c:v>10.599999999999957</c:v>
                </c:pt>
                <c:pt idx="165">
                  <c:v>10.699999999999957</c:v>
                </c:pt>
                <c:pt idx="166">
                  <c:v>10.799999999999956</c:v>
                </c:pt>
                <c:pt idx="167">
                  <c:v>10.899999999999956</c:v>
                </c:pt>
                <c:pt idx="168">
                  <c:v>10.999999999999956</c:v>
                </c:pt>
                <c:pt idx="169">
                  <c:v>11.099999999999955</c:v>
                </c:pt>
                <c:pt idx="170">
                  <c:v>11.199999999999955</c:v>
                </c:pt>
                <c:pt idx="171">
                  <c:v>11.299999999999955</c:v>
                </c:pt>
                <c:pt idx="172">
                  <c:v>11.399999999999954</c:v>
                </c:pt>
                <c:pt idx="173">
                  <c:v>11.499999999999954</c:v>
                </c:pt>
                <c:pt idx="174">
                  <c:v>11.599999999999953</c:v>
                </c:pt>
                <c:pt idx="175">
                  <c:v>11.699999999999953</c:v>
                </c:pt>
                <c:pt idx="176">
                  <c:v>11.799999999999953</c:v>
                </c:pt>
                <c:pt idx="177">
                  <c:v>11.899999999999952</c:v>
                </c:pt>
                <c:pt idx="178">
                  <c:v>11.999999999999952</c:v>
                </c:pt>
                <c:pt idx="179">
                  <c:v>12.099999999999952</c:v>
                </c:pt>
                <c:pt idx="180">
                  <c:v>12.199999999999951</c:v>
                </c:pt>
                <c:pt idx="181">
                  <c:v>12.299999999999951</c:v>
                </c:pt>
                <c:pt idx="182">
                  <c:v>12.399999999999951</c:v>
                </c:pt>
                <c:pt idx="183">
                  <c:v>12.49999999999995</c:v>
                </c:pt>
                <c:pt idx="184">
                  <c:v>12.59999999999995</c:v>
                </c:pt>
                <c:pt idx="185">
                  <c:v>12.69999999999995</c:v>
                </c:pt>
                <c:pt idx="186">
                  <c:v>12.799999999999949</c:v>
                </c:pt>
                <c:pt idx="187">
                  <c:v>12.899999999999949</c:v>
                </c:pt>
                <c:pt idx="188">
                  <c:v>12.999999999999948</c:v>
                </c:pt>
                <c:pt idx="189">
                  <c:v>13.099999999999948</c:v>
                </c:pt>
                <c:pt idx="190">
                  <c:v>13.199999999999948</c:v>
                </c:pt>
                <c:pt idx="191">
                  <c:v>13.299999999999947</c:v>
                </c:pt>
                <c:pt idx="192">
                  <c:v>13.399999999999947</c:v>
                </c:pt>
                <c:pt idx="193">
                  <c:v>13.499999999999947</c:v>
                </c:pt>
                <c:pt idx="194">
                  <c:v>13.599999999999946</c:v>
                </c:pt>
                <c:pt idx="195">
                  <c:v>13.699999999999946</c:v>
                </c:pt>
                <c:pt idx="196">
                  <c:v>13.799999999999946</c:v>
                </c:pt>
                <c:pt idx="197">
                  <c:v>13.899999999999945</c:v>
                </c:pt>
                <c:pt idx="198">
                  <c:v>13.999999999999945</c:v>
                </c:pt>
                <c:pt idx="199">
                  <c:v>14.099999999999945</c:v>
                </c:pt>
                <c:pt idx="200">
                  <c:v>14.199999999999944</c:v>
                </c:pt>
                <c:pt idx="201">
                  <c:v>14.299999999999944</c:v>
                </c:pt>
                <c:pt idx="202">
                  <c:v>14.399999999999944</c:v>
                </c:pt>
                <c:pt idx="203">
                  <c:v>14.499999999999943</c:v>
                </c:pt>
                <c:pt idx="204">
                  <c:v>14.599999999999943</c:v>
                </c:pt>
                <c:pt idx="205">
                  <c:v>14.699999999999942</c:v>
                </c:pt>
                <c:pt idx="206">
                  <c:v>14.799999999999942</c:v>
                </c:pt>
                <c:pt idx="207">
                  <c:v>14.899999999999942</c:v>
                </c:pt>
                <c:pt idx="208">
                  <c:v>14.999999999999941</c:v>
                </c:pt>
                <c:pt idx="209">
                  <c:v>15.099999999999941</c:v>
                </c:pt>
                <c:pt idx="210">
                  <c:v>15.199999999999941</c:v>
                </c:pt>
                <c:pt idx="211">
                  <c:v>15.29999999999994</c:v>
                </c:pt>
                <c:pt idx="212">
                  <c:v>15.39999999999994</c:v>
                </c:pt>
                <c:pt idx="213">
                  <c:v>15.49999999999994</c:v>
                </c:pt>
                <c:pt idx="214">
                  <c:v>15.599999999999939</c:v>
                </c:pt>
                <c:pt idx="215">
                  <c:v>15.699999999999939</c:v>
                </c:pt>
                <c:pt idx="216">
                  <c:v>15.799999999999939</c:v>
                </c:pt>
                <c:pt idx="217">
                  <c:v>15.899999999999938</c:v>
                </c:pt>
                <c:pt idx="218">
                  <c:v>15.999999999999938</c:v>
                </c:pt>
                <c:pt idx="219">
                  <c:v>16.099999999999937</c:v>
                </c:pt>
                <c:pt idx="220">
                  <c:v>16.199999999999939</c:v>
                </c:pt>
                <c:pt idx="221">
                  <c:v>16.29999999999994</c:v>
                </c:pt>
                <c:pt idx="222">
                  <c:v>16.399999999999942</c:v>
                </c:pt>
                <c:pt idx="223">
                  <c:v>16.499999999999943</c:v>
                </c:pt>
                <c:pt idx="224">
                  <c:v>16.599999999999945</c:v>
                </c:pt>
                <c:pt idx="225">
                  <c:v>16.699999999999946</c:v>
                </c:pt>
                <c:pt idx="226">
                  <c:v>16.799999999999947</c:v>
                </c:pt>
                <c:pt idx="227">
                  <c:v>16.899999999999949</c:v>
                </c:pt>
                <c:pt idx="228">
                  <c:v>16.99999999999995</c:v>
                </c:pt>
                <c:pt idx="229">
                  <c:v>17.099999999999952</c:v>
                </c:pt>
                <c:pt idx="230">
                  <c:v>17.199999999999953</c:v>
                </c:pt>
                <c:pt idx="231">
                  <c:v>17.299999999999955</c:v>
                </c:pt>
                <c:pt idx="232">
                  <c:v>17.399999999999956</c:v>
                </c:pt>
                <c:pt idx="233">
                  <c:v>17.499999999999957</c:v>
                </c:pt>
                <c:pt idx="234">
                  <c:v>17.599999999999959</c:v>
                </c:pt>
                <c:pt idx="235">
                  <c:v>17.69999999999996</c:v>
                </c:pt>
                <c:pt idx="236">
                  <c:v>17.799999999999962</c:v>
                </c:pt>
                <c:pt idx="237">
                  <c:v>17.899999999999963</c:v>
                </c:pt>
                <c:pt idx="238">
                  <c:v>17.999999999999964</c:v>
                </c:pt>
                <c:pt idx="239">
                  <c:v>18.099999999999966</c:v>
                </c:pt>
                <c:pt idx="240">
                  <c:v>18.199999999999967</c:v>
                </c:pt>
                <c:pt idx="241">
                  <c:v>18.299999999999969</c:v>
                </c:pt>
                <c:pt idx="242">
                  <c:v>18.39999999999997</c:v>
                </c:pt>
                <c:pt idx="243">
                  <c:v>18.499999999999972</c:v>
                </c:pt>
                <c:pt idx="244">
                  <c:v>18.599999999999973</c:v>
                </c:pt>
                <c:pt idx="245">
                  <c:v>18.699999999999974</c:v>
                </c:pt>
                <c:pt idx="246">
                  <c:v>18.799999999999976</c:v>
                </c:pt>
                <c:pt idx="247">
                  <c:v>18.899999999999977</c:v>
                </c:pt>
                <c:pt idx="248">
                  <c:v>18.999999999999979</c:v>
                </c:pt>
                <c:pt idx="249">
                  <c:v>19.09999999999998</c:v>
                </c:pt>
                <c:pt idx="250">
                  <c:v>19.199999999999982</c:v>
                </c:pt>
                <c:pt idx="251">
                  <c:v>19.299999999999983</c:v>
                </c:pt>
                <c:pt idx="252">
                  <c:v>19.399999999999984</c:v>
                </c:pt>
                <c:pt idx="253">
                  <c:v>19.499999999999986</c:v>
                </c:pt>
                <c:pt idx="254">
                  <c:v>19.599999999999987</c:v>
                </c:pt>
                <c:pt idx="255">
                  <c:v>19.699999999999989</c:v>
                </c:pt>
                <c:pt idx="256">
                  <c:v>19.79999999999999</c:v>
                </c:pt>
                <c:pt idx="257">
                  <c:v>19.899999999999991</c:v>
                </c:pt>
                <c:pt idx="258">
                  <c:v>19.999999999999993</c:v>
                </c:pt>
                <c:pt idx="259">
                  <c:v>20.099999999999994</c:v>
                </c:pt>
                <c:pt idx="260">
                  <c:v>20.199999999999996</c:v>
                </c:pt>
                <c:pt idx="261">
                  <c:v>20.299999999999997</c:v>
                </c:pt>
                <c:pt idx="262">
                  <c:v>20.399999999999999</c:v>
                </c:pt>
                <c:pt idx="263">
                  <c:v>20.5</c:v>
                </c:pt>
                <c:pt idx="264">
                  <c:v>20.6</c:v>
                </c:pt>
                <c:pt idx="265">
                  <c:v>20.700000000000003</c:v>
                </c:pt>
                <c:pt idx="266">
                  <c:v>20.800000000000004</c:v>
                </c:pt>
                <c:pt idx="267">
                  <c:v>20.900000000000006</c:v>
                </c:pt>
                <c:pt idx="268">
                  <c:v>21.000000000000007</c:v>
                </c:pt>
                <c:pt idx="269">
                  <c:v>21.100000000000009</c:v>
                </c:pt>
                <c:pt idx="270">
                  <c:v>21.20000000000001</c:v>
                </c:pt>
                <c:pt idx="271">
                  <c:v>21.300000000000011</c:v>
                </c:pt>
                <c:pt idx="272">
                  <c:v>21.400000000000013</c:v>
                </c:pt>
                <c:pt idx="273">
                  <c:v>21.500000000000014</c:v>
                </c:pt>
                <c:pt idx="274">
                  <c:v>21.600000000000016</c:v>
                </c:pt>
                <c:pt idx="275">
                  <c:v>21.700000000000017</c:v>
                </c:pt>
                <c:pt idx="276">
                  <c:v>21.800000000000018</c:v>
                </c:pt>
                <c:pt idx="277">
                  <c:v>21.90000000000002</c:v>
                </c:pt>
                <c:pt idx="278">
                  <c:v>22.000000000000021</c:v>
                </c:pt>
                <c:pt idx="279">
                  <c:v>22.100000000000023</c:v>
                </c:pt>
                <c:pt idx="280">
                  <c:v>22.200000000000024</c:v>
                </c:pt>
                <c:pt idx="281">
                  <c:v>22.300000000000026</c:v>
                </c:pt>
                <c:pt idx="282">
                  <c:v>22.400000000000027</c:v>
                </c:pt>
                <c:pt idx="283">
                  <c:v>22.500000000000028</c:v>
                </c:pt>
                <c:pt idx="284">
                  <c:v>22.60000000000003</c:v>
                </c:pt>
                <c:pt idx="285">
                  <c:v>22.700000000000031</c:v>
                </c:pt>
                <c:pt idx="286">
                  <c:v>22.800000000000033</c:v>
                </c:pt>
                <c:pt idx="287">
                  <c:v>22.900000000000034</c:v>
                </c:pt>
                <c:pt idx="288">
                  <c:v>23.000000000000036</c:v>
                </c:pt>
                <c:pt idx="289">
                  <c:v>23.100000000000037</c:v>
                </c:pt>
                <c:pt idx="290">
                  <c:v>23.200000000000038</c:v>
                </c:pt>
                <c:pt idx="291">
                  <c:v>23.30000000000004</c:v>
                </c:pt>
                <c:pt idx="292">
                  <c:v>23.400000000000041</c:v>
                </c:pt>
                <c:pt idx="293">
                  <c:v>23.500000000000043</c:v>
                </c:pt>
                <c:pt idx="294">
                  <c:v>23.600000000000044</c:v>
                </c:pt>
                <c:pt idx="295">
                  <c:v>23.700000000000045</c:v>
                </c:pt>
                <c:pt idx="296">
                  <c:v>23.800000000000047</c:v>
                </c:pt>
                <c:pt idx="297">
                  <c:v>23.900000000000048</c:v>
                </c:pt>
                <c:pt idx="298">
                  <c:v>24.00000000000005</c:v>
                </c:pt>
                <c:pt idx="299">
                  <c:v>24.100000000000051</c:v>
                </c:pt>
                <c:pt idx="300">
                  <c:v>24.200000000000053</c:v>
                </c:pt>
                <c:pt idx="301">
                  <c:v>24.300000000000054</c:v>
                </c:pt>
                <c:pt idx="302">
                  <c:v>24.400000000000055</c:v>
                </c:pt>
                <c:pt idx="303">
                  <c:v>24.500000000000057</c:v>
                </c:pt>
                <c:pt idx="304">
                  <c:v>24.600000000000058</c:v>
                </c:pt>
                <c:pt idx="305">
                  <c:v>24.70000000000006</c:v>
                </c:pt>
                <c:pt idx="306">
                  <c:v>24.800000000000061</c:v>
                </c:pt>
                <c:pt idx="307">
                  <c:v>24.900000000000063</c:v>
                </c:pt>
                <c:pt idx="308">
                  <c:v>25.000000000000064</c:v>
                </c:pt>
                <c:pt idx="309">
                  <c:v>25.100000000000065</c:v>
                </c:pt>
                <c:pt idx="310">
                  <c:v>25.200000000000067</c:v>
                </c:pt>
                <c:pt idx="311">
                  <c:v>25.300000000000068</c:v>
                </c:pt>
                <c:pt idx="312">
                  <c:v>25.40000000000007</c:v>
                </c:pt>
                <c:pt idx="313">
                  <c:v>25.500000000000071</c:v>
                </c:pt>
                <c:pt idx="314">
                  <c:v>25.600000000000072</c:v>
                </c:pt>
                <c:pt idx="315">
                  <c:v>25.700000000000074</c:v>
                </c:pt>
                <c:pt idx="316">
                  <c:v>25.800000000000075</c:v>
                </c:pt>
                <c:pt idx="317">
                  <c:v>25.900000000000077</c:v>
                </c:pt>
                <c:pt idx="318">
                  <c:v>26.000000000000078</c:v>
                </c:pt>
                <c:pt idx="319">
                  <c:v>26.10000000000008</c:v>
                </c:pt>
                <c:pt idx="320">
                  <c:v>26.200000000000081</c:v>
                </c:pt>
                <c:pt idx="321">
                  <c:v>26.300000000000082</c:v>
                </c:pt>
                <c:pt idx="322">
                  <c:v>26.400000000000084</c:v>
                </c:pt>
                <c:pt idx="323">
                  <c:v>26.500000000000085</c:v>
                </c:pt>
                <c:pt idx="324">
                  <c:v>26.600000000000087</c:v>
                </c:pt>
                <c:pt idx="325">
                  <c:v>26.700000000000088</c:v>
                </c:pt>
                <c:pt idx="326">
                  <c:v>26.80000000000009</c:v>
                </c:pt>
                <c:pt idx="327">
                  <c:v>26.900000000000091</c:v>
                </c:pt>
                <c:pt idx="328">
                  <c:v>27.000000000000092</c:v>
                </c:pt>
                <c:pt idx="329">
                  <c:v>27.100000000000094</c:v>
                </c:pt>
                <c:pt idx="330">
                  <c:v>27.200000000000095</c:v>
                </c:pt>
                <c:pt idx="331">
                  <c:v>27.300000000000097</c:v>
                </c:pt>
                <c:pt idx="332">
                  <c:v>27.400000000000098</c:v>
                </c:pt>
                <c:pt idx="333">
                  <c:v>27.500000000000099</c:v>
                </c:pt>
                <c:pt idx="334">
                  <c:v>27.600000000000101</c:v>
                </c:pt>
                <c:pt idx="335">
                  <c:v>27.700000000000102</c:v>
                </c:pt>
                <c:pt idx="336">
                  <c:v>27.800000000000104</c:v>
                </c:pt>
                <c:pt idx="337">
                  <c:v>27.900000000000105</c:v>
                </c:pt>
                <c:pt idx="338">
                  <c:v>28.000000000000107</c:v>
                </c:pt>
                <c:pt idx="339">
                  <c:v>28.100000000000108</c:v>
                </c:pt>
                <c:pt idx="340">
                  <c:v>28.200000000000109</c:v>
                </c:pt>
                <c:pt idx="341">
                  <c:v>28.300000000000111</c:v>
                </c:pt>
                <c:pt idx="342">
                  <c:v>28.400000000000112</c:v>
                </c:pt>
                <c:pt idx="343">
                  <c:v>28.500000000000114</c:v>
                </c:pt>
                <c:pt idx="344">
                  <c:v>28.600000000000115</c:v>
                </c:pt>
                <c:pt idx="345">
                  <c:v>28.700000000000117</c:v>
                </c:pt>
                <c:pt idx="346">
                  <c:v>28.800000000000118</c:v>
                </c:pt>
                <c:pt idx="347">
                  <c:v>28.900000000000119</c:v>
                </c:pt>
                <c:pt idx="348">
                  <c:v>29.000000000000121</c:v>
                </c:pt>
                <c:pt idx="349">
                  <c:v>29.100000000000122</c:v>
                </c:pt>
                <c:pt idx="350">
                  <c:v>29.200000000000124</c:v>
                </c:pt>
                <c:pt idx="351">
                  <c:v>29.300000000000125</c:v>
                </c:pt>
                <c:pt idx="352">
                  <c:v>29.400000000000126</c:v>
                </c:pt>
                <c:pt idx="353">
                  <c:v>29.500000000000128</c:v>
                </c:pt>
                <c:pt idx="354">
                  <c:v>29.600000000000129</c:v>
                </c:pt>
                <c:pt idx="355">
                  <c:v>29.700000000000131</c:v>
                </c:pt>
                <c:pt idx="356">
                  <c:v>29.800000000000132</c:v>
                </c:pt>
                <c:pt idx="357">
                  <c:v>29.900000000000134</c:v>
                </c:pt>
                <c:pt idx="358">
                  <c:v>30.000000000000135</c:v>
                </c:pt>
                <c:pt idx="359">
                  <c:v>30.100000000000136</c:v>
                </c:pt>
                <c:pt idx="360">
                  <c:v>30.200000000000138</c:v>
                </c:pt>
                <c:pt idx="361">
                  <c:v>30.300000000000139</c:v>
                </c:pt>
                <c:pt idx="362">
                  <c:v>30.400000000000141</c:v>
                </c:pt>
                <c:pt idx="363">
                  <c:v>30.500000000000142</c:v>
                </c:pt>
                <c:pt idx="364">
                  <c:v>30.600000000000144</c:v>
                </c:pt>
                <c:pt idx="365">
                  <c:v>30.700000000000145</c:v>
                </c:pt>
                <c:pt idx="366">
                  <c:v>30.800000000000146</c:v>
                </c:pt>
                <c:pt idx="367">
                  <c:v>30.900000000000148</c:v>
                </c:pt>
                <c:pt idx="368">
                  <c:v>31.000000000000149</c:v>
                </c:pt>
                <c:pt idx="369">
                  <c:v>31.100000000000151</c:v>
                </c:pt>
                <c:pt idx="370">
                  <c:v>31.200000000000152</c:v>
                </c:pt>
                <c:pt idx="371">
                  <c:v>31.300000000000153</c:v>
                </c:pt>
                <c:pt idx="372">
                  <c:v>31.400000000000155</c:v>
                </c:pt>
                <c:pt idx="373">
                  <c:v>31.500000000000156</c:v>
                </c:pt>
                <c:pt idx="374">
                  <c:v>31.600000000000158</c:v>
                </c:pt>
                <c:pt idx="375">
                  <c:v>31.700000000000159</c:v>
                </c:pt>
                <c:pt idx="376">
                  <c:v>31.800000000000161</c:v>
                </c:pt>
                <c:pt idx="377">
                  <c:v>31.900000000000162</c:v>
                </c:pt>
                <c:pt idx="378">
                  <c:v>32.000000000000163</c:v>
                </c:pt>
                <c:pt idx="379">
                  <c:v>32.100000000000165</c:v>
                </c:pt>
                <c:pt idx="380">
                  <c:v>32.200000000000166</c:v>
                </c:pt>
                <c:pt idx="381">
                  <c:v>32.300000000000168</c:v>
                </c:pt>
                <c:pt idx="382">
                  <c:v>32.400000000000169</c:v>
                </c:pt>
                <c:pt idx="383">
                  <c:v>32.500000000000171</c:v>
                </c:pt>
                <c:pt idx="384">
                  <c:v>32.500100000000174</c:v>
                </c:pt>
                <c:pt idx="385">
                  <c:v>32.500200000000177</c:v>
                </c:pt>
                <c:pt idx="386">
                  <c:v>32.50030000000018</c:v>
                </c:pt>
                <c:pt idx="387">
                  <c:v>32.500400000000184</c:v>
                </c:pt>
                <c:pt idx="388">
                  <c:v>32.500500000000187</c:v>
                </c:pt>
                <c:pt idx="389">
                  <c:v>32.50060000000019</c:v>
                </c:pt>
                <c:pt idx="390">
                  <c:v>32.500700000000194</c:v>
                </c:pt>
                <c:pt idx="391">
                  <c:v>32.500800000000197</c:v>
                </c:pt>
                <c:pt idx="392">
                  <c:v>32.5009000000002</c:v>
                </c:pt>
                <c:pt idx="393">
                  <c:v>32.501000000000204</c:v>
                </c:pt>
                <c:pt idx="394">
                  <c:v>32.501100000000207</c:v>
                </c:pt>
                <c:pt idx="395">
                  <c:v>32.50120000000021</c:v>
                </c:pt>
                <c:pt idx="396">
                  <c:v>32.501300000000214</c:v>
                </c:pt>
                <c:pt idx="397">
                  <c:v>32.501400000000217</c:v>
                </c:pt>
                <c:pt idx="398">
                  <c:v>32.50150000000022</c:v>
                </c:pt>
                <c:pt idx="399">
                  <c:v>32.501600000000224</c:v>
                </c:pt>
                <c:pt idx="400">
                  <c:v>32.501700000000227</c:v>
                </c:pt>
                <c:pt idx="401">
                  <c:v>32.50180000000023</c:v>
                </c:pt>
                <c:pt idx="402">
                  <c:v>32.501900000000234</c:v>
                </c:pt>
                <c:pt idx="403">
                  <c:v>32.502000000000237</c:v>
                </c:pt>
                <c:pt idx="404">
                  <c:v>32.50210000000024</c:v>
                </c:pt>
                <c:pt idx="405">
                  <c:v>32.502200000000244</c:v>
                </c:pt>
                <c:pt idx="406">
                  <c:v>32.502300000000247</c:v>
                </c:pt>
                <c:pt idx="407">
                  <c:v>32.50240000000025</c:v>
                </c:pt>
                <c:pt idx="408">
                  <c:v>32.502500000000254</c:v>
                </c:pt>
                <c:pt idx="409">
                  <c:v>32.502600000000257</c:v>
                </c:pt>
                <c:pt idx="410">
                  <c:v>32.50270000000026</c:v>
                </c:pt>
                <c:pt idx="411">
                  <c:v>32.502800000000263</c:v>
                </c:pt>
                <c:pt idx="412">
                  <c:v>32.502900000000267</c:v>
                </c:pt>
                <c:pt idx="413">
                  <c:v>32.50300000000027</c:v>
                </c:pt>
                <c:pt idx="414">
                  <c:v>32.503100000000273</c:v>
                </c:pt>
                <c:pt idx="415">
                  <c:v>32.503200000000277</c:v>
                </c:pt>
                <c:pt idx="416">
                  <c:v>32.50330000000028</c:v>
                </c:pt>
                <c:pt idx="417">
                  <c:v>32.503400000000283</c:v>
                </c:pt>
                <c:pt idx="418">
                  <c:v>32.503500000000287</c:v>
                </c:pt>
                <c:pt idx="419">
                  <c:v>32.50360000000029</c:v>
                </c:pt>
                <c:pt idx="420">
                  <c:v>32.503700000000293</c:v>
                </c:pt>
                <c:pt idx="421">
                  <c:v>32.503800000000297</c:v>
                </c:pt>
                <c:pt idx="422">
                  <c:v>32.5039000000003</c:v>
                </c:pt>
                <c:pt idx="423">
                  <c:v>32.504000000000303</c:v>
                </c:pt>
                <c:pt idx="424">
                  <c:v>32.504100000000307</c:v>
                </c:pt>
                <c:pt idx="425">
                  <c:v>32.50420000000031</c:v>
                </c:pt>
                <c:pt idx="426">
                  <c:v>32.504300000000313</c:v>
                </c:pt>
                <c:pt idx="427">
                  <c:v>32.504400000000317</c:v>
                </c:pt>
                <c:pt idx="428">
                  <c:v>32.50450000000032</c:v>
                </c:pt>
                <c:pt idx="429">
                  <c:v>32.504600000000323</c:v>
                </c:pt>
                <c:pt idx="430">
                  <c:v>32.504700000000327</c:v>
                </c:pt>
                <c:pt idx="431">
                  <c:v>32.50480000000033</c:v>
                </c:pt>
                <c:pt idx="432">
                  <c:v>32.504900000000333</c:v>
                </c:pt>
                <c:pt idx="433">
                  <c:v>32.505000000000337</c:v>
                </c:pt>
                <c:pt idx="434">
                  <c:v>32.50510000000034</c:v>
                </c:pt>
                <c:pt idx="435">
                  <c:v>32.505200000000343</c:v>
                </c:pt>
                <c:pt idx="436">
                  <c:v>32.505300000000346</c:v>
                </c:pt>
                <c:pt idx="437">
                  <c:v>32.50540000000035</c:v>
                </c:pt>
                <c:pt idx="438">
                  <c:v>32.505500000000353</c:v>
                </c:pt>
                <c:pt idx="439">
                  <c:v>32.505600000000356</c:v>
                </c:pt>
                <c:pt idx="440">
                  <c:v>32.50570000000036</c:v>
                </c:pt>
                <c:pt idx="441">
                  <c:v>32.505800000000363</c:v>
                </c:pt>
                <c:pt idx="442">
                  <c:v>32.505900000000366</c:v>
                </c:pt>
                <c:pt idx="443">
                  <c:v>32.50600000000037</c:v>
                </c:pt>
                <c:pt idx="444">
                  <c:v>32.506100000000373</c:v>
                </c:pt>
                <c:pt idx="445">
                  <c:v>32.506200000000376</c:v>
                </c:pt>
                <c:pt idx="446">
                  <c:v>32.50630000000038</c:v>
                </c:pt>
                <c:pt idx="447">
                  <c:v>32.506400000000383</c:v>
                </c:pt>
                <c:pt idx="448">
                  <c:v>32.506500000000386</c:v>
                </c:pt>
                <c:pt idx="449">
                  <c:v>32.50660000000039</c:v>
                </c:pt>
                <c:pt idx="450">
                  <c:v>32.506700000000393</c:v>
                </c:pt>
                <c:pt idx="451">
                  <c:v>32.506800000000396</c:v>
                </c:pt>
                <c:pt idx="452">
                  <c:v>32.5069000000004</c:v>
                </c:pt>
                <c:pt idx="453">
                  <c:v>32.507000000000403</c:v>
                </c:pt>
                <c:pt idx="454">
                  <c:v>32.507100000000406</c:v>
                </c:pt>
                <c:pt idx="455">
                  <c:v>32.50720000000041</c:v>
                </c:pt>
                <c:pt idx="456">
                  <c:v>32.507300000000413</c:v>
                </c:pt>
                <c:pt idx="457">
                  <c:v>32.507400000000416</c:v>
                </c:pt>
                <c:pt idx="458">
                  <c:v>32.50750000000042</c:v>
                </c:pt>
                <c:pt idx="459">
                  <c:v>32.507600000000423</c:v>
                </c:pt>
                <c:pt idx="460">
                  <c:v>32.507700000000426</c:v>
                </c:pt>
                <c:pt idx="461">
                  <c:v>32.507800000000429</c:v>
                </c:pt>
                <c:pt idx="462">
                  <c:v>32.507900000000433</c:v>
                </c:pt>
                <c:pt idx="463">
                  <c:v>32.508000000000436</c:v>
                </c:pt>
                <c:pt idx="464">
                  <c:v>32.508100000000439</c:v>
                </c:pt>
                <c:pt idx="465">
                  <c:v>32.508200000000443</c:v>
                </c:pt>
                <c:pt idx="466">
                  <c:v>32.508300000000446</c:v>
                </c:pt>
                <c:pt idx="467">
                  <c:v>32.508400000000449</c:v>
                </c:pt>
                <c:pt idx="468">
                  <c:v>32.508500000000453</c:v>
                </c:pt>
                <c:pt idx="469">
                  <c:v>32.508600000000456</c:v>
                </c:pt>
                <c:pt idx="470">
                  <c:v>32.508700000000459</c:v>
                </c:pt>
                <c:pt idx="471">
                  <c:v>32.508800000000463</c:v>
                </c:pt>
                <c:pt idx="472">
                  <c:v>32.508900000000466</c:v>
                </c:pt>
                <c:pt idx="473">
                  <c:v>32.509000000000469</c:v>
                </c:pt>
                <c:pt idx="474">
                  <c:v>32.509100000000473</c:v>
                </c:pt>
                <c:pt idx="475">
                  <c:v>32.509200000000476</c:v>
                </c:pt>
                <c:pt idx="476">
                  <c:v>32.509300000000479</c:v>
                </c:pt>
                <c:pt idx="477">
                  <c:v>32.509400000000483</c:v>
                </c:pt>
                <c:pt idx="478">
                  <c:v>32.509500000000486</c:v>
                </c:pt>
                <c:pt idx="479">
                  <c:v>32.509600000000489</c:v>
                </c:pt>
                <c:pt idx="480">
                  <c:v>32.509700000000493</c:v>
                </c:pt>
                <c:pt idx="481">
                  <c:v>32.509800000000496</c:v>
                </c:pt>
                <c:pt idx="482">
                  <c:v>32.509900000000499</c:v>
                </c:pt>
                <c:pt idx="483">
                  <c:v>32.510000000000502</c:v>
                </c:pt>
                <c:pt idx="484">
                  <c:v>32.510100000000506</c:v>
                </c:pt>
                <c:pt idx="485">
                  <c:v>32.510200000000509</c:v>
                </c:pt>
                <c:pt idx="486">
                  <c:v>32.510300000000512</c:v>
                </c:pt>
                <c:pt idx="487">
                  <c:v>32.510400000000516</c:v>
                </c:pt>
                <c:pt idx="488">
                  <c:v>32.510500000000519</c:v>
                </c:pt>
                <c:pt idx="489">
                  <c:v>32.510600000000522</c:v>
                </c:pt>
                <c:pt idx="490">
                  <c:v>32.510700000000526</c:v>
                </c:pt>
                <c:pt idx="491">
                  <c:v>32.510800000000529</c:v>
                </c:pt>
                <c:pt idx="492">
                  <c:v>32.510900000000532</c:v>
                </c:pt>
                <c:pt idx="493">
                  <c:v>32.511000000000536</c:v>
                </c:pt>
                <c:pt idx="494">
                  <c:v>32.511100000000539</c:v>
                </c:pt>
                <c:pt idx="495">
                  <c:v>32.511200000000542</c:v>
                </c:pt>
                <c:pt idx="496">
                  <c:v>32.511300000000546</c:v>
                </c:pt>
                <c:pt idx="497">
                  <c:v>32.511400000000549</c:v>
                </c:pt>
                <c:pt idx="498">
                  <c:v>32.511500000000552</c:v>
                </c:pt>
                <c:pt idx="499">
                  <c:v>32.511600000000556</c:v>
                </c:pt>
                <c:pt idx="500">
                  <c:v>32.511700000000559</c:v>
                </c:pt>
                <c:pt idx="501">
                  <c:v>32.511800000000562</c:v>
                </c:pt>
                <c:pt idx="502">
                  <c:v>32.511900000000566</c:v>
                </c:pt>
                <c:pt idx="503">
                  <c:v>32.512000000000569</c:v>
                </c:pt>
                <c:pt idx="504">
                  <c:v>32.512100000000572</c:v>
                </c:pt>
                <c:pt idx="505">
                  <c:v>32.512200000000576</c:v>
                </c:pt>
                <c:pt idx="506">
                  <c:v>32.512300000000579</c:v>
                </c:pt>
                <c:pt idx="507">
                  <c:v>32.512400000000582</c:v>
                </c:pt>
                <c:pt idx="508">
                  <c:v>32.512500000000585</c:v>
                </c:pt>
                <c:pt idx="509">
                  <c:v>32.512600000000589</c:v>
                </c:pt>
                <c:pt idx="510">
                  <c:v>32.512700000000592</c:v>
                </c:pt>
                <c:pt idx="511">
                  <c:v>32.512800000000595</c:v>
                </c:pt>
                <c:pt idx="512">
                  <c:v>32.512900000000599</c:v>
                </c:pt>
                <c:pt idx="513">
                  <c:v>32.513000000000602</c:v>
                </c:pt>
                <c:pt idx="514">
                  <c:v>32.513100000000605</c:v>
                </c:pt>
                <c:pt idx="515">
                  <c:v>32.513200000000609</c:v>
                </c:pt>
                <c:pt idx="516">
                  <c:v>32.513300000000612</c:v>
                </c:pt>
                <c:pt idx="517">
                  <c:v>32.513400000000615</c:v>
                </c:pt>
                <c:pt idx="518">
                  <c:v>32.513500000000619</c:v>
                </c:pt>
                <c:pt idx="519">
                  <c:v>32.513600000000622</c:v>
                </c:pt>
                <c:pt idx="520">
                  <c:v>32.513700000000625</c:v>
                </c:pt>
                <c:pt idx="521">
                  <c:v>32.513800000000629</c:v>
                </c:pt>
                <c:pt idx="522">
                  <c:v>32.513900000000632</c:v>
                </c:pt>
                <c:pt idx="523">
                  <c:v>32.514000000000635</c:v>
                </c:pt>
                <c:pt idx="524">
                  <c:v>32.514100000000639</c:v>
                </c:pt>
                <c:pt idx="525">
                  <c:v>32.514200000000642</c:v>
                </c:pt>
                <c:pt idx="526">
                  <c:v>32.514300000000645</c:v>
                </c:pt>
                <c:pt idx="527">
                  <c:v>32.514400000000649</c:v>
                </c:pt>
                <c:pt idx="528">
                  <c:v>32.514500000000652</c:v>
                </c:pt>
                <c:pt idx="529">
                  <c:v>32.514600000000655</c:v>
                </c:pt>
                <c:pt idx="530">
                  <c:v>32.514700000000659</c:v>
                </c:pt>
                <c:pt idx="531">
                  <c:v>32.514800000000662</c:v>
                </c:pt>
                <c:pt idx="532">
                  <c:v>32.514900000000665</c:v>
                </c:pt>
                <c:pt idx="533">
                  <c:v>32.515000000000668</c:v>
                </c:pt>
                <c:pt idx="534">
                  <c:v>32.515100000000672</c:v>
                </c:pt>
                <c:pt idx="535">
                  <c:v>32.515200000000675</c:v>
                </c:pt>
                <c:pt idx="536">
                  <c:v>32.515300000000678</c:v>
                </c:pt>
                <c:pt idx="537">
                  <c:v>32.515400000000682</c:v>
                </c:pt>
                <c:pt idx="538">
                  <c:v>32.515500000000685</c:v>
                </c:pt>
                <c:pt idx="539">
                  <c:v>32.515600000000688</c:v>
                </c:pt>
                <c:pt idx="540">
                  <c:v>32.515700000000692</c:v>
                </c:pt>
                <c:pt idx="541">
                  <c:v>32.515800000000695</c:v>
                </c:pt>
                <c:pt idx="542">
                  <c:v>32.515900000000698</c:v>
                </c:pt>
                <c:pt idx="543">
                  <c:v>32.516000000000702</c:v>
                </c:pt>
                <c:pt idx="544">
                  <c:v>32.516100000000705</c:v>
                </c:pt>
                <c:pt idx="545">
                  <c:v>32.516200000000708</c:v>
                </c:pt>
                <c:pt idx="546">
                  <c:v>32.516300000000712</c:v>
                </c:pt>
                <c:pt idx="547">
                  <c:v>32.516400000000715</c:v>
                </c:pt>
                <c:pt idx="548">
                  <c:v>32.516500000000718</c:v>
                </c:pt>
                <c:pt idx="549">
                  <c:v>32.516600000000722</c:v>
                </c:pt>
                <c:pt idx="550">
                  <c:v>32.516700000000725</c:v>
                </c:pt>
                <c:pt idx="551">
                  <c:v>32.516800000000728</c:v>
                </c:pt>
                <c:pt idx="552">
                  <c:v>32.516900000000732</c:v>
                </c:pt>
                <c:pt idx="553">
                  <c:v>32.517000000000735</c:v>
                </c:pt>
                <c:pt idx="554">
                  <c:v>32.517100000000738</c:v>
                </c:pt>
                <c:pt idx="555">
                  <c:v>32.517200000000742</c:v>
                </c:pt>
                <c:pt idx="556">
                  <c:v>32.517300000000745</c:v>
                </c:pt>
                <c:pt idx="557">
                  <c:v>32.517400000000748</c:v>
                </c:pt>
                <c:pt idx="558">
                  <c:v>32.517500000000751</c:v>
                </c:pt>
                <c:pt idx="559">
                  <c:v>32.517600000000755</c:v>
                </c:pt>
                <c:pt idx="560">
                  <c:v>32.517700000000758</c:v>
                </c:pt>
                <c:pt idx="561">
                  <c:v>32.517800000000761</c:v>
                </c:pt>
                <c:pt idx="562">
                  <c:v>32.517900000000765</c:v>
                </c:pt>
                <c:pt idx="563">
                  <c:v>32.518000000000768</c:v>
                </c:pt>
                <c:pt idx="564">
                  <c:v>32.518100000000771</c:v>
                </c:pt>
                <c:pt idx="565">
                  <c:v>32.518200000000775</c:v>
                </c:pt>
                <c:pt idx="566">
                  <c:v>32.518300000000778</c:v>
                </c:pt>
                <c:pt idx="567">
                  <c:v>32.518400000000781</c:v>
                </c:pt>
                <c:pt idx="568">
                  <c:v>32.518500000000785</c:v>
                </c:pt>
                <c:pt idx="569">
                  <c:v>32.518600000000788</c:v>
                </c:pt>
                <c:pt idx="570">
                  <c:v>32.518700000000791</c:v>
                </c:pt>
                <c:pt idx="571">
                  <c:v>32.518800000000795</c:v>
                </c:pt>
                <c:pt idx="572">
                  <c:v>32.518900000000798</c:v>
                </c:pt>
                <c:pt idx="573">
                  <c:v>32.519000000000801</c:v>
                </c:pt>
                <c:pt idx="574">
                  <c:v>32.519100000000805</c:v>
                </c:pt>
                <c:pt idx="575">
                  <c:v>32.519200000000808</c:v>
                </c:pt>
                <c:pt idx="576">
                  <c:v>32.519300000000811</c:v>
                </c:pt>
                <c:pt idx="577">
                  <c:v>32.519400000000815</c:v>
                </c:pt>
                <c:pt idx="578">
                  <c:v>32.519500000000818</c:v>
                </c:pt>
                <c:pt idx="579">
                  <c:v>32.519600000000821</c:v>
                </c:pt>
                <c:pt idx="580">
                  <c:v>32.519700000000825</c:v>
                </c:pt>
                <c:pt idx="581">
                  <c:v>32.519800000000828</c:v>
                </c:pt>
                <c:pt idx="582">
                  <c:v>32.519900000000831</c:v>
                </c:pt>
                <c:pt idx="583">
                  <c:v>32.520000000000834</c:v>
                </c:pt>
                <c:pt idx="584">
                  <c:v>32.520100000000838</c:v>
                </c:pt>
                <c:pt idx="585">
                  <c:v>32.520200000000841</c:v>
                </c:pt>
                <c:pt idx="586">
                  <c:v>32.520300000000844</c:v>
                </c:pt>
                <c:pt idx="587">
                  <c:v>32.520400000000848</c:v>
                </c:pt>
                <c:pt idx="588">
                  <c:v>32.520500000000851</c:v>
                </c:pt>
                <c:pt idx="589">
                  <c:v>32.520600000000854</c:v>
                </c:pt>
                <c:pt idx="590">
                  <c:v>32.520700000000858</c:v>
                </c:pt>
                <c:pt idx="591">
                  <c:v>32.520800000000861</c:v>
                </c:pt>
                <c:pt idx="592">
                  <c:v>32.520900000000864</c:v>
                </c:pt>
                <c:pt idx="593">
                  <c:v>32.521000000000868</c:v>
                </c:pt>
                <c:pt idx="594">
                  <c:v>32.521100000000871</c:v>
                </c:pt>
                <c:pt idx="595">
                  <c:v>32.521200000000874</c:v>
                </c:pt>
                <c:pt idx="596">
                  <c:v>32.521300000000878</c:v>
                </c:pt>
                <c:pt idx="597">
                  <c:v>32.521400000000881</c:v>
                </c:pt>
                <c:pt idx="598">
                  <c:v>32.521500000000884</c:v>
                </c:pt>
                <c:pt idx="599">
                  <c:v>32.521600000000888</c:v>
                </c:pt>
                <c:pt idx="600">
                  <c:v>32.521700000000891</c:v>
                </c:pt>
                <c:pt idx="601">
                  <c:v>32.521800000000894</c:v>
                </c:pt>
                <c:pt idx="602">
                  <c:v>32.521900000000898</c:v>
                </c:pt>
                <c:pt idx="603">
                  <c:v>32.522000000000901</c:v>
                </c:pt>
                <c:pt idx="604">
                  <c:v>32.522100000000904</c:v>
                </c:pt>
                <c:pt idx="605">
                  <c:v>32.522200000000907</c:v>
                </c:pt>
                <c:pt idx="606">
                  <c:v>32.522300000000911</c:v>
                </c:pt>
                <c:pt idx="607">
                  <c:v>32.522400000000914</c:v>
                </c:pt>
                <c:pt idx="608">
                  <c:v>32.522500000000917</c:v>
                </c:pt>
                <c:pt idx="609">
                  <c:v>32.522600000000921</c:v>
                </c:pt>
                <c:pt idx="610">
                  <c:v>32.522700000000924</c:v>
                </c:pt>
                <c:pt idx="611">
                  <c:v>32.522800000000927</c:v>
                </c:pt>
                <c:pt idx="612">
                  <c:v>32.522900000000931</c:v>
                </c:pt>
                <c:pt idx="613">
                  <c:v>32.523000000000934</c:v>
                </c:pt>
                <c:pt idx="614">
                  <c:v>32.523100000000937</c:v>
                </c:pt>
                <c:pt idx="615">
                  <c:v>32.523200000000941</c:v>
                </c:pt>
                <c:pt idx="616">
                  <c:v>32.523300000000944</c:v>
                </c:pt>
                <c:pt idx="617">
                  <c:v>32.523400000000947</c:v>
                </c:pt>
                <c:pt idx="618">
                  <c:v>32.523500000000951</c:v>
                </c:pt>
                <c:pt idx="619">
                  <c:v>32.523600000000954</c:v>
                </c:pt>
                <c:pt idx="620">
                  <c:v>32.523700000000957</c:v>
                </c:pt>
                <c:pt idx="621">
                  <c:v>32.523800000000961</c:v>
                </c:pt>
                <c:pt idx="622">
                  <c:v>32.523900000000964</c:v>
                </c:pt>
                <c:pt idx="623">
                  <c:v>32.524000000000967</c:v>
                </c:pt>
                <c:pt idx="624">
                  <c:v>32.524100000000971</c:v>
                </c:pt>
                <c:pt idx="625">
                  <c:v>32.524200000000974</c:v>
                </c:pt>
                <c:pt idx="626">
                  <c:v>32.524300000000977</c:v>
                </c:pt>
                <c:pt idx="627">
                  <c:v>32.524400000000981</c:v>
                </c:pt>
                <c:pt idx="628">
                  <c:v>32.524500000000984</c:v>
                </c:pt>
                <c:pt idx="629">
                  <c:v>32.524600000000987</c:v>
                </c:pt>
                <c:pt idx="630">
                  <c:v>32.52470000000099</c:v>
                </c:pt>
                <c:pt idx="631">
                  <c:v>32.524800000000994</c:v>
                </c:pt>
                <c:pt idx="632">
                  <c:v>32.524900000000997</c:v>
                </c:pt>
                <c:pt idx="633">
                  <c:v>32.525000000001</c:v>
                </c:pt>
                <c:pt idx="634">
                  <c:v>32.525100000001004</c:v>
                </c:pt>
                <c:pt idx="635">
                  <c:v>32.525200000001007</c:v>
                </c:pt>
                <c:pt idx="636">
                  <c:v>32.52530000000101</c:v>
                </c:pt>
                <c:pt idx="637">
                  <c:v>32.525400000001014</c:v>
                </c:pt>
                <c:pt idx="638">
                  <c:v>32.525500000001017</c:v>
                </c:pt>
                <c:pt idx="639">
                  <c:v>32.52560000000102</c:v>
                </c:pt>
                <c:pt idx="640">
                  <c:v>32.525700000001024</c:v>
                </c:pt>
                <c:pt idx="641">
                  <c:v>32.525800000001027</c:v>
                </c:pt>
                <c:pt idx="642">
                  <c:v>32.52590000000103</c:v>
                </c:pt>
                <c:pt idx="643">
                  <c:v>32.526000000001034</c:v>
                </c:pt>
                <c:pt idx="644">
                  <c:v>32.526100000001037</c:v>
                </c:pt>
                <c:pt idx="645">
                  <c:v>32.52620000000104</c:v>
                </c:pt>
                <c:pt idx="646">
                  <c:v>32.526300000001044</c:v>
                </c:pt>
                <c:pt idx="647">
                  <c:v>32.526400000001047</c:v>
                </c:pt>
                <c:pt idx="648">
                  <c:v>32.52650000000105</c:v>
                </c:pt>
                <c:pt idx="649">
                  <c:v>32.526600000001054</c:v>
                </c:pt>
                <c:pt idx="650">
                  <c:v>32.526700000001057</c:v>
                </c:pt>
                <c:pt idx="651">
                  <c:v>32.52680000000106</c:v>
                </c:pt>
                <c:pt idx="652">
                  <c:v>32.526900000001064</c:v>
                </c:pt>
                <c:pt idx="653">
                  <c:v>32.527000000001067</c:v>
                </c:pt>
                <c:pt idx="654">
                  <c:v>32.52710000000107</c:v>
                </c:pt>
                <c:pt idx="655">
                  <c:v>32.527200000001073</c:v>
                </c:pt>
                <c:pt idx="656">
                  <c:v>32.527300000001077</c:v>
                </c:pt>
                <c:pt idx="657">
                  <c:v>32.52740000000108</c:v>
                </c:pt>
                <c:pt idx="658">
                  <c:v>32.527500000001083</c:v>
                </c:pt>
                <c:pt idx="659">
                  <c:v>32.527600000001087</c:v>
                </c:pt>
                <c:pt idx="660">
                  <c:v>32.52770000000109</c:v>
                </c:pt>
                <c:pt idx="661">
                  <c:v>32.527800000001093</c:v>
                </c:pt>
                <c:pt idx="662">
                  <c:v>32.527900000001097</c:v>
                </c:pt>
                <c:pt idx="663">
                  <c:v>32.5280000000011</c:v>
                </c:pt>
                <c:pt idx="664">
                  <c:v>32.528100000001103</c:v>
                </c:pt>
                <c:pt idx="665">
                  <c:v>32.528200000001107</c:v>
                </c:pt>
                <c:pt idx="666">
                  <c:v>32.52830000000111</c:v>
                </c:pt>
                <c:pt idx="667">
                  <c:v>32.528400000001113</c:v>
                </c:pt>
                <c:pt idx="668">
                  <c:v>32.528500000001117</c:v>
                </c:pt>
                <c:pt idx="669">
                  <c:v>32.52860000000112</c:v>
                </c:pt>
                <c:pt idx="670">
                  <c:v>32.528700000001123</c:v>
                </c:pt>
                <c:pt idx="671">
                  <c:v>32.528800000001127</c:v>
                </c:pt>
                <c:pt idx="672">
                  <c:v>32.52890000000113</c:v>
                </c:pt>
                <c:pt idx="673">
                  <c:v>32.529000000001133</c:v>
                </c:pt>
                <c:pt idx="674">
                  <c:v>32.529100000001137</c:v>
                </c:pt>
                <c:pt idx="675">
                  <c:v>32.52920000000114</c:v>
                </c:pt>
                <c:pt idx="676">
                  <c:v>32.529300000001143</c:v>
                </c:pt>
                <c:pt idx="677">
                  <c:v>32.529400000001147</c:v>
                </c:pt>
                <c:pt idx="678">
                  <c:v>32.52950000000115</c:v>
                </c:pt>
                <c:pt idx="679">
                  <c:v>32.529600000001153</c:v>
                </c:pt>
                <c:pt idx="680">
                  <c:v>32.529700000001156</c:v>
                </c:pt>
                <c:pt idx="681">
                  <c:v>32.52980000000116</c:v>
                </c:pt>
                <c:pt idx="682">
                  <c:v>32.529900000001163</c:v>
                </c:pt>
                <c:pt idx="683">
                  <c:v>32.530000000001166</c:v>
                </c:pt>
                <c:pt idx="684">
                  <c:v>32.53010000000117</c:v>
                </c:pt>
                <c:pt idx="685">
                  <c:v>32.530200000001173</c:v>
                </c:pt>
                <c:pt idx="686">
                  <c:v>32.530300000001176</c:v>
                </c:pt>
                <c:pt idx="687">
                  <c:v>32.53040000000118</c:v>
                </c:pt>
                <c:pt idx="688">
                  <c:v>32.530500000001183</c:v>
                </c:pt>
                <c:pt idx="689">
                  <c:v>32.530600000001186</c:v>
                </c:pt>
                <c:pt idx="690">
                  <c:v>32.53070000000119</c:v>
                </c:pt>
                <c:pt idx="691">
                  <c:v>32.530800000001193</c:v>
                </c:pt>
                <c:pt idx="692">
                  <c:v>32.530900000001196</c:v>
                </c:pt>
                <c:pt idx="693">
                  <c:v>32.5310000000012</c:v>
                </c:pt>
                <c:pt idx="694">
                  <c:v>32.531100000001203</c:v>
                </c:pt>
                <c:pt idx="695">
                  <c:v>32.531200000001206</c:v>
                </c:pt>
                <c:pt idx="696">
                  <c:v>32.53130000000121</c:v>
                </c:pt>
                <c:pt idx="697">
                  <c:v>32.531400000001213</c:v>
                </c:pt>
                <c:pt idx="698">
                  <c:v>32.531500000001216</c:v>
                </c:pt>
                <c:pt idx="699">
                  <c:v>32.53160000000122</c:v>
                </c:pt>
                <c:pt idx="700">
                  <c:v>32.531700000001223</c:v>
                </c:pt>
                <c:pt idx="701">
                  <c:v>32.531800000001226</c:v>
                </c:pt>
                <c:pt idx="702">
                  <c:v>32.53190000000123</c:v>
                </c:pt>
                <c:pt idx="703">
                  <c:v>32.532000000001233</c:v>
                </c:pt>
                <c:pt idx="704">
                  <c:v>32.532100000001236</c:v>
                </c:pt>
                <c:pt idx="705">
                  <c:v>32.532200000001239</c:v>
                </c:pt>
                <c:pt idx="706">
                  <c:v>32.532300000001243</c:v>
                </c:pt>
                <c:pt idx="707">
                  <c:v>32.532400000001246</c:v>
                </c:pt>
                <c:pt idx="708">
                  <c:v>32.532500000001249</c:v>
                </c:pt>
                <c:pt idx="709">
                  <c:v>32.532600000001253</c:v>
                </c:pt>
                <c:pt idx="710">
                  <c:v>32.532700000001256</c:v>
                </c:pt>
                <c:pt idx="711">
                  <c:v>32.532800000001259</c:v>
                </c:pt>
                <c:pt idx="712">
                  <c:v>32.532900000001263</c:v>
                </c:pt>
                <c:pt idx="713">
                  <c:v>32.533000000001266</c:v>
                </c:pt>
                <c:pt idx="714">
                  <c:v>32.533100000001269</c:v>
                </c:pt>
                <c:pt idx="715">
                  <c:v>32.533200000001273</c:v>
                </c:pt>
                <c:pt idx="716">
                  <c:v>32.533300000001276</c:v>
                </c:pt>
                <c:pt idx="717">
                  <c:v>32.533400000001279</c:v>
                </c:pt>
                <c:pt idx="718">
                  <c:v>32.533500000001283</c:v>
                </c:pt>
                <c:pt idx="719">
                  <c:v>32.533600000001286</c:v>
                </c:pt>
                <c:pt idx="720">
                  <c:v>32.533700000001289</c:v>
                </c:pt>
                <c:pt idx="721">
                  <c:v>32.533800000001293</c:v>
                </c:pt>
                <c:pt idx="722">
                  <c:v>32.533900000001296</c:v>
                </c:pt>
                <c:pt idx="723">
                  <c:v>32.534000000001299</c:v>
                </c:pt>
                <c:pt idx="724">
                  <c:v>32.534100000001303</c:v>
                </c:pt>
                <c:pt idx="725">
                  <c:v>32.534200000001306</c:v>
                </c:pt>
                <c:pt idx="726">
                  <c:v>32.534300000001309</c:v>
                </c:pt>
                <c:pt idx="727">
                  <c:v>32.534400000001312</c:v>
                </c:pt>
                <c:pt idx="728">
                  <c:v>32.534500000001316</c:v>
                </c:pt>
                <c:pt idx="729">
                  <c:v>32.534600000001319</c:v>
                </c:pt>
                <c:pt idx="730">
                  <c:v>32.534700000001322</c:v>
                </c:pt>
                <c:pt idx="731">
                  <c:v>32.534800000001326</c:v>
                </c:pt>
                <c:pt idx="732">
                  <c:v>32.534900000001329</c:v>
                </c:pt>
                <c:pt idx="733">
                  <c:v>32.535000000001332</c:v>
                </c:pt>
                <c:pt idx="734">
                  <c:v>32.535100000001336</c:v>
                </c:pt>
                <c:pt idx="735">
                  <c:v>32.535200000001339</c:v>
                </c:pt>
                <c:pt idx="736">
                  <c:v>32.535300000001342</c:v>
                </c:pt>
                <c:pt idx="737">
                  <c:v>32.535400000001346</c:v>
                </c:pt>
                <c:pt idx="738">
                  <c:v>32.535500000001349</c:v>
                </c:pt>
                <c:pt idx="739">
                  <c:v>32.535600000001352</c:v>
                </c:pt>
                <c:pt idx="740">
                  <c:v>32.535700000001356</c:v>
                </c:pt>
                <c:pt idx="741">
                  <c:v>32.535800000001359</c:v>
                </c:pt>
                <c:pt idx="742">
                  <c:v>32.535900000001362</c:v>
                </c:pt>
                <c:pt idx="743">
                  <c:v>32.536000000001366</c:v>
                </c:pt>
                <c:pt idx="744">
                  <c:v>32.536100000001369</c:v>
                </c:pt>
                <c:pt idx="745">
                  <c:v>32.536200000001372</c:v>
                </c:pt>
                <c:pt idx="746">
                  <c:v>32.536300000001376</c:v>
                </c:pt>
                <c:pt idx="747">
                  <c:v>32.536400000001379</c:v>
                </c:pt>
                <c:pt idx="748">
                  <c:v>32.536500000001382</c:v>
                </c:pt>
                <c:pt idx="749">
                  <c:v>32.536600000001386</c:v>
                </c:pt>
                <c:pt idx="750">
                  <c:v>32.536700000001389</c:v>
                </c:pt>
                <c:pt idx="751">
                  <c:v>32.536800000001392</c:v>
                </c:pt>
                <c:pt idx="752">
                  <c:v>32.536900000001395</c:v>
                </c:pt>
                <c:pt idx="753">
                  <c:v>32.537000000001399</c:v>
                </c:pt>
                <c:pt idx="754">
                  <c:v>32.537100000001402</c:v>
                </c:pt>
                <c:pt idx="755">
                  <c:v>32.537200000001405</c:v>
                </c:pt>
                <c:pt idx="756">
                  <c:v>32.537300000001409</c:v>
                </c:pt>
                <c:pt idx="757">
                  <c:v>32.537400000001412</c:v>
                </c:pt>
                <c:pt idx="758">
                  <c:v>32.537500000001415</c:v>
                </c:pt>
                <c:pt idx="759">
                  <c:v>32.537600000001419</c:v>
                </c:pt>
                <c:pt idx="760">
                  <c:v>32.537700000001422</c:v>
                </c:pt>
                <c:pt idx="761">
                  <c:v>32.537800000001425</c:v>
                </c:pt>
                <c:pt idx="762">
                  <c:v>32.537900000001429</c:v>
                </c:pt>
                <c:pt idx="763">
                  <c:v>32.538000000001432</c:v>
                </c:pt>
                <c:pt idx="764">
                  <c:v>32.538100000001435</c:v>
                </c:pt>
                <c:pt idx="765">
                  <c:v>32.538200000001439</c:v>
                </c:pt>
                <c:pt idx="766">
                  <c:v>32.538300000001442</c:v>
                </c:pt>
                <c:pt idx="767">
                  <c:v>32.538400000001445</c:v>
                </c:pt>
                <c:pt idx="768">
                  <c:v>32.538500000001449</c:v>
                </c:pt>
                <c:pt idx="769">
                  <c:v>32.538600000001452</c:v>
                </c:pt>
                <c:pt idx="770">
                  <c:v>32.538700000001455</c:v>
                </c:pt>
                <c:pt idx="771">
                  <c:v>32.538800000001459</c:v>
                </c:pt>
                <c:pt idx="772">
                  <c:v>32.538900000001462</c:v>
                </c:pt>
                <c:pt idx="773">
                  <c:v>32.539000000001465</c:v>
                </c:pt>
                <c:pt idx="774">
                  <c:v>32.539100000001469</c:v>
                </c:pt>
                <c:pt idx="775">
                  <c:v>32.539200000001472</c:v>
                </c:pt>
                <c:pt idx="776">
                  <c:v>32.539300000001475</c:v>
                </c:pt>
                <c:pt idx="777">
                  <c:v>32.539400000001478</c:v>
                </c:pt>
                <c:pt idx="778">
                  <c:v>32.539500000001482</c:v>
                </c:pt>
                <c:pt idx="779">
                  <c:v>32.539600000001485</c:v>
                </c:pt>
                <c:pt idx="780">
                  <c:v>32.539700000001488</c:v>
                </c:pt>
                <c:pt idx="781">
                  <c:v>32.539800000001492</c:v>
                </c:pt>
                <c:pt idx="782">
                  <c:v>32.539900000001495</c:v>
                </c:pt>
                <c:pt idx="783">
                  <c:v>32.540000000001498</c:v>
                </c:pt>
                <c:pt idx="784">
                  <c:v>32.540100000001502</c:v>
                </c:pt>
                <c:pt idx="785">
                  <c:v>32.540200000001505</c:v>
                </c:pt>
                <c:pt idx="786">
                  <c:v>32.540300000001508</c:v>
                </c:pt>
                <c:pt idx="787">
                  <c:v>32.540400000001512</c:v>
                </c:pt>
                <c:pt idx="788">
                  <c:v>32.540500000001515</c:v>
                </c:pt>
                <c:pt idx="789">
                  <c:v>32.540600000001518</c:v>
                </c:pt>
                <c:pt idx="790">
                  <c:v>32.540700000001522</c:v>
                </c:pt>
                <c:pt idx="791">
                  <c:v>32.540800000001525</c:v>
                </c:pt>
                <c:pt idx="792">
                  <c:v>32.540900000001528</c:v>
                </c:pt>
                <c:pt idx="793">
                  <c:v>32.541000000001532</c:v>
                </c:pt>
                <c:pt idx="794">
                  <c:v>32.541100000001535</c:v>
                </c:pt>
                <c:pt idx="795">
                  <c:v>32.541200000001538</c:v>
                </c:pt>
                <c:pt idx="796">
                  <c:v>32.541300000001542</c:v>
                </c:pt>
                <c:pt idx="797">
                  <c:v>32.541400000001545</c:v>
                </c:pt>
                <c:pt idx="798">
                  <c:v>32.541500000001548</c:v>
                </c:pt>
                <c:pt idx="799">
                  <c:v>32.541600000001552</c:v>
                </c:pt>
                <c:pt idx="800">
                  <c:v>32.541700000001555</c:v>
                </c:pt>
                <c:pt idx="801">
                  <c:v>32.541800000001558</c:v>
                </c:pt>
                <c:pt idx="802">
                  <c:v>32.541900000001561</c:v>
                </c:pt>
                <c:pt idx="803">
                  <c:v>32.542000000001565</c:v>
                </c:pt>
                <c:pt idx="804">
                  <c:v>32.542100000001568</c:v>
                </c:pt>
                <c:pt idx="805">
                  <c:v>32.542200000001571</c:v>
                </c:pt>
                <c:pt idx="806">
                  <c:v>32.542300000001575</c:v>
                </c:pt>
                <c:pt idx="807">
                  <c:v>32.542400000001578</c:v>
                </c:pt>
                <c:pt idx="808">
                  <c:v>32.542500000001581</c:v>
                </c:pt>
                <c:pt idx="809">
                  <c:v>32.542600000001585</c:v>
                </c:pt>
                <c:pt idx="810">
                  <c:v>32.542700000001588</c:v>
                </c:pt>
                <c:pt idx="811">
                  <c:v>32.542800000001591</c:v>
                </c:pt>
                <c:pt idx="812">
                  <c:v>32.542900000001595</c:v>
                </c:pt>
                <c:pt idx="813">
                  <c:v>32.543000000001598</c:v>
                </c:pt>
                <c:pt idx="814">
                  <c:v>32.543100000001601</c:v>
                </c:pt>
                <c:pt idx="815">
                  <c:v>32.543200000001605</c:v>
                </c:pt>
                <c:pt idx="816">
                  <c:v>32.543300000001608</c:v>
                </c:pt>
                <c:pt idx="817">
                  <c:v>32.543400000001611</c:v>
                </c:pt>
                <c:pt idx="818">
                  <c:v>32.543500000001615</c:v>
                </c:pt>
                <c:pt idx="819">
                  <c:v>32.543600000001618</c:v>
                </c:pt>
                <c:pt idx="820">
                  <c:v>32.543700000001621</c:v>
                </c:pt>
                <c:pt idx="821">
                  <c:v>32.543800000001625</c:v>
                </c:pt>
                <c:pt idx="822">
                  <c:v>32.543900000001628</c:v>
                </c:pt>
                <c:pt idx="823">
                  <c:v>32.544000000001631</c:v>
                </c:pt>
                <c:pt idx="824">
                  <c:v>32.544100000001634</c:v>
                </c:pt>
                <c:pt idx="825">
                  <c:v>32.544200000001638</c:v>
                </c:pt>
                <c:pt idx="826">
                  <c:v>32.544300000001641</c:v>
                </c:pt>
                <c:pt idx="827">
                  <c:v>32.544400000001644</c:v>
                </c:pt>
                <c:pt idx="828">
                  <c:v>32.544500000001648</c:v>
                </c:pt>
                <c:pt idx="829">
                  <c:v>32.544600000001651</c:v>
                </c:pt>
                <c:pt idx="830">
                  <c:v>32.544700000001654</c:v>
                </c:pt>
                <c:pt idx="831">
                  <c:v>32.544800000001658</c:v>
                </c:pt>
                <c:pt idx="832">
                  <c:v>32.544900000001661</c:v>
                </c:pt>
                <c:pt idx="833">
                  <c:v>32.545000000001664</c:v>
                </c:pt>
                <c:pt idx="834">
                  <c:v>32.545100000001668</c:v>
                </c:pt>
                <c:pt idx="835">
                  <c:v>32.545200000001671</c:v>
                </c:pt>
                <c:pt idx="836">
                  <c:v>32.545300000001674</c:v>
                </c:pt>
                <c:pt idx="837">
                  <c:v>32.545400000001678</c:v>
                </c:pt>
                <c:pt idx="838">
                  <c:v>32.545500000001681</c:v>
                </c:pt>
                <c:pt idx="839">
                  <c:v>32.545600000001684</c:v>
                </c:pt>
                <c:pt idx="840">
                  <c:v>32.545700000001688</c:v>
                </c:pt>
                <c:pt idx="841">
                  <c:v>32.545800000001691</c:v>
                </c:pt>
                <c:pt idx="842">
                  <c:v>32.545900000001694</c:v>
                </c:pt>
                <c:pt idx="843">
                  <c:v>32.546000000001698</c:v>
                </c:pt>
                <c:pt idx="844">
                  <c:v>32.546100000001701</c:v>
                </c:pt>
                <c:pt idx="845">
                  <c:v>32.546200000001704</c:v>
                </c:pt>
                <c:pt idx="846">
                  <c:v>32.546300000001708</c:v>
                </c:pt>
                <c:pt idx="847">
                  <c:v>32.546400000001711</c:v>
                </c:pt>
                <c:pt idx="848">
                  <c:v>32.546500000001714</c:v>
                </c:pt>
                <c:pt idx="849">
                  <c:v>32.546600000001717</c:v>
                </c:pt>
                <c:pt idx="850">
                  <c:v>32.546700000001721</c:v>
                </c:pt>
                <c:pt idx="851">
                  <c:v>32.546800000001724</c:v>
                </c:pt>
                <c:pt idx="852">
                  <c:v>32.546900000001727</c:v>
                </c:pt>
                <c:pt idx="853">
                  <c:v>32.547000000001731</c:v>
                </c:pt>
                <c:pt idx="854">
                  <c:v>32.547100000001734</c:v>
                </c:pt>
                <c:pt idx="855">
                  <c:v>32.547200000001737</c:v>
                </c:pt>
                <c:pt idx="856">
                  <c:v>32.547300000001741</c:v>
                </c:pt>
                <c:pt idx="857">
                  <c:v>32.547400000001744</c:v>
                </c:pt>
                <c:pt idx="858">
                  <c:v>32.547500000001747</c:v>
                </c:pt>
                <c:pt idx="859">
                  <c:v>32.547600000001751</c:v>
                </c:pt>
                <c:pt idx="860">
                  <c:v>32.547700000001754</c:v>
                </c:pt>
                <c:pt idx="861">
                  <c:v>32.547800000001757</c:v>
                </c:pt>
                <c:pt idx="862">
                  <c:v>32.547900000001761</c:v>
                </c:pt>
                <c:pt idx="863">
                  <c:v>32.548000000001764</c:v>
                </c:pt>
                <c:pt idx="864">
                  <c:v>32.548100000001767</c:v>
                </c:pt>
                <c:pt idx="865">
                  <c:v>32.548200000001771</c:v>
                </c:pt>
                <c:pt idx="866">
                  <c:v>32.548300000001774</c:v>
                </c:pt>
                <c:pt idx="867">
                  <c:v>32.548400000001777</c:v>
                </c:pt>
                <c:pt idx="868">
                  <c:v>32.548500000001781</c:v>
                </c:pt>
                <c:pt idx="869">
                  <c:v>32.548600000001784</c:v>
                </c:pt>
                <c:pt idx="870">
                  <c:v>32.548700000001787</c:v>
                </c:pt>
                <c:pt idx="871">
                  <c:v>32.548800000001791</c:v>
                </c:pt>
                <c:pt idx="872">
                  <c:v>32.548900000001794</c:v>
                </c:pt>
                <c:pt idx="873">
                  <c:v>32.549000000001797</c:v>
                </c:pt>
                <c:pt idx="874">
                  <c:v>32.5491000000018</c:v>
                </c:pt>
                <c:pt idx="875">
                  <c:v>32.549200000001804</c:v>
                </c:pt>
                <c:pt idx="876">
                  <c:v>32.549300000001807</c:v>
                </c:pt>
                <c:pt idx="877">
                  <c:v>32.54940000000181</c:v>
                </c:pt>
                <c:pt idx="878">
                  <c:v>32.549500000001814</c:v>
                </c:pt>
                <c:pt idx="879">
                  <c:v>32.549600000001817</c:v>
                </c:pt>
                <c:pt idx="880">
                  <c:v>32.54970000000182</c:v>
                </c:pt>
                <c:pt idx="881">
                  <c:v>32.549800000001824</c:v>
                </c:pt>
                <c:pt idx="882">
                  <c:v>32.549900000001827</c:v>
                </c:pt>
                <c:pt idx="883">
                  <c:v>32.55000000000183</c:v>
                </c:pt>
                <c:pt idx="884">
                  <c:v>32.550100000001834</c:v>
                </c:pt>
                <c:pt idx="885">
                  <c:v>32.550200000001837</c:v>
                </c:pt>
                <c:pt idx="886">
                  <c:v>32.55030000000184</c:v>
                </c:pt>
                <c:pt idx="887">
                  <c:v>32.550400000001844</c:v>
                </c:pt>
                <c:pt idx="888">
                  <c:v>32.550500000001847</c:v>
                </c:pt>
                <c:pt idx="889">
                  <c:v>32.55060000000185</c:v>
                </c:pt>
                <c:pt idx="890">
                  <c:v>32.550700000001854</c:v>
                </c:pt>
                <c:pt idx="891">
                  <c:v>32.550800000001857</c:v>
                </c:pt>
                <c:pt idx="892">
                  <c:v>32.55090000000186</c:v>
                </c:pt>
                <c:pt idx="893">
                  <c:v>32.551000000001864</c:v>
                </c:pt>
                <c:pt idx="894">
                  <c:v>32.551100000001867</c:v>
                </c:pt>
                <c:pt idx="895">
                  <c:v>32.55120000000187</c:v>
                </c:pt>
                <c:pt idx="896">
                  <c:v>32.551300000001874</c:v>
                </c:pt>
                <c:pt idx="897">
                  <c:v>32.551400000001877</c:v>
                </c:pt>
                <c:pt idx="898">
                  <c:v>32.55150000000188</c:v>
                </c:pt>
                <c:pt idx="899">
                  <c:v>32.551600000001883</c:v>
                </c:pt>
                <c:pt idx="900">
                  <c:v>32.551700000001887</c:v>
                </c:pt>
                <c:pt idx="901">
                  <c:v>32.55180000000189</c:v>
                </c:pt>
                <c:pt idx="902">
                  <c:v>32.551900000001893</c:v>
                </c:pt>
                <c:pt idx="903">
                  <c:v>32.552000000001897</c:v>
                </c:pt>
                <c:pt idx="904">
                  <c:v>32.5521000000019</c:v>
                </c:pt>
                <c:pt idx="905">
                  <c:v>32.552200000001903</c:v>
                </c:pt>
                <c:pt idx="906">
                  <c:v>32.552300000001907</c:v>
                </c:pt>
                <c:pt idx="907">
                  <c:v>32.55240000000191</c:v>
                </c:pt>
                <c:pt idx="908">
                  <c:v>32.552500000001913</c:v>
                </c:pt>
                <c:pt idx="909">
                  <c:v>32.552600000001917</c:v>
                </c:pt>
                <c:pt idx="910">
                  <c:v>32.55270000000192</c:v>
                </c:pt>
                <c:pt idx="911">
                  <c:v>32.552800000001923</c:v>
                </c:pt>
                <c:pt idx="912">
                  <c:v>32.552900000001927</c:v>
                </c:pt>
                <c:pt idx="913">
                  <c:v>32.55300000000193</c:v>
                </c:pt>
                <c:pt idx="914">
                  <c:v>32.553100000001933</c:v>
                </c:pt>
                <c:pt idx="915">
                  <c:v>32.553200000001937</c:v>
                </c:pt>
                <c:pt idx="916">
                  <c:v>32.55330000000194</c:v>
                </c:pt>
                <c:pt idx="917">
                  <c:v>32.553400000001943</c:v>
                </c:pt>
                <c:pt idx="918">
                  <c:v>32.553500000001947</c:v>
                </c:pt>
                <c:pt idx="919">
                  <c:v>32.55360000000195</c:v>
                </c:pt>
                <c:pt idx="920">
                  <c:v>32.553700000001953</c:v>
                </c:pt>
                <c:pt idx="921">
                  <c:v>32.553800000001957</c:v>
                </c:pt>
                <c:pt idx="922">
                  <c:v>32.55390000000196</c:v>
                </c:pt>
                <c:pt idx="923">
                  <c:v>32.554000000001963</c:v>
                </c:pt>
                <c:pt idx="924">
                  <c:v>32.554100000001966</c:v>
                </c:pt>
                <c:pt idx="925">
                  <c:v>32.55420000000197</c:v>
                </c:pt>
                <c:pt idx="926">
                  <c:v>32.554300000001973</c:v>
                </c:pt>
                <c:pt idx="927">
                  <c:v>32.554400000001976</c:v>
                </c:pt>
                <c:pt idx="928">
                  <c:v>32.55450000000198</c:v>
                </c:pt>
                <c:pt idx="929">
                  <c:v>32.554600000001983</c:v>
                </c:pt>
                <c:pt idx="930">
                  <c:v>32.554700000001986</c:v>
                </c:pt>
                <c:pt idx="931">
                  <c:v>32.55480000000199</c:v>
                </c:pt>
                <c:pt idx="932">
                  <c:v>32.554900000001993</c:v>
                </c:pt>
                <c:pt idx="933">
                  <c:v>32.555000000001996</c:v>
                </c:pt>
                <c:pt idx="934">
                  <c:v>32.555100000002</c:v>
                </c:pt>
                <c:pt idx="935">
                  <c:v>32.555200000002003</c:v>
                </c:pt>
                <c:pt idx="936">
                  <c:v>32.555300000002006</c:v>
                </c:pt>
                <c:pt idx="937">
                  <c:v>32.55540000000201</c:v>
                </c:pt>
                <c:pt idx="938">
                  <c:v>32.555500000002013</c:v>
                </c:pt>
                <c:pt idx="939">
                  <c:v>32.555600000002016</c:v>
                </c:pt>
                <c:pt idx="940">
                  <c:v>32.55570000000202</c:v>
                </c:pt>
                <c:pt idx="941">
                  <c:v>32.555800000002023</c:v>
                </c:pt>
                <c:pt idx="942">
                  <c:v>32.555900000002026</c:v>
                </c:pt>
                <c:pt idx="943">
                  <c:v>32.55600000000203</c:v>
                </c:pt>
                <c:pt idx="944">
                  <c:v>32.556100000002033</c:v>
                </c:pt>
                <c:pt idx="945">
                  <c:v>32.556200000002036</c:v>
                </c:pt>
                <c:pt idx="946">
                  <c:v>32.556300000002039</c:v>
                </c:pt>
                <c:pt idx="947">
                  <c:v>32.556400000002043</c:v>
                </c:pt>
                <c:pt idx="948">
                  <c:v>32.556500000002046</c:v>
                </c:pt>
                <c:pt idx="949">
                  <c:v>32.556600000002049</c:v>
                </c:pt>
                <c:pt idx="950">
                  <c:v>32.556700000002053</c:v>
                </c:pt>
                <c:pt idx="951">
                  <c:v>32.556800000002056</c:v>
                </c:pt>
                <c:pt idx="952">
                  <c:v>32.556900000002059</c:v>
                </c:pt>
                <c:pt idx="953">
                  <c:v>32.557000000002063</c:v>
                </c:pt>
                <c:pt idx="954">
                  <c:v>32.557100000002066</c:v>
                </c:pt>
                <c:pt idx="955">
                  <c:v>32.557200000002069</c:v>
                </c:pt>
                <c:pt idx="956">
                  <c:v>32.557300000002073</c:v>
                </c:pt>
                <c:pt idx="957">
                  <c:v>32.557400000002076</c:v>
                </c:pt>
                <c:pt idx="958">
                  <c:v>32.557500000002079</c:v>
                </c:pt>
                <c:pt idx="959">
                  <c:v>32.557600000002083</c:v>
                </c:pt>
                <c:pt idx="960">
                  <c:v>32.557700000002086</c:v>
                </c:pt>
                <c:pt idx="961">
                  <c:v>32.557800000002089</c:v>
                </c:pt>
                <c:pt idx="962">
                  <c:v>32.557900000002093</c:v>
                </c:pt>
                <c:pt idx="963">
                  <c:v>32.558000000002096</c:v>
                </c:pt>
                <c:pt idx="964">
                  <c:v>32.558100000002099</c:v>
                </c:pt>
                <c:pt idx="965">
                  <c:v>32.558200000002103</c:v>
                </c:pt>
                <c:pt idx="966">
                  <c:v>32.558300000002106</c:v>
                </c:pt>
                <c:pt idx="967">
                  <c:v>32.558400000002109</c:v>
                </c:pt>
                <c:pt idx="968">
                  <c:v>32.558500000002113</c:v>
                </c:pt>
                <c:pt idx="969">
                  <c:v>32.558600000002116</c:v>
                </c:pt>
                <c:pt idx="970">
                  <c:v>32.558700000002119</c:v>
                </c:pt>
                <c:pt idx="971">
                  <c:v>32.558800000002122</c:v>
                </c:pt>
                <c:pt idx="972">
                  <c:v>32.558900000002126</c:v>
                </c:pt>
                <c:pt idx="973">
                  <c:v>32.559000000002129</c:v>
                </c:pt>
                <c:pt idx="974">
                  <c:v>32.559100000002132</c:v>
                </c:pt>
                <c:pt idx="975">
                  <c:v>32.559200000002136</c:v>
                </c:pt>
                <c:pt idx="976">
                  <c:v>32.559300000002139</c:v>
                </c:pt>
                <c:pt idx="977">
                  <c:v>32.559400000002142</c:v>
                </c:pt>
                <c:pt idx="978">
                  <c:v>32.559500000002146</c:v>
                </c:pt>
                <c:pt idx="979">
                  <c:v>32.559600000002149</c:v>
                </c:pt>
                <c:pt idx="980">
                  <c:v>32.559700000002152</c:v>
                </c:pt>
                <c:pt idx="981">
                  <c:v>32.559800000002156</c:v>
                </c:pt>
                <c:pt idx="982">
                  <c:v>32.559900000002159</c:v>
                </c:pt>
                <c:pt idx="983">
                  <c:v>32.560000000002162</c:v>
                </c:pt>
                <c:pt idx="984">
                  <c:v>32.560100000002166</c:v>
                </c:pt>
                <c:pt idx="985">
                  <c:v>32.560200000002169</c:v>
                </c:pt>
                <c:pt idx="986">
                  <c:v>32.560300000002172</c:v>
                </c:pt>
                <c:pt idx="987">
                  <c:v>32.560400000002176</c:v>
                </c:pt>
                <c:pt idx="988">
                  <c:v>32.560500000002179</c:v>
                </c:pt>
                <c:pt idx="989">
                  <c:v>32.560600000002182</c:v>
                </c:pt>
                <c:pt idx="990">
                  <c:v>32.560700000002186</c:v>
                </c:pt>
                <c:pt idx="991">
                  <c:v>32.560800000002189</c:v>
                </c:pt>
                <c:pt idx="992">
                  <c:v>32.560900000002192</c:v>
                </c:pt>
                <c:pt idx="993">
                  <c:v>32.561000000002196</c:v>
                </c:pt>
                <c:pt idx="994">
                  <c:v>32.561100000002199</c:v>
                </c:pt>
                <c:pt idx="995">
                  <c:v>32.561200000002202</c:v>
                </c:pt>
                <c:pt idx="996">
                  <c:v>32.561300000002205</c:v>
                </c:pt>
                <c:pt idx="997">
                  <c:v>32.561400000002209</c:v>
                </c:pt>
                <c:pt idx="998">
                  <c:v>32.561500000002212</c:v>
                </c:pt>
                <c:pt idx="999">
                  <c:v>32.561600000002215</c:v>
                </c:pt>
                <c:pt idx="1000">
                  <c:v>32.561700000002219</c:v>
                </c:pt>
              </c:numCache>
            </c:numRef>
          </c:xVal>
          <c:yVal>
            <c:numRef>
              <c:f>Calculs!$AG$4:$AG$1004</c:f>
              <c:numCache>
                <c:formatCode>0.00</c:formatCode>
                <c:ptCount val="1001"/>
                <c:pt idx="0">
                  <c:v>0</c:v>
                </c:pt>
                <c:pt idx="1">
                  <c:v>-37.492840291358284</c:v>
                </c:pt>
                <c:pt idx="2">
                  <c:v>-37.367435538612128</c:v>
                </c:pt>
                <c:pt idx="3">
                  <c:v>-37.242751205218511</c:v>
                </c:pt>
                <c:pt idx="4">
                  <c:v>-37.118781749163141</c:v>
                </c:pt>
                <c:pt idx="5">
                  <c:v>-36.995521681783444</c:v>
                </c:pt>
                <c:pt idx="6">
                  <c:v>-36.872965567151297</c:v>
                </c:pt>
                <c:pt idx="7">
                  <c:v>-36.751108021464063</c:v>
                </c:pt>
                <c:pt idx="8">
                  <c:v>-36.629943712443833</c:v>
                </c:pt>
                <c:pt idx="9">
                  <c:v>-36.509467358744715</c:v>
                </c:pt>
                <c:pt idx="10">
                  <c:v>-36.389673729368212</c:v>
                </c:pt>
                <c:pt idx="11">
                  <c:v>-36.270932709554096</c:v>
                </c:pt>
                <c:pt idx="12">
                  <c:v>-36.15322789697732</c:v>
                </c:pt>
                <c:pt idx="13">
                  <c:v>-36.036168002919297</c:v>
                </c:pt>
                <c:pt idx="14">
                  <c:v>-35.919748344618277</c:v>
                </c:pt>
                <c:pt idx="15">
                  <c:v>-35.803964282035217</c:v>
                </c:pt>
                <c:pt idx="16">
                  <c:v>-35.688811217384846</c:v>
                </c:pt>
                <c:pt idx="17">
                  <c:v>-35.574284594672783</c:v>
                </c:pt>
                <c:pt idx="18">
                  <c:v>-35.460379899238582</c:v>
                </c:pt>
                <c:pt idx="19">
                  <c:v>-35.347092657304628</c:v>
                </c:pt>
                <c:pt idx="20">
                  <c:v>-35.234418435530706</c:v>
                </c:pt>
                <c:pt idx="21">
                  <c:v>-35.122165083685253</c:v>
                </c:pt>
                <c:pt idx="22">
                  <c:v>-35.010333657170456</c:v>
                </c:pt>
                <c:pt idx="23">
                  <c:v>-34.899112943879459</c:v>
                </c:pt>
                <c:pt idx="24">
                  <c:v>-34.788498501318486</c:v>
                </c:pt>
                <c:pt idx="25">
                  <c:v>-34.678485927504312</c:v>
                </c:pt>
                <c:pt idx="26">
                  <c:v>-34.569070860520043</c:v>
                </c:pt>
                <c:pt idx="27">
                  <c:v>-34.460248978076599</c:v>
                </c:pt>
                <c:pt idx="28">
                  <c:v>-34.352015997079711</c:v>
                </c:pt>
                <c:pt idx="29">
                  <c:v>-34.244367673202547</c:v>
                </c:pt>
                <c:pt idx="30">
                  <c:v>-34.137299800463651</c:v>
                </c:pt>
                <c:pt idx="31">
                  <c:v>-34.030808210810363</c:v>
                </c:pt>
                <c:pt idx="32">
                  <c:v>-33.924888773707487</c:v>
                </c:pt>
                <c:pt idx="33">
                  <c:v>-33.819537395731018</c:v>
                </c:pt>
                <c:pt idx="34">
                  <c:v>-33.714750020167223</c:v>
                </c:pt>
                <c:pt idx="35">
                  <c:v>-33.61052262661665</c:v>
                </c:pt>
                <c:pt idx="36">
                  <c:v>-33.50685123060309</c:v>
                </c:pt>
                <c:pt idx="37">
                  <c:v>-33.403731883187547</c:v>
                </c:pt>
                <c:pt idx="38">
                  <c:v>-33.301160670586967</c:v>
                </c:pt>
                <c:pt idx="39">
                  <c:v>-33.199133713797735</c:v>
                </c:pt>
                <c:pt idx="40">
                  <c:v>-33.097647168224</c:v>
                </c:pt>
                <c:pt idx="41">
                  <c:v>-32.996697223310377</c:v>
                </c:pt>
                <c:pt idx="42">
                  <c:v>-32.896280102179617</c:v>
                </c:pt>
                <c:pt idx="43">
                  <c:v>-32.796392061274254</c:v>
                </c:pt>
                <c:pt idx="44">
                  <c:v>-32.697029390003166</c:v>
                </c:pt>
                <c:pt idx="45">
                  <c:v>-32.598188410392311</c:v>
                </c:pt>
                <c:pt idx="46">
                  <c:v>-32.499865476739714</c:v>
                </c:pt>
                <c:pt idx="47">
                  <c:v>-32.402056975274832</c:v>
                </c:pt>
                <c:pt idx="48">
                  <c:v>-32.304759323822083</c:v>
                </c:pt>
                <c:pt idx="49">
                  <c:v>-32.207968971468432</c:v>
                </c:pt>
                <c:pt idx="50">
                  <c:v>-32.111682398235153</c:v>
                </c:pt>
                <c:pt idx="51">
                  <c:v>-32.015896114753588</c:v>
                </c:pt>
                <c:pt idx="52">
                  <c:v>-31.920606661944788</c:v>
                </c:pt>
                <c:pt idx="53">
                  <c:v>-31.82581061070319</c:v>
                </c:pt>
                <c:pt idx="54">
                  <c:v>-31.731504561584032</c:v>
                </c:pt>
                <c:pt idx="55">
                  <c:v>-31.637685144494654</c:v>
                </c:pt>
                <c:pt idx="56">
                  <c:v>-31.544349018389489</c:v>
                </c:pt>
                <c:pt idx="57">
                  <c:v>-31.451492870968767</c:v>
                </c:pt>
                <c:pt idx="58">
                  <c:v>-31.359113418380879</c:v>
                </c:pt>
                <c:pt idx="59">
                  <c:v>-31.267207404928293</c:v>
                </c:pt>
                <c:pt idx="60">
                  <c:v>-31.175771602777068</c:v>
                </c:pt>
                <c:pt idx="61">
                  <c:v>-31.084802811669825</c:v>
                </c:pt>
                <c:pt idx="62">
                  <c:v>-30.994297858642184</c:v>
                </c:pt>
                <c:pt idx="63">
                  <c:v>-30.904253597742546</c:v>
                </c:pt>
                <c:pt idx="64">
                  <c:v>-30.81466690975531</c:v>
                </c:pt>
                <c:pt idx="65">
                  <c:v>-30.725534701927401</c:v>
                </c:pt>
                <c:pt idx="66">
                  <c:v>-30.636853907697898</c:v>
                </c:pt>
                <c:pt idx="67">
                  <c:v>-30.548621486431109</c:v>
                </c:pt>
                <c:pt idx="68">
                  <c:v>-30.46083442315269</c:v>
                </c:pt>
                <c:pt idx="69">
                  <c:v>-30.37348972828886</c:v>
                </c:pt>
                <c:pt idx="70">
                  <c:v>-30.286584437408784</c:v>
                </c:pt>
                <c:pt idx="71">
                  <c:v>-30.200115610970034</c:v>
                </c:pt>
                <c:pt idx="72">
                  <c:v>-30.114080334066898</c:v>
                </c:pt>
                <c:pt idx="73">
                  <c:v>-30.028475716181823</c:v>
                </c:pt>
                <c:pt idx="74">
                  <c:v>-29.94329889093968</c:v>
                </c:pt>
                <c:pt idx="75">
                  <c:v>-29.858547015864914</c:v>
                </c:pt>
                <c:pt idx="76">
                  <c:v>-29.774217272141676</c:v>
                </c:pt>
                <c:pt idx="77">
                  <c:v>-29.690306864376545</c:v>
                </c:pt>
                <c:pt idx="78">
                  <c:v>-29.606813020364172</c:v>
                </c:pt>
                <c:pt idx="79">
                  <c:v>-29.523732990855624</c:v>
                </c:pt>
                <c:pt idx="80">
                  <c:v>-29.441064049329448</c:v>
                </c:pt>
                <c:pt idx="81">
                  <c:v>-29.358803491765322</c:v>
                </c:pt>
                <c:pt idx="82">
                  <c:v>-29.276948636420357</c:v>
                </c:pt>
                <c:pt idx="83">
                  <c:v>-29.19549682360811</c:v>
                </c:pt>
                <c:pt idx="84">
                  <c:v>-29.114445415479928</c:v>
                </c:pt>
                <c:pt idx="85">
                  <c:v>-29.033791795809051</c:v>
                </c:pt>
                <c:pt idx="86">
                  <c:v>-28.953533369777034</c:v>
                </c:pt>
                <c:pt idx="87">
                  <c:v>-28.87366756376268</c:v>
                </c:pt>
                <c:pt idx="88">
                  <c:v>-28.794191825133396</c:v>
                </c:pt>
                <c:pt idx="89">
                  <c:v>-28.71510362203901</c:v>
                </c:pt>
                <c:pt idx="90">
                  <c:v>-28.636400443207844</c:v>
                </c:pt>
                <c:pt idx="91">
                  <c:v>-28.558079797745137</c:v>
                </c:pt>
                <c:pt idx="92">
                  <c:v>-28.480139214933835</c:v>
                </c:pt>
                <c:pt idx="93">
                  <c:v>-28.402576244037576</c:v>
                </c:pt>
                <c:pt idx="94">
                  <c:v>-28.325388454105941</c:v>
                </c:pt>
                <c:pt idx="95">
                  <c:v>-28.248573433781949</c:v>
                </c:pt>
                <c:pt idx="96">
                  <c:v>-28.172128791111689</c:v>
                </c:pt>
                <c:pt idx="97">
                  <c:v>-28.096052153356112</c:v>
                </c:pt>
                <c:pt idx="98">
                  <c:v>-28.020341166804968</c:v>
                </c:pt>
                <c:pt idx="99">
                  <c:v>-27.944993496592815</c:v>
                </c:pt>
                <c:pt idx="100">
                  <c:v>-27.870006826517173</c:v>
                </c:pt>
                <c:pt idx="101">
                  <c:v>-27.795378858858559</c:v>
                </c:pt>
                <c:pt idx="102">
                  <c:v>-27.060045206124144</c:v>
                </c:pt>
                <c:pt idx="103">
                  <c:v>-26.359111980694166</c:v>
                </c:pt>
                <c:pt idx="104">
                  <c:v>-25.690464672978365</c:v>
                </c:pt>
                <c:pt idx="105">
                  <c:v>-25.052149462645559</c:v>
                </c:pt>
                <c:pt idx="106">
                  <c:v>-24.442358649198887</c:v>
                </c:pt>
                <c:pt idx="107">
                  <c:v>-23.859417600600331</c:v>
                </c:pt>
                <c:pt idx="108">
                  <c:v>-23.301773040844758</c:v>
                </c:pt>
                <c:pt idx="109">
                  <c:v>-22.767982520820681</c:v>
                </c:pt>
                <c:pt idx="110">
                  <c:v>-22.256704936861674</c:v>
                </c:pt>
                <c:pt idx="111">
                  <c:v>-21.766691978615597</c:v>
                </c:pt>
                <c:pt idx="112">
                  <c:v>-21.29678040267541</c:v>
                </c:pt>
                <c:pt idx="113">
                  <c:v>-20.845885041189884</c:v>
                </c:pt>
                <c:pt idx="114">
                  <c:v>-20.412992465710929</c:v>
                </c:pt>
                <c:pt idx="115">
                  <c:v>-19.997155236091743</c:v>
                </c:pt>
                <c:pt idx="116">
                  <c:v>-19.597486672542217</c:v>
                </c:pt>
                <c:pt idx="117">
                  <c:v>-19.213156096155892</c:v>
                </c:pt>
                <c:pt idx="118">
                  <c:v>-18.843384489500394</c:v>
                </c:pt>
                <c:pt idx="119">
                  <c:v>-18.487440534339171</c:v>
                </c:pt>
                <c:pt idx="120">
                  <c:v>-18.14463698833789</c:v>
                </c:pt>
                <c:pt idx="121">
                  <c:v>-17.814327366797063</c:v>
                </c:pt>
                <c:pt idx="122">
                  <c:v>-17.49590289912296</c:v>
                </c:pt>
                <c:pt idx="123">
                  <c:v>-17.18878973297052</c:v>
                </c:pt>
                <c:pt idx="124">
                  <c:v>-16.892446361822476</c:v>
                </c:pt>
                <c:pt idx="125">
                  <c:v>-16.606361254258211</c:v>
                </c:pt>
                <c:pt idx="126">
                  <c:v>-16.33005066535722</c:v>
                </c:pt>
                <c:pt idx="127">
                  <c:v>-16.063056612611621</c:v>
                </c:pt>
                <c:pt idx="128">
                  <c:v>-15.804945000422236</c:v>
                </c:pt>
                <c:pt idx="129">
                  <c:v>-15.555303878749754</c:v>
                </c:pt>
                <c:pt idx="130">
                  <c:v>-15.313741822810602</c:v>
                </c:pt>
                <c:pt idx="131">
                  <c:v>-15.079886421865666</c:v>
                </c:pt>
                <c:pt idx="132">
                  <c:v>-14.853382866166957</c:v>
                </c:pt>
                <c:pt idx="133">
                  <c:v>-14.633892622017019</c:v>
                </c:pt>
                <c:pt idx="134">
                  <c:v>-14.421092185670897</c:v>
                </c:pt>
                <c:pt idx="135">
                  <c:v>-14.214671907482291</c:v>
                </c:pt>
                <c:pt idx="136">
                  <c:v>-14.014334878272305</c:v>
                </c:pt>
                <c:pt idx="137">
                  <c:v>-13.819795870389228</c:v>
                </c:pt>
                <c:pt idx="138">
                  <c:v>-13.630780326337122</c:v>
                </c:pt>
                <c:pt idx="139">
                  <c:v>-13.44702338818483</c:v>
                </c:pt>
                <c:pt idx="140">
                  <c:v>-13.268268961229197</c:v>
                </c:pt>
                <c:pt idx="141">
                  <c:v>-13.094268805580338</c:v>
                </c:pt>
                <c:pt idx="142">
                  <c:v>-12.924781649464155</c:v>
                </c:pt>
                <c:pt idx="143">
                  <c:v>-12.759572318100084</c:v>
                </c:pt>
                <c:pt idx="144">
                  <c:v>-12.598410872010286</c:v>
                </c:pt>
                <c:pt idx="145">
                  <c:v>-12.441071748550311</c:v>
                </c:pt>
                <c:pt idx="146">
                  <c:v>-12.287332900320003</c:v>
                </c:pt>
                <c:pt idx="147">
                  <c:v>-12.136974923915787</c:v>
                </c:pt>
                <c:pt idx="148">
                  <c:v>-11.989780172220096</c:v>
                </c:pt>
                <c:pt idx="149">
                  <c:v>-11.845531843088667</c:v>
                </c:pt>
                <c:pt idx="150">
                  <c:v>-11.704013036890265</c:v>
                </c:pt>
                <c:pt idx="151">
                  <c:v>-11.5650057748745</c:v>
                </c:pt>
                <c:pt idx="152">
                  <c:v>-11.42828996979167</c:v>
                </c:pt>
                <c:pt idx="153">
                  <c:v>-11.293642339564313</c:v>
                </c:pt>
                <c:pt idx="154">
                  <c:v>-11.160835254117039</c:v>
                </c:pt>
                <c:pt idx="155">
                  <c:v>-11.029635504715159</c:v>
                </c:pt>
                <c:pt idx="156">
                  <c:v>-10.899802984355096</c:v>
                </c:pt>
                <c:pt idx="157">
                  <c:v>-10.771089266908241</c:v>
                </c:pt>
                <c:pt idx="158">
                  <c:v>-10.64323607187259</c:v>
                </c:pt>
                <c:pt idx="159">
                  <c:v>-10.515973600772698</c:v>
                </c:pt>
                <c:pt idx="160">
                  <c:v>-10.389018730527004</c:v>
                </c:pt>
                <c:pt idx="161">
                  <c:v>-10.262073048552889</c:v>
                </c:pt>
                <c:pt idx="162">
                  <c:v>-10.134820714117517</c:v>
                </c:pt>
                <c:pt idx="163">
                  <c:v>-10.006926130620617</c:v>
                </c:pt>
                <c:pt idx="164">
                  <c:v>-9.8780314143231607</c:v>
                </c:pt>
                <c:pt idx="165">
                  <c:v>-9.7477536467931483</c:v>
                </c:pt>
                <c:pt idx="166">
                  <c:v>-9.615681901397835</c:v>
                </c:pt>
                <c:pt idx="167">
                  <c:v>-9.4813740390179717</c:v>
                </c:pt>
                <c:pt idx="168">
                  <c:v>-9.3443532754270553</c:v>
                </c:pt>
                <c:pt idx="169">
                  <c:v>-9.2041045332808444</c:v>
                </c:pt>
                <c:pt idx="170">
                  <c:v>-9.060070606429484</c:v>
                </c:pt>
                <c:pt idx="171">
                  <c:v>-8.9116481845829565</c:v>
                </c:pt>
                <c:pt idx="172">
                  <c:v>-8.7581838138029351</c:v>
                </c:pt>
                <c:pt idx="173">
                  <c:v>-8.5989699047377623</c:v>
                </c:pt>
                <c:pt idx="174">
                  <c:v>-8.4332409481265991</c:v>
                </c:pt>
                <c:pt idx="175">
                  <c:v>-8.2601701582514586</c:v>
                </c:pt>
                <c:pt idx="176">
                  <c:v>-8.0788668421289387</c:v>
                </c:pt>
                <c:pt idx="177">
                  <c:v>-7.8883748874376085</c:v>
                </c:pt>
                <c:pt idx="178">
                  <c:v>-7.6876728767614058</c:v>
                </c:pt>
                <c:pt idx="179">
                  <c:v>-7.4756764692679099</c:v>
                </c:pt>
                <c:pt idx="180">
                  <c:v>-7.2512438399977084</c:v>
                </c:pt>
                <c:pt idx="181">
                  <c:v>-7.0131851232755213</c:v>
                </c:pt>
                <c:pt idx="182">
                  <c:v>-6.7602769549996538</c:v>
                </c:pt>
                <c:pt idx="183">
                  <c:v>-6.4912833235289265</c:v>
                </c:pt>
                <c:pt idx="184">
                  <c:v>-6.2049839828653015</c:v>
                </c:pt>
                <c:pt idx="185">
                  <c:v>-5.900211602844343</c:v>
                </c:pt>
                <c:pt idx="186">
                  <c:v>-5.5758985634393108</c:v>
                </c:pt>
                <c:pt idx="187">
                  <c:v>-5.2311337699097384</c:v>
                </c:pt>
                <c:pt idx="188">
                  <c:v>-4.8652290021306648</c:v>
                </c:pt>
                <c:pt idx="189">
                  <c:v>-4.4777930706187421</c:v>
                </c:pt>
                <c:pt idx="190">
                  <c:v>-4.0688104469171025</c:v>
                </c:pt>
                <c:pt idx="191">
                  <c:v>-3.638719176436858</c:v>
                </c:pt>
                <c:pt idx="192">
                  <c:v>-3.1884810065595164</c:v>
                </c:pt>
                <c:pt idx="193">
                  <c:v>-2.7196351513950159</c:v>
                </c:pt>
                <c:pt idx="194">
                  <c:v>-2.2343264527215867</c:v>
                </c:pt>
                <c:pt idx="195">
                  <c:v>-1.7352993781794648</c:v>
                </c:pt>
                <c:pt idx="196">
                  <c:v>-1.2258516665031332</c:v>
                </c:pt>
                <c:pt idx="197">
                  <c:v>-0.70974549750317029</c:v>
                </c:pt>
                <c:pt idx="198">
                  <c:v>-0.19107937967824548</c:v>
                </c:pt>
                <c:pt idx="199">
                  <c:v>0.32587040421298152</c:v>
                </c:pt>
                <c:pt idx="200">
                  <c:v>0.8368251675163727</c:v>
                </c:pt>
                <c:pt idx="201">
                  <c:v>1.3376795914880564</c:v>
                </c:pt>
                <c:pt idx="202">
                  <c:v>1.8246613979727486</c:v>
                </c:pt>
                <c:pt idx="203">
                  <c:v>2.2944610638022449</c:v>
                </c:pt>
                <c:pt idx="204">
                  <c:v>2.7443224222366593</c:v>
                </c:pt>
                <c:pt idx="205">
                  <c:v>3.172090644530055</c:v>
                </c:pt>
                <c:pt idx="206">
                  <c:v>3.5762194801685494</c:v>
                </c:pt>
                <c:pt idx="207">
                  <c:v>3.9557438119979382</c:v>
                </c:pt>
                <c:pt idx="208">
                  <c:v>4.3102260651415207</c:v>
                </c:pt>
                <c:pt idx="209">
                  <c:v>4.6396857809160137</c:v>
                </c:pt>
                <c:pt idx="210">
                  <c:v>4.9445210590938213</c:v>
                </c:pt>
                <c:pt idx="211">
                  <c:v>5.225429077516587</c:v>
                </c:pt>
                <c:pt idx="212">
                  <c:v>5.4833310114428171</c:v>
                </c:pt>
                <c:pt idx="213">
                  <c:v>5.7193047875137069</c:v>
                </c:pt>
                <c:pt idx="214">
                  <c:v>5.9345274686637151</c:v>
                </c:pt>
                <c:pt idx="215">
                  <c:v>6.1302277937481735</c:v>
                </c:pt>
                <c:pt idx="216">
                  <c:v>6.3076485067430239</c:v>
                </c:pt>
                <c:pt idx="217">
                  <c:v>6.4680175620691722</c:v>
                </c:pt>
                <c:pt idx="218">
                  <c:v>6.6125270141816745</c:v>
                </c:pt>
                <c:pt idx="219">
                  <c:v>6.7423183154916266</c:v>
                </c:pt>
                <c:pt idx="220">
                  <c:v>6.8584727896476485</c:v>
                </c:pt>
                <c:pt idx="221">
                  <c:v>6.962006163698641</c:v>
                </c:pt>
                <c:pt idx="222">
                  <c:v>7.0538661937936986</c:v>
                </c:pt>
                <c:pt idx="223">
                  <c:v>7.1349325788062075</c:v>
                </c:pt>
                <c:pt idx="224">
                  <c:v>7.2060185086912441</c:v>
                </c:pt>
                <c:pt idx="225">
                  <c:v>7.2678733309543535</c:v>
                </c:pt>
                <c:pt idx="226">
                  <c:v>7.3211859357539897</c:v>
                </c:pt>
                <c:pt idx="227">
                  <c:v>7.3665885574230101</c:v>
                </c:pt>
                <c:pt idx="228">
                  <c:v>7.4046607688968979</c:v>
                </c:pt>
                <c:pt idx="229">
                  <c:v>7.4359335078693647</c:v>
                </c:pt>
                <c:pt idx="230">
                  <c:v>7.4608930219471556</c:v>
                </c:pt>
                <c:pt idx="231">
                  <c:v>7.479984657092591</c:v>
                </c:pt>
                <c:pt idx="232">
                  <c:v>7.4936164414506807</c:v>
                </c:pt>
                <c:pt idx="233">
                  <c:v>7.502162437186664</c:v>
                </c:pt>
                <c:pt idx="234">
                  <c:v>7.5059658478248581</c:v>
                </c:pt>
                <c:pt idx="235">
                  <c:v>7.5053418790993227</c:v>
                </c:pt>
                <c:pt idx="236">
                  <c:v>7.5005803585564736</c:v>
                </c:pt>
                <c:pt idx="237">
                  <c:v>7.491948123921258</c:v>
                </c:pt>
                <c:pt idx="238">
                  <c:v>7.4796911931982448</c:v>
                </c:pt>
                <c:pt idx="239">
                  <c:v>7.464036731123338</c:v>
                </c:pt>
                <c:pt idx="240">
                  <c:v>7.4451948272888453</c:v>
                </c:pt>
                <c:pt idx="241">
                  <c:v>7.423360101317682</c:v>
                </c:pt>
                <c:pt idx="242">
                  <c:v>7.3987131500734025</c:v>
                </c:pt>
                <c:pt idx="243">
                  <c:v>7.3714218512169767</c:v>
                </c:pt>
                <c:pt idx="244">
                  <c:v>7.3416425365719959</c:v>
                </c:pt>
                <c:pt idx="245">
                  <c:v>7.3095210478185546</c:v>
                </c:pt>
                <c:pt idx="246">
                  <c:v>7.2751936860595539</c:v>
                </c:pt>
                <c:pt idx="247">
                  <c:v>7.2387880658306667</c:v>
                </c:pt>
                <c:pt idx="248">
                  <c:v>7.2004238831834728</c:v>
                </c:pt>
                <c:pt idx="249">
                  <c:v>7.1602136065762458</c:v>
                </c:pt>
                <c:pt idx="250">
                  <c:v>7.1182630984688151</c:v>
                </c:pt>
                <c:pt idx="251">
                  <c:v>7.0746721747414618</c:v>
                </c:pt>
                <c:pt idx="252">
                  <c:v>7.0295351083443727</c:v>
                </c:pt>
                <c:pt idx="253">
                  <c:v>6.982941082933027</c:v>
                </c:pt>
                <c:pt idx="254">
                  <c:v>6.9349746016535185</c:v>
                </c:pt>
                <c:pt idx="255">
                  <c:v>6.8857158557069269</c:v>
                </c:pt>
                <c:pt idx="256">
                  <c:v>6.8352410568397541</c:v>
                </c:pt>
                <c:pt idx="257">
                  <c:v>6.7836227374737472</c:v>
                </c:pt>
                <c:pt idx="258">
                  <c:v>6.7309300217993844</c:v>
                </c:pt>
                <c:pt idx="259">
                  <c:v>6.6772288708085803</c:v>
                </c:pt>
                <c:pt idx="260">
                  <c:v>6.6225823039301073</c:v>
                </c:pt>
                <c:pt idx="261">
                  <c:v>6.5670505996522497</c:v>
                </c:pt>
                <c:pt idx="262">
                  <c:v>6.5106914772677253</c:v>
                </c:pt>
                <c:pt idx="263">
                  <c:v>6.4535602616533065</c:v>
                </c:pt>
                <c:pt idx="264">
                  <c:v>6.3957100327974938</c:v>
                </c:pt>
                <c:pt idx="265">
                  <c:v>6.3371917616120008</c:v>
                </c:pt>
                <c:pt idx="266">
                  <c:v>6.2780544334041588</c:v>
                </c:pt>
                <c:pt idx="267">
                  <c:v>6.2183451602455673</c:v>
                </c:pt>
                <c:pt idx="268">
                  <c:v>6.1581092833456506</c:v>
                </c:pt>
                <c:pt idx="269">
                  <c:v>6.0973904664256979</c:v>
                </c:pt>
                <c:pt idx="270">
                  <c:v>6.0362307809876032</c:v>
                </c:pt>
                <c:pt idx="271">
                  <c:v>5.9746707842810194</c:v>
                </c:pt>
                <c:pt idx="272">
                  <c:v>5.9127495906915897</c:v>
                </c:pt>
                <c:pt idx="273">
                  <c:v>5.850504937200288</c:v>
                </c:pt>
                <c:pt idx="274">
                  <c:v>5.7879732434988114</c:v>
                </c:pt>
                <c:pt idx="275">
                  <c:v>5.725189667287669</c:v>
                </c:pt>
                <c:pt idx="276">
                  <c:v>5.6621881552312008</c:v>
                </c:pt>
                <c:pt idx="277">
                  <c:v>5.5990014899967306</c:v>
                </c:pt>
                <c:pt idx="278">
                  <c:v>5.5356613337629454</c:v>
                </c:pt>
                <c:pt idx="279">
                  <c:v>5.4721982685443527</c:v>
                </c:pt>
                <c:pt idx="280">
                  <c:v>5.4086418336448023</c:v>
                </c:pt>
                <c:pt idx="281">
                  <c:v>5.3450205605220606</c:v>
                </c:pt>
                <c:pt idx="282">
                  <c:v>5.2813620053178107</c:v>
                </c:pt>
                <c:pt idx="283">
                  <c:v>5.2176927792824532</c:v>
                </c:pt>
                <c:pt idx="284">
                  <c:v>5.1540385773015807</c:v>
                </c:pt>
                <c:pt idx="285">
                  <c:v>5.0904242047106179</c:v>
                </c:pt>
                <c:pt idx="286">
                  <c:v>5.0268736025657805</c:v>
                </c:pt>
                <c:pt idx="287">
                  <c:v>4.9634098715229182</c:v>
                </c:pt>
                <c:pt idx="288">
                  <c:v>4.9000552944608593</c:v>
                </c:pt>
                <c:pt idx="289">
                  <c:v>4.836831357972267</c:v>
                </c:pt>
                <c:pt idx="290">
                  <c:v>4.7737587728327515</c:v>
                </c:pt>
                <c:pt idx="291">
                  <c:v>4.710857493547973</c:v>
                </c:pt>
                <c:pt idx="292">
                  <c:v>4.648146737068342</c:v>
                </c:pt>
                <c:pt idx="293">
                  <c:v>4.5856450007518808</c:v>
                </c:pt>
                <c:pt idx="294">
                  <c:v>4.5233700796475826</c:v>
                </c:pt>
                <c:pt idx="295">
                  <c:v>4.4613390831641411</c:v>
                </c:pt>
                <c:pt idx="296">
                  <c:v>4.3995684511821675</c:v>
                </c:pt>
                <c:pt idx="297">
                  <c:v>4.3380739696619814</c:v>
                </c:pt>
                <c:pt idx="298">
                  <c:v>4.2768707857933581</c:v>
                </c:pt>
                <c:pt idx="299">
                  <c:v>4.2159734227288377</c:v>
                </c:pt>
                <c:pt idx="300">
                  <c:v>4.1553957939374806</c:v>
                </c:pt>
                <c:pt idx="301">
                  <c:v>4.09515121721196</c:v>
                </c:pt>
                <c:pt idx="302">
                  <c:v>4.0352524283581026</c:v>
                </c:pt>
                <c:pt idx="303">
                  <c:v>3.9757115945927817</c:v>
                </c:pt>
                <c:pt idx="304">
                  <c:v>3.916540327672795</c:v>
                </c:pt>
                <c:pt idx="305">
                  <c:v>3.857749696774941</c:v>
                </c:pt>
                <c:pt idx="306">
                  <c:v>3.7993502411447455</c:v>
                </c:pt>
                <c:pt idx="307">
                  <c:v>3.7413519825293591</c:v>
                </c:pt>
                <c:pt idx="308">
                  <c:v>3.683764437407854</c:v>
                </c:pt>
                <c:pt idx="309">
                  <c:v>3.6265966290306864</c:v>
                </c:pt>
                <c:pt idx="310">
                  <c:v>3.5698570992781846</c:v>
                </c:pt>
                <c:pt idx="311">
                  <c:v>3.5135539203467197</c:v>
                </c:pt>
                <c:pt idx="312">
                  <c:v>3.4576947062697752</c:v>
                </c:pt>
                <c:pt idx="313">
                  <c:v>3.4022866242800882</c:v>
                </c:pt>
                <c:pt idx="314">
                  <c:v>3.3473364060179795</c:v>
                </c:pt>
                <c:pt idx="315">
                  <c:v>3.2928503585901012</c:v>
                </c:pt>
                <c:pt idx="316">
                  <c:v>3.2388343754820017</c:v>
                </c:pt>
                <c:pt idx="317">
                  <c:v>3.1852939473273167</c:v>
                </c:pt>
                <c:pt idx="318">
                  <c:v>3.1322341725355916</c:v>
                </c:pt>
                <c:pt idx="319">
                  <c:v>3.0796597677804565</c:v>
                </c:pt>
                <c:pt idx="320">
                  <c:v>3.0275750783491899</c:v>
                </c:pt>
                <c:pt idx="321">
                  <c:v>2.975984088354438</c:v>
                </c:pt>
                <c:pt idx="322">
                  <c:v>2.924890430808504</c:v>
                </c:pt>
                <c:pt idx="323">
                  <c:v>2.8742973975602943</c:v>
                </c:pt>
                <c:pt idx="324">
                  <c:v>2.8242079490948351</c:v>
                </c:pt>
                <c:pt idx="325">
                  <c:v>2.7746247241950108</c:v>
                </c:pt>
                <c:pt idx="326">
                  <c:v>2.7255500494650766</c:v>
                </c:pt>
                <c:pt idx="327">
                  <c:v>2.6769859487153802</c:v>
                </c:pt>
                <c:pt idx="328">
                  <c:v>2.6289341522075969</c:v>
                </c:pt>
                <c:pt idx="329">
                  <c:v>2.5813961057597314</c:v>
                </c:pt>
                <c:pt idx="330">
                  <c:v>2.5343729797101791</c:v>
                </c:pt>
                <c:pt idx="331">
                  <c:v>2.4878656777400074</c:v>
                </c:pt>
                <c:pt idx="332">
                  <c:v>2.4418748455527268</c:v>
                </c:pt>
                <c:pt idx="333">
                  <c:v>2.3964008794107636</c:v>
                </c:pt>
                <c:pt idx="334">
                  <c:v>2.3514439345279641</c:v>
                </c:pt>
                <c:pt idx="335">
                  <c:v>2.3070039333174641</c:v>
                </c:pt>
                <c:pt idx="336">
                  <c:v>2.2630805734942694</c:v>
                </c:pt>
                <c:pt idx="337">
                  <c:v>2.2196733360321215</c:v>
                </c:pt>
                <c:pt idx="338">
                  <c:v>2.1767814929740927</c:v>
                </c:pt>
                <c:pt idx="339">
                  <c:v>2.1344041150966451</c:v>
                </c:pt>
                <c:pt idx="340">
                  <c:v>2.0925400794267883</c:v>
                </c:pt>
                <c:pt idx="341">
                  <c:v>2.0511880766122941</c:v>
                </c:pt>
                <c:pt idx="342">
                  <c:v>2.010346618144677</c:v>
                </c:pt>
                <c:pt idx="343">
                  <c:v>1.9700140434352322</c:v>
                </c:pt>
                <c:pt idx="344">
                  <c:v>1.930188526744006</c:v>
                </c:pt>
                <c:pt idx="345">
                  <c:v>1.8908680839621042</c:v>
                </c:pt>
                <c:pt idx="346">
                  <c:v>1.8520505792475594</c:v>
                </c:pt>
                <c:pt idx="347">
                  <c:v>1.813733731515268</c:v>
                </c:pt>
                <c:pt idx="348">
                  <c:v>1.7759151207814536</c:v>
                </c:pt>
                <c:pt idx="349">
                  <c:v>1.73859219436331</c:v>
                </c:pt>
                <c:pt idx="350">
                  <c:v>1.7017622729346531</c:v>
                </c:pt>
                <c:pt idx="351">
                  <c:v>1.6654225564382195</c:v>
                </c:pt>
                <c:pt idx="352">
                  <c:v>1.6295701298556704</c:v>
                </c:pt>
                <c:pt idx="353">
                  <c:v>1.5942019688362716</c:v>
                </c:pt>
                <c:pt idx="354">
                  <c:v>1.5593149451853225</c:v>
                </c:pt>
                <c:pt idx="355">
                  <c:v>1.5249058322135003</c:v>
                </c:pt>
                <c:pt idx="356">
                  <c:v>1.4909713099483994</c:v>
                </c:pt>
                <c:pt idx="357">
                  <c:v>1.4575079702096048</c:v>
                </c:pt>
                <c:pt idx="358">
                  <c:v>1.4245123215486295</c:v>
                </c:pt>
                <c:pt idx="359">
                  <c:v>1.3919807940552893</c:v>
                </c:pt>
                <c:pt idx="360">
                  <c:v>1.3599097440319596</c:v>
                </c:pt>
                <c:pt idx="361">
                  <c:v>1.3282954585373226</c:v>
                </c:pt>
                <c:pt idx="362">
                  <c:v>1.2971341598013328</c:v>
                </c:pt>
                <c:pt idx="363">
                  <c:v>1.2664220095129917</c:v>
                </c:pt>
                <c:pt idx="364">
                  <c:v>1.2361551129827557</c:v>
                </c:pt>
                <c:pt idx="365">
                  <c:v>1.2063295231813491</c:v>
                </c:pt>
                <c:pt idx="366">
                  <c:v>1.1769412446568221</c:v>
                </c:pt>
                <c:pt idx="367">
                  <c:v>1.1479862373317786</c:v>
                </c:pt>
                <c:pt idx="368">
                  <c:v>1.1194604201825271</c:v>
                </c:pt>
                <c:pt idx="369">
                  <c:v>1.0913596748023568</c:v>
                </c:pt>
                <c:pt idx="370">
                  <c:v>1.0636798488506329</c:v>
                </c:pt>
                <c:pt idx="371">
                  <c:v>1.0364167593899083</c:v>
                </c:pt>
                <c:pt idx="372">
                  <c:v>1.0095661961129032</c:v>
                </c:pt>
                <c:pt idx="373">
                  <c:v>0.98312392446157126</c:v>
                </c:pt>
                <c:pt idx="374">
                  <c:v>0.9570856886400616</c:v>
                </c:pt>
                <c:pt idx="375">
                  <c:v>0.9314472145238728</c:v>
                </c:pt>
                <c:pt idx="376">
                  <c:v>0.90620421246704019</c:v>
                </c:pt>
                <c:pt idx="377">
                  <c:v>0.88135238000963412</c:v>
                </c:pt>
                <c:pt idx="378">
                  <c:v>0.85688740448744483</c:v>
                </c:pt>
                <c:pt idx="379">
                  <c:v>0.83280496554610295</c:v>
                </c:pt>
                <c:pt idx="380">
                  <c:v>0.80910073756155398</c:v>
                </c:pt>
                <c:pt idx="381">
                  <c:v>0.78577039196908238</c:v>
                </c:pt>
                <c:pt idx="382">
                  <c:v>0.76280959950286231</c:v>
                </c:pt>
                <c:pt idx="383">
                  <c:v>0.74021403234811345</c:v>
                </c:pt>
                <c:pt idx="384">
                  <c:v>0.71797936620792058</c:v>
                </c:pt>
                <c:pt idx="385">
                  <c:v>0.71795751948481801</c:v>
                </c:pt>
                <c:pt idx="386">
                  <c:v>0.71793567311186557</c:v>
                </c:pt>
                <c:pt idx="387">
                  <c:v>0.71791382708905793</c:v>
                </c:pt>
                <c:pt idx="388">
                  <c:v>0.71789198141638266</c:v>
                </c:pt>
                <c:pt idx="389">
                  <c:v>0.71787013609383976</c:v>
                </c:pt>
                <c:pt idx="390">
                  <c:v>0.71784829112143456</c:v>
                </c:pt>
                <c:pt idx="391">
                  <c:v>0.71782644649914396</c:v>
                </c:pt>
                <c:pt idx="392">
                  <c:v>0.71780460222698572</c:v>
                </c:pt>
                <c:pt idx="393">
                  <c:v>0.71778275830493321</c:v>
                </c:pt>
                <c:pt idx="394">
                  <c:v>0.71776091473300063</c:v>
                </c:pt>
                <c:pt idx="395">
                  <c:v>0.71773907151117555</c:v>
                </c:pt>
                <c:pt idx="396">
                  <c:v>0.71771722863945264</c:v>
                </c:pt>
                <c:pt idx="397">
                  <c:v>0.71769538611782835</c:v>
                </c:pt>
                <c:pt idx="398">
                  <c:v>0.71767354394630267</c:v>
                </c:pt>
                <c:pt idx="399">
                  <c:v>0.71765170212486851</c:v>
                </c:pt>
                <c:pt idx="400">
                  <c:v>0.7176298606535223</c:v>
                </c:pt>
                <c:pt idx="401">
                  <c:v>0.71760801953225517</c:v>
                </c:pt>
                <c:pt idx="402">
                  <c:v>0.71758617876107067</c:v>
                </c:pt>
                <c:pt idx="403">
                  <c:v>0.71756433833995814</c:v>
                </c:pt>
                <c:pt idx="404">
                  <c:v>0.71754249826892291</c:v>
                </c:pt>
                <c:pt idx="405">
                  <c:v>0.71752065854794367</c:v>
                </c:pt>
                <c:pt idx="406">
                  <c:v>0.71749881917703284</c:v>
                </c:pt>
                <c:pt idx="407">
                  <c:v>0.71747698015618333</c:v>
                </c:pt>
                <c:pt idx="408">
                  <c:v>0.71745514148537737</c:v>
                </c:pt>
                <c:pt idx="409">
                  <c:v>0.71743330316463094</c:v>
                </c:pt>
                <c:pt idx="410">
                  <c:v>0.71741146519392807</c:v>
                </c:pt>
                <c:pt idx="411">
                  <c:v>0.71738962757326519</c:v>
                </c:pt>
                <c:pt idx="412">
                  <c:v>0.71736779030263698</c:v>
                </c:pt>
                <c:pt idx="413">
                  <c:v>0.71734595338204521</c:v>
                </c:pt>
                <c:pt idx="414">
                  <c:v>0.71732411681147745</c:v>
                </c:pt>
                <c:pt idx="415">
                  <c:v>0.71730228059093371</c:v>
                </c:pt>
                <c:pt idx="416">
                  <c:v>0.71728044472041397</c:v>
                </c:pt>
                <c:pt idx="417">
                  <c:v>0.71725860919990936</c:v>
                </c:pt>
                <c:pt idx="418">
                  <c:v>0.71723677402941455</c:v>
                </c:pt>
                <c:pt idx="419">
                  <c:v>0.71721493920892776</c:v>
                </c:pt>
                <c:pt idx="420">
                  <c:v>0.71719310473844544</c:v>
                </c:pt>
                <c:pt idx="421">
                  <c:v>0.71717127061795694</c:v>
                </c:pt>
                <c:pt idx="422">
                  <c:v>0.71714943684747645</c:v>
                </c:pt>
                <c:pt idx="423">
                  <c:v>0.71712760342697557</c:v>
                </c:pt>
                <c:pt idx="424">
                  <c:v>0.71710577035646672</c:v>
                </c:pt>
                <c:pt idx="425">
                  <c:v>0.71708393763593214</c:v>
                </c:pt>
                <c:pt idx="426">
                  <c:v>0.71706210526538428</c:v>
                </c:pt>
                <c:pt idx="427">
                  <c:v>0.71704027324480535</c:v>
                </c:pt>
                <c:pt idx="428">
                  <c:v>0.71701844157419714</c:v>
                </c:pt>
                <c:pt idx="429">
                  <c:v>0.7169966102535561</c:v>
                </c:pt>
                <c:pt idx="430">
                  <c:v>0.71697477928287334</c:v>
                </c:pt>
                <c:pt idx="431">
                  <c:v>0.7169529486621542</c:v>
                </c:pt>
                <c:pt idx="432">
                  <c:v>0.71693111839137558</c:v>
                </c:pt>
                <c:pt idx="433">
                  <c:v>0.71690928847055524</c:v>
                </c:pt>
                <c:pt idx="434">
                  <c:v>0.7168874588996772</c:v>
                </c:pt>
                <c:pt idx="435">
                  <c:v>0.71686562967873968</c:v>
                </c:pt>
                <c:pt idx="436">
                  <c:v>0.71684380080773735</c:v>
                </c:pt>
                <c:pt idx="437">
                  <c:v>0.71682197228666489</c:v>
                </c:pt>
                <c:pt idx="438">
                  <c:v>0.71680014411552229</c:v>
                </c:pt>
                <c:pt idx="439">
                  <c:v>0.71677831629430599</c:v>
                </c:pt>
                <c:pt idx="440">
                  <c:v>0.7167564888230018</c:v>
                </c:pt>
                <c:pt idx="441">
                  <c:v>0.71673466170161326</c:v>
                </c:pt>
                <c:pt idx="442">
                  <c:v>0.71671283493014215</c:v>
                </c:pt>
                <c:pt idx="443">
                  <c:v>0.71669100850856715</c:v>
                </c:pt>
                <c:pt idx="444">
                  <c:v>0.71666918243690425</c:v>
                </c:pt>
                <c:pt idx="445">
                  <c:v>0.71664735671513391</c:v>
                </c:pt>
                <c:pt idx="446">
                  <c:v>0.7166255313432579</c:v>
                </c:pt>
                <c:pt idx="447">
                  <c:v>0.71660370632127268</c:v>
                </c:pt>
                <c:pt idx="448">
                  <c:v>0.71658188164917824</c:v>
                </c:pt>
                <c:pt idx="449">
                  <c:v>0.71656005732695327</c:v>
                </c:pt>
                <c:pt idx="450">
                  <c:v>0.71653823335461375</c:v>
                </c:pt>
                <c:pt idx="451">
                  <c:v>0.71651640973215258</c:v>
                </c:pt>
                <c:pt idx="452">
                  <c:v>0.71649458645954844</c:v>
                </c:pt>
                <c:pt idx="453">
                  <c:v>0.71647276353681555</c:v>
                </c:pt>
                <c:pt idx="454">
                  <c:v>0.71645094096393613</c:v>
                </c:pt>
                <c:pt idx="455">
                  <c:v>0.7164291187409173</c:v>
                </c:pt>
                <c:pt idx="456">
                  <c:v>0.71640729686774307</c:v>
                </c:pt>
                <c:pt idx="457">
                  <c:v>0.71638547534442587</c:v>
                </c:pt>
                <c:pt idx="458">
                  <c:v>0.71636365417094972</c:v>
                </c:pt>
                <c:pt idx="459">
                  <c:v>0.71634183334731105</c:v>
                </c:pt>
                <c:pt idx="460">
                  <c:v>0.71632001287350988</c:v>
                </c:pt>
                <c:pt idx="461">
                  <c:v>0.71629819274953554</c:v>
                </c:pt>
                <c:pt idx="462">
                  <c:v>0.71627637297538982</c:v>
                </c:pt>
                <c:pt idx="463">
                  <c:v>0.71625455355106915</c:v>
                </c:pt>
                <c:pt idx="464">
                  <c:v>0.71623273447656643</c:v>
                </c:pt>
                <c:pt idx="465">
                  <c:v>0.71621091575187101</c:v>
                </c:pt>
                <c:pt idx="466">
                  <c:v>0.71618909737699354</c:v>
                </c:pt>
                <c:pt idx="467">
                  <c:v>0.71616727935191626</c:v>
                </c:pt>
                <c:pt idx="468">
                  <c:v>0.71614546167664095</c:v>
                </c:pt>
                <c:pt idx="469">
                  <c:v>0.71612364435116049</c:v>
                </c:pt>
                <c:pt idx="470">
                  <c:v>0.7161018273754749</c:v>
                </c:pt>
                <c:pt idx="471">
                  <c:v>0.71608001074958239</c:v>
                </c:pt>
                <c:pt idx="472">
                  <c:v>0.71605819447346875</c:v>
                </c:pt>
                <c:pt idx="473">
                  <c:v>0.71603637854714464</c:v>
                </c:pt>
                <c:pt idx="474">
                  <c:v>0.71601456297059229</c:v>
                </c:pt>
                <c:pt idx="475">
                  <c:v>0.71599274774380461</c:v>
                </c:pt>
                <c:pt idx="476">
                  <c:v>0.71597093286678692</c:v>
                </c:pt>
                <c:pt idx="477">
                  <c:v>0.71594911833953923</c:v>
                </c:pt>
                <c:pt idx="478">
                  <c:v>0.71592730416204375</c:v>
                </c:pt>
                <c:pt idx="479">
                  <c:v>0.71590549033430761</c:v>
                </c:pt>
                <c:pt idx="480">
                  <c:v>0.71588367685631482</c:v>
                </c:pt>
                <c:pt idx="481">
                  <c:v>0.71586186372807425</c:v>
                </c:pt>
                <c:pt idx="482">
                  <c:v>0.71584005094957348</c:v>
                </c:pt>
                <c:pt idx="483">
                  <c:v>0.71581823852081605</c:v>
                </c:pt>
                <c:pt idx="484">
                  <c:v>0.71579642644179131</c:v>
                </c:pt>
                <c:pt idx="485">
                  <c:v>0.7157746147124886</c:v>
                </c:pt>
                <c:pt idx="486">
                  <c:v>0.71575280333291857</c:v>
                </c:pt>
                <c:pt idx="487">
                  <c:v>0.7157309923030688</c:v>
                </c:pt>
                <c:pt idx="488">
                  <c:v>0.71570918162293751</c:v>
                </c:pt>
                <c:pt idx="489">
                  <c:v>0.71568737129251936</c:v>
                </c:pt>
                <c:pt idx="490">
                  <c:v>0.7156655613118037</c:v>
                </c:pt>
                <c:pt idx="491">
                  <c:v>0.71564375168080296</c:v>
                </c:pt>
                <c:pt idx="492">
                  <c:v>0.71562194239949584</c:v>
                </c:pt>
                <c:pt idx="493">
                  <c:v>0.71560013346788409</c:v>
                </c:pt>
                <c:pt idx="494">
                  <c:v>0.71557832488596951</c:v>
                </c:pt>
                <c:pt idx="495">
                  <c:v>0.7155565166537361</c:v>
                </c:pt>
                <c:pt idx="496">
                  <c:v>0.71553470877119096</c:v>
                </c:pt>
                <c:pt idx="497">
                  <c:v>0.71551290123832523</c:v>
                </c:pt>
                <c:pt idx="498">
                  <c:v>0.71549109405512823</c:v>
                </c:pt>
                <c:pt idx="499">
                  <c:v>0.71546928722160885</c:v>
                </c:pt>
                <c:pt idx="500">
                  <c:v>0.71544748073774933</c:v>
                </c:pt>
                <c:pt idx="501">
                  <c:v>0.71542567460356032</c:v>
                </c:pt>
                <c:pt idx="502">
                  <c:v>0.71540386881902407</c:v>
                </c:pt>
                <c:pt idx="503">
                  <c:v>0.71538206338414234</c:v>
                </c:pt>
                <c:pt idx="504">
                  <c:v>0.71536025829891514</c:v>
                </c:pt>
                <c:pt idx="505">
                  <c:v>0.71533845356332826</c:v>
                </c:pt>
                <c:pt idx="506">
                  <c:v>0.71531664917738169</c:v>
                </c:pt>
                <c:pt idx="507">
                  <c:v>0.71529484514107722</c:v>
                </c:pt>
                <c:pt idx="508">
                  <c:v>0.71527304145440063</c:v>
                </c:pt>
                <c:pt idx="509">
                  <c:v>0.71525123811735725</c:v>
                </c:pt>
                <c:pt idx="510">
                  <c:v>0.71522943512993642</c:v>
                </c:pt>
                <c:pt idx="511">
                  <c:v>0.71520763249213637</c:v>
                </c:pt>
                <c:pt idx="512">
                  <c:v>0.71518583020395354</c:v>
                </c:pt>
                <c:pt idx="513">
                  <c:v>0.71516402826538616</c:v>
                </c:pt>
                <c:pt idx="514">
                  <c:v>0.7151422266764218</c:v>
                </c:pt>
                <c:pt idx="515">
                  <c:v>0.715120425437064</c:v>
                </c:pt>
                <c:pt idx="516">
                  <c:v>0.71509862454730033</c:v>
                </c:pt>
                <c:pt idx="517">
                  <c:v>0.71507682400713257</c:v>
                </c:pt>
                <c:pt idx="518">
                  <c:v>0.7150550238165625</c:v>
                </c:pt>
                <c:pt idx="519">
                  <c:v>0.71503322397557056</c:v>
                </c:pt>
                <c:pt idx="520">
                  <c:v>0.71501142448416211</c:v>
                </c:pt>
                <c:pt idx="521">
                  <c:v>0.7149896253423389</c:v>
                </c:pt>
                <c:pt idx="522">
                  <c:v>0.71496782655008495</c:v>
                </c:pt>
                <c:pt idx="523">
                  <c:v>0.71494602810740027</c:v>
                </c:pt>
                <c:pt idx="524">
                  <c:v>0.7149242300142884</c:v>
                </c:pt>
                <c:pt idx="525">
                  <c:v>0.7149024322707298</c:v>
                </c:pt>
                <c:pt idx="526">
                  <c:v>0.71488063487673159</c:v>
                </c:pt>
                <c:pt idx="527">
                  <c:v>0.71485883783228132</c:v>
                </c:pt>
                <c:pt idx="528">
                  <c:v>0.71483704113738433</c:v>
                </c:pt>
                <c:pt idx="529">
                  <c:v>0.71481524479203351</c:v>
                </c:pt>
                <c:pt idx="530">
                  <c:v>0.71479344879622175</c:v>
                </c:pt>
                <c:pt idx="531">
                  <c:v>0.71477165314994195</c:v>
                </c:pt>
                <c:pt idx="532">
                  <c:v>0.71474985785320122</c:v>
                </c:pt>
                <c:pt idx="533">
                  <c:v>0.71472806290598356</c:v>
                </c:pt>
                <c:pt idx="534">
                  <c:v>0.71470626830828898</c:v>
                </c:pt>
                <c:pt idx="535">
                  <c:v>0.71468447406011748</c:v>
                </c:pt>
                <c:pt idx="536">
                  <c:v>0.71466268016145307</c:v>
                </c:pt>
                <c:pt idx="537">
                  <c:v>0.71464088661230818</c:v>
                </c:pt>
                <c:pt idx="538">
                  <c:v>0.71461909341267038</c:v>
                </c:pt>
                <c:pt idx="539">
                  <c:v>0.7145973005625379</c:v>
                </c:pt>
                <c:pt idx="540">
                  <c:v>0.71457550806189118</c:v>
                </c:pt>
                <c:pt idx="541">
                  <c:v>0.71455371591074446</c:v>
                </c:pt>
                <c:pt idx="542">
                  <c:v>0.71453192410908706</c:v>
                </c:pt>
                <c:pt idx="543">
                  <c:v>0.71451013265691721</c:v>
                </c:pt>
                <c:pt idx="544">
                  <c:v>0.71448834155423135</c:v>
                </c:pt>
                <c:pt idx="545">
                  <c:v>0.71446655080102239</c:v>
                </c:pt>
                <c:pt idx="546">
                  <c:v>0.71444476039728322</c:v>
                </c:pt>
                <c:pt idx="547">
                  <c:v>0.71442297034301028</c:v>
                </c:pt>
                <c:pt idx="548">
                  <c:v>0.71440118063821068</c:v>
                </c:pt>
                <c:pt idx="549">
                  <c:v>0.71437939128286132</c:v>
                </c:pt>
                <c:pt idx="550">
                  <c:v>0.71435760227697465</c:v>
                </c:pt>
                <c:pt idx="551">
                  <c:v>0.71433581362054177</c:v>
                </c:pt>
                <c:pt idx="552">
                  <c:v>0.71431402531354671</c:v>
                </c:pt>
                <c:pt idx="553">
                  <c:v>0.71429223735600544</c:v>
                </c:pt>
                <c:pt idx="554">
                  <c:v>0.71427044974789844</c:v>
                </c:pt>
                <c:pt idx="555">
                  <c:v>0.71424866248922747</c:v>
                </c:pt>
                <c:pt idx="556">
                  <c:v>0.71422687557999431</c:v>
                </c:pt>
                <c:pt idx="557">
                  <c:v>0.71420508902017943</c:v>
                </c:pt>
                <c:pt idx="558">
                  <c:v>0.71418330280979525</c:v>
                </c:pt>
                <c:pt idx="559">
                  <c:v>0.71416151694882046</c:v>
                </c:pt>
                <c:pt idx="560">
                  <c:v>0.71413973143726217</c:v>
                </c:pt>
                <c:pt idx="561">
                  <c:v>0.71411794627511327</c:v>
                </c:pt>
                <c:pt idx="562">
                  <c:v>0.71409616146237731</c:v>
                </c:pt>
                <c:pt idx="563">
                  <c:v>0.71407437699903475</c:v>
                </c:pt>
                <c:pt idx="564">
                  <c:v>0.71405259288509271</c:v>
                </c:pt>
                <c:pt idx="565">
                  <c:v>0.71403080912054406</c:v>
                </c:pt>
                <c:pt idx="566">
                  <c:v>0.71400902570538527</c:v>
                </c:pt>
                <c:pt idx="567">
                  <c:v>0.71398724263961277</c:v>
                </c:pt>
                <c:pt idx="568">
                  <c:v>0.71396545992321414</c:v>
                </c:pt>
                <c:pt idx="569">
                  <c:v>0.71394367755619648</c:v>
                </c:pt>
                <c:pt idx="570">
                  <c:v>0.71392189553855268</c:v>
                </c:pt>
                <c:pt idx="571">
                  <c:v>0.71390011387027208</c:v>
                </c:pt>
                <c:pt idx="572">
                  <c:v>0.71387833255135824</c:v>
                </c:pt>
                <c:pt idx="573">
                  <c:v>0.71385655158180583</c:v>
                </c:pt>
                <c:pt idx="574">
                  <c:v>0.71383477096160064</c:v>
                </c:pt>
                <c:pt idx="575">
                  <c:v>0.71381299069075865</c:v>
                </c:pt>
                <c:pt idx="576">
                  <c:v>0.713791210769255</c:v>
                </c:pt>
                <c:pt idx="577">
                  <c:v>0.71376943119710035</c:v>
                </c:pt>
                <c:pt idx="578">
                  <c:v>0.71374765197427337</c:v>
                </c:pt>
                <c:pt idx="579">
                  <c:v>0.7137258731007865</c:v>
                </c:pt>
                <c:pt idx="580">
                  <c:v>0.71370409457663442</c:v>
                </c:pt>
                <c:pt idx="581">
                  <c:v>0.71368231640180646</c:v>
                </c:pt>
                <c:pt idx="582">
                  <c:v>0.71366053857629197</c:v>
                </c:pt>
                <c:pt idx="583">
                  <c:v>0.71363876110010693</c:v>
                </c:pt>
                <c:pt idx="584">
                  <c:v>0.71361698397322648</c:v>
                </c:pt>
                <c:pt idx="585">
                  <c:v>0.7135952071956595</c:v>
                </c:pt>
                <c:pt idx="586">
                  <c:v>0.71357343076738999</c:v>
                </c:pt>
                <c:pt idx="587">
                  <c:v>0.7135516546884304</c:v>
                </c:pt>
                <c:pt idx="588">
                  <c:v>0.71352987895875941</c:v>
                </c:pt>
                <c:pt idx="589">
                  <c:v>0.71350810357838412</c:v>
                </c:pt>
                <c:pt idx="590">
                  <c:v>0.71348632854730099</c:v>
                </c:pt>
                <c:pt idx="591">
                  <c:v>0.71346455386549401</c:v>
                </c:pt>
                <c:pt idx="592">
                  <c:v>0.71344277953297386</c:v>
                </c:pt>
                <c:pt idx="593">
                  <c:v>0.71342100554972632</c:v>
                </c:pt>
                <c:pt idx="594">
                  <c:v>0.71339923191574606</c:v>
                </c:pt>
                <c:pt idx="595">
                  <c:v>0.71337745863103841</c:v>
                </c:pt>
                <c:pt idx="596">
                  <c:v>0.71335568569559449</c:v>
                </c:pt>
                <c:pt idx="597">
                  <c:v>0.71333391310940542</c:v>
                </c:pt>
                <c:pt idx="598">
                  <c:v>0.71331214087246408</c:v>
                </c:pt>
                <c:pt idx="599">
                  <c:v>0.71329036898478293</c:v>
                </c:pt>
                <c:pt idx="600">
                  <c:v>0.71326859744634419</c:v>
                </c:pt>
                <c:pt idx="601">
                  <c:v>0.71324682625714786</c:v>
                </c:pt>
                <c:pt idx="602">
                  <c:v>0.71322505541718506</c:v>
                </c:pt>
                <c:pt idx="603">
                  <c:v>0.7132032849264629</c:v>
                </c:pt>
                <c:pt idx="604">
                  <c:v>0.71318151478496539</c:v>
                </c:pt>
                <c:pt idx="605">
                  <c:v>0.71315974499269075</c:v>
                </c:pt>
                <c:pt idx="606">
                  <c:v>0.71313797554964609</c:v>
                </c:pt>
                <c:pt idx="607">
                  <c:v>0.71311620645581364</c:v>
                </c:pt>
                <c:pt idx="608">
                  <c:v>0.71309443771118985</c:v>
                </c:pt>
                <c:pt idx="609">
                  <c:v>0.71307266931577296</c:v>
                </c:pt>
                <c:pt idx="610">
                  <c:v>0.71305090126956117</c:v>
                </c:pt>
                <c:pt idx="611">
                  <c:v>0.71302913357254916</c:v>
                </c:pt>
                <c:pt idx="612">
                  <c:v>0.71300736622473515</c:v>
                </c:pt>
                <c:pt idx="613">
                  <c:v>0.71298559922611204</c:v>
                </c:pt>
                <c:pt idx="614">
                  <c:v>0.71296383257667273</c:v>
                </c:pt>
                <c:pt idx="615">
                  <c:v>0.71294206627641898</c:v>
                </c:pt>
                <c:pt idx="616">
                  <c:v>0.7129203003253437</c:v>
                </c:pt>
                <c:pt idx="617">
                  <c:v>0.71289853472344333</c:v>
                </c:pt>
                <c:pt idx="618">
                  <c:v>0.71287676947071077</c:v>
                </c:pt>
                <c:pt idx="619">
                  <c:v>0.71285500456714423</c:v>
                </c:pt>
                <c:pt idx="620">
                  <c:v>0.71283324001274195</c:v>
                </c:pt>
                <c:pt idx="621">
                  <c:v>0.71281147580749682</c:v>
                </c:pt>
                <c:pt idx="622">
                  <c:v>0.7127897119514035</c:v>
                </c:pt>
                <c:pt idx="623">
                  <c:v>0.71276794844446023</c:v>
                </c:pt>
                <c:pt idx="624">
                  <c:v>0.71274618528666522</c:v>
                </c:pt>
                <c:pt idx="625">
                  <c:v>0.71272442247800605</c:v>
                </c:pt>
                <c:pt idx="626">
                  <c:v>0.71270266001848626</c:v>
                </c:pt>
                <c:pt idx="627">
                  <c:v>0.71268089790809519</c:v>
                </c:pt>
                <c:pt idx="628">
                  <c:v>0.71265913614683107</c:v>
                </c:pt>
                <c:pt idx="629">
                  <c:v>0.71263737473469746</c:v>
                </c:pt>
                <c:pt idx="630">
                  <c:v>0.71261561367167836</c:v>
                </c:pt>
                <c:pt idx="631">
                  <c:v>0.71259385295777733</c:v>
                </c:pt>
                <c:pt idx="632">
                  <c:v>0.71257209259298548</c:v>
                </c:pt>
                <c:pt idx="633">
                  <c:v>0.7125503325773046</c:v>
                </c:pt>
                <c:pt idx="634">
                  <c:v>0.71252857291072402</c:v>
                </c:pt>
                <c:pt idx="635">
                  <c:v>0.7125068135932402</c:v>
                </c:pt>
                <c:pt idx="636">
                  <c:v>0.71248505462485845</c:v>
                </c:pt>
                <c:pt idx="637">
                  <c:v>0.71246329600555924</c:v>
                </c:pt>
                <c:pt idx="638">
                  <c:v>0.71244153773534968</c:v>
                </c:pt>
                <c:pt idx="639">
                  <c:v>0.71241977981421911</c:v>
                </c:pt>
                <c:pt idx="640">
                  <c:v>0.71239802224217641</c:v>
                </c:pt>
                <c:pt idx="641">
                  <c:v>0.71237626501919848</c:v>
                </c:pt>
                <c:pt idx="642">
                  <c:v>0.71235450814528889</c:v>
                </c:pt>
                <c:pt idx="643">
                  <c:v>0.71233275162044052</c:v>
                </c:pt>
                <c:pt idx="644">
                  <c:v>0.71231099544466225</c:v>
                </c:pt>
                <c:pt idx="645">
                  <c:v>0.71228923961793456</c:v>
                </c:pt>
                <c:pt idx="646">
                  <c:v>0.71226748414026275</c:v>
                </c:pt>
                <c:pt idx="647">
                  <c:v>0.71224572901163619</c:v>
                </c:pt>
                <c:pt idx="648">
                  <c:v>0.71222397423205308</c:v>
                </c:pt>
                <c:pt idx="649">
                  <c:v>0.71220221980150988</c:v>
                </c:pt>
                <c:pt idx="650">
                  <c:v>0.71218046572000659</c:v>
                </c:pt>
                <c:pt idx="651">
                  <c:v>0.71215871198752545</c:v>
                </c:pt>
                <c:pt idx="652">
                  <c:v>0.71213695860408244</c:v>
                </c:pt>
                <c:pt idx="653">
                  <c:v>0.71211520556965979</c:v>
                </c:pt>
                <c:pt idx="654">
                  <c:v>0.71209345288425219</c:v>
                </c:pt>
                <c:pt idx="655">
                  <c:v>0.7120717005478614</c:v>
                </c:pt>
                <c:pt idx="656">
                  <c:v>0.71204994856048209</c:v>
                </c:pt>
                <c:pt idx="657">
                  <c:v>0.7120281969221125</c:v>
                </c:pt>
                <c:pt idx="658">
                  <c:v>0.71200644563274018</c:v>
                </c:pt>
                <c:pt idx="659">
                  <c:v>0.71198469469235803</c:v>
                </c:pt>
                <c:pt idx="660">
                  <c:v>0.71196294410098204</c:v>
                </c:pt>
                <c:pt idx="661">
                  <c:v>0.71194119385858912</c:v>
                </c:pt>
                <c:pt idx="662">
                  <c:v>0.71191944396518814</c:v>
                </c:pt>
                <c:pt idx="663">
                  <c:v>0.71189769442075956</c:v>
                </c:pt>
                <c:pt idx="664">
                  <c:v>0.7118759452253105</c:v>
                </c:pt>
                <c:pt idx="665">
                  <c:v>0.71185419637883207</c:v>
                </c:pt>
                <c:pt idx="666">
                  <c:v>0.71183244788132605</c:v>
                </c:pt>
                <c:pt idx="667">
                  <c:v>0.71181069973278177</c:v>
                </c:pt>
                <c:pt idx="668">
                  <c:v>0.71178895193319747</c:v>
                </c:pt>
                <c:pt idx="669">
                  <c:v>0.71176720448257136</c:v>
                </c:pt>
                <c:pt idx="670">
                  <c:v>0.71174545738089456</c:v>
                </c:pt>
                <c:pt idx="671">
                  <c:v>0.71172371062815998</c:v>
                </c:pt>
                <c:pt idx="672">
                  <c:v>0.7117019642243676</c:v>
                </c:pt>
                <c:pt idx="673">
                  <c:v>0.71168021816952809</c:v>
                </c:pt>
                <c:pt idx="674">
                  <c:v>0.71165847246361125</c:v>
                </c:pt>
                <c:pt idx="675">
                  <c:v>0.71163672710663128</c:v>
                </c:pt>
                <c:pt idx="676">
                  <c:v>0.71161498209857221</c:v>
                </c:pt>
                <c:pt idx="677">
                  <c:v>0.71159323743943759</c:v>
                </c:pt>
                <c:pt idx="678">
                  <c:v>0.71157149312922208</c:v>
                </c:pt>
                <c:pt idx="679">
                  <c:v>0.71154974916792035</c:v>
                </c:pt>
                <c:pt idx="680">
                  <c:v>0.71152800555552176</c:v>
                </c:pt>
                <c:pt idx="681">
                  <c:v>0.71150626229203695</c:v>
                </c:pt>
                <c:pt idx="682">
                  <c:v>0.71148451937744284</c:v>
                </c:pt>
                <c:pt idx="683">
                  <c:v>0.71146277681176073</c:v>
                </c:pt>
                <c:pt idx="684">
                  <c:v>0.71144103459495867</c:v>
                </c:pt>
                <c:pt idx="685">
                  <c:v>0.71141929272704729</c:v>
                </c:pt>
                <c:pt idx="686">
                  <c:v>0.71139755120801951</c:v>
                </c:pt>
                <c:pt idx="687">
                  <c:v>0.71137581003787353</c:v>
                </c:pt>
                <c:pt idx="688">
                  <c:v>0.71135406921660937</c:v>
                </c:pt>
                <c:pt idx="689">
                  <c:v>0.71133232874421104</c:v>
                </c:pt>
                <c:pt idx="690">
                  <c:v>0.71131058862067498</c:v>
                </c:pt>
                <c:pt idx="691">
                  <c:v>0.7112888488460154</c:v>
                </c:pt>
                <c:pt idx="692">
                  <c:v>0.7112671094202021</c:v>
                </c:pt>
                <c:pt idx="693">
                  <c:v>0.71124537034324753</c:v>
                </c:pt>
                <c:pt idx="694">
                  <c:v>0.71122363161514279</c:v>
                </c:pt>
                <c:pt idx="695">
                  <c:v>0.71120189323588789</c:v>
                </c:pt>
                <c:pt idx="696">
                  <c:v>0.7111801552054704</c:v>
                </c:pt>
                <c:pt idx="697">
                  <c:v>0.71115841752389208</c:v>
                </c:pt>
                <c:pt idx="698">
                  <c:v>0.71113668019115117</c:v>
                </c:pt>
                <c:pt idx="699">
                  <c:v>0.71111494320724233</c:v>
                </c:pt>
                <c:pt idx="700">
                  <c:v>0.71109320657214425</c:v>
                </c:pt>
                <c:pt idx="701">
                  <c:v>0.7110714702858747</c:v>
                </c:pt>
                <c:pt idx="702">
                  <c:v>0.71104973434842833</c:v>
                </c:pt>
                <c:pt idx="703">
                  <c:v>0.71102799875979272</c:v>
                </c:pt>
                <c:pt idx="704">
                  <c:v>0.71100626351996077</c:v>
                </c:pt>
                <c:pt idx="705">
                  <c:v>0.71098452862893247</c:v>
                </c:pt>
                <c:pt idx="706">
                  <c:v>0.71096279408670782</c:v>
                </c:pt>
                <c:pt idx="707">
                  <c:v>0.71094105989327616</c:v>
                </c:pt>
                <c:pt idx="708">
                  <c:v>0.71091932604863928</c:v>
                </c:pt>
                <c:pt idx="709">
                  <c:v>0.71089759255279006</c:v>
                </c:pt>
                <c:pt idx="710">
                  <c:v>0.71087585940572318</c:v>
                </c:pt>
                <c:pt idx="711">
                  <c:v>0.71085412660743685</c:v>
                </c:pt>
                <c:pt idx="712">
                  <c:v>0.71083239415791866</c:v>
                </c:pt>
                <c:pt idx="713">
                  <c:v>0.71081066205717569</c:v>
                </c:pt>
                <c:pt idx="714">
                  <c:v>0.71078893030519552</c:v>
                </c:pt>
                <c:pt idx="715">
                  <c:v>0.7107671989019817</c:v>
                </c:pt>
                <c:pt idx="716">
                  <c:v>0.71074546784753068</c:v>
                </c:pt>
                <c:pt idx="717">
                  <c:v>0.71072373714182291</c:v>
                </c:pt>
                <c:pt idx="718">
                  <c:v>0.71070200678487083</c:v>
                </c:pt>
                <c:pt idx="719">
                  <c:v>0.71068027677666024</c:v>
                </c:pt>
                <c:pt idx="720">
                  <c:v>0.7106585471171929</c:v>
                </c:pt>
                <c:pt idx="721">
                  <c:v>0.71063681780646881</c:v>
                </c:pt>
                <c:pt idx="722">
                  <c:v>0.71061508884446667</c:v>
                </c:pt>
                <c:pt idx="723">
                  <c:v>0.71059336023120423</c:v>
                </c:pt>
                <c:pt idx="724">
                  <c:v>0.71057163196666018</c:v>
                </c:pt>
                <c:pt idx="725">
                  <c:v>0.71054990405083451</c:v>
                </c:pt>
                <c:pt idx="726">
                  <c:v>0.71052817648372368</c:v>
                </c:pt>
                <c:pt idx="727">
                  <c:v>0.71050644926532769</c:v>
                </c:pt>
                <c:pt idx="728">
                  <c:v>0.71048472239563942</c:v>
                </c:pt>
                <c:pt idx="729">
                  <c:v>0.71046299587465001</c:v>
                </c:pt>
                <c:pt idx="730">
                  <c:v>0.71044126970236476</c:v>
                </c:pt>
                <c:pt idx="731">
                  <c:v>0.71041954387877482</c:v>
                </c:pt>
                <c:pt idx="732">
                  <c:v>0.71039781840387484</c:v>
                </c:pt>
                <c:pt idx="733">
                  <c:v>0.71037609327766482</c:v>
                </c:pt>
                <c:pt idx="734">
                  <c:v>0.71035436850013056</c:v>
                </c:pt>
                <c:pt idx="735">
                  <c:v>0.71033264407127916</c:v>
                </c:pt>
                <c:pt idx="736">
                  <c:v>0.71031091999109464</c:v>
                </c:pt>
                <c:pt idx="737">
                  <c:v>0.71028919625958764</c:v>
                </c:pt>
                <c:pt idx="738">
                  <c:v>0.71026747287674041</c:v>
                </c:pt>
                <c:pt idx="739">
                  <c:v>0.71024574984255651</c:v>
                </c:pt>
                <c:pt idx="740">
                  <c:v>0.71022402715703059</c:v>
                </c:pt>
                <c:pt idx="741">
                  <c:v>0.71020230482015556</c:v>
                </c:pt>
                <c:pt idx="742">
                  <c:v>0.71018058283192964</c:v>
                </c:pt>
                <c:pt idx="743">
                  <c:v>0.71015886119235105</c:v>
                </c:pt>
                <c:pt idx="744">
                  <c:v>0.71013713990140914</c:v>
                </c:pt>
                <c:pt idx="745">
                  <c:v>0.71011541895910568</c:v>
                </c:pt>
                <c:pt idx="746">
                  <c:v>0.71009369836543001</c:v>
                </c:pt>
                <c:pt idx="747">
                  <c:v>0.71007197812038925</c:v>
                </c:pt>
                <c:pt idx="748">
                  <c:v>0.71005025822397272</c:v>
                </c:pt>
                <c:pt idx="749">
                  <c:v>0.71002853867616444</c:v>
                </c:pt>
                <c:pt idx="750">
                  <c:v>0.71000681947698396</c:v>
                </c:pt>
                <c:pt idx="751">
                  <c:v>0.70998510062640108</c:v>
                </c:pt>
                <c:pt idx="752">
                  <c:v>0.70996338212443355</c:v>
                </c:pt>
                <c:pt idx="753">
                  <c:v>0.70994166397106362</c:v>
                </c:pt>
                <c:pt idx="754">
                  <c:v>0.70991994616629839</c:v>
                </c:pt>
                <c:pt idx="755">
                  <c:v>0.70989822871012365</c:v>
                </c:pt>
                <c:pt idx="756">
                  <c:v>0.7098765116025394</c:v>
                </c:pt>
                <c:pt idx="757">
                  <c:v>0.70985479484353853</c:v>
                </c:pt>
                <c:pt idx="758">
                  <c:v>0.70983307843312105</c:v>
                </c:pt>
                <c:pt idx="759">
                  <c:v>0.70981136237127807</c:v>
                </c:pt>
                <c:pt idx="760">
                  <c:v>0.70978964665801136</c:v>
                </c:pt>
                <c:pt idx="761">
                  <c:v>0.70976793129331384</c:v>
                </c:pt>
                <c:pt idx="762">
                  <c:v>0.70974621627717305</c:v>
                </c:pt>
                <c:pt idx="763">
                  <c:v>0.70972450160960499</c:v>
                </c:pt>
                <c:pt idx="764">
                  <c:v>0.70970278729058656</c:v>
                </c:pt>
                <c:pt idx="765">
                  <c:v>0.70968107332011776</c:v>
                </c:pt>
                <c:pt idx="766">
                  <c:v>0.70965935969820038</c:v>
                </c:pt>
                <c:pt idx="767">
                  <c:v>0.70963764642482197</c:v>
                </c:pt>
                <c:pt idx="768">
                  <c:v>0.70961593349998253</c:v>
                </c:pt>
                <c:pt idx="769">
                  <c:v>0.70959422092368385</c:v>
                </c:pt>
                <c:pt idx="770">
                  <c:v>0.70957250869591704</c:v>
                </c:pt>
                <c:pt idx="771">
                  <c:v>0.70955079681667144</c:v>
                </c:pt>
                <c:pt idx="772">
                  <c:v>0.70952908528595415</c:v>
                </c:pt>
                <c:pt idx="773">
                  <c:v>0.70950737410375275</c:v>
                </c:pt>
                <c:pt idx="774">
                  <c:v>0.70948566327006013</c:v>
                </c:pt>
                <c:pt idx="775">
                  <c:v>0.70946395278487984</c:v>
                </c:pt>
                <c:pt idx="776">
                  <c:v>0.7094422426482101</c:v>
                </c:pt>
                <c:pt idx="777">
                  <c:v>0.70942053286003848</c:v>
                </c:pt>
                <c:pt idx="778">
                  <c:v>0.7093988234203632</c:v>
                </c:pt>
                <c:pt idx="779">
                  <c:v>0.70937711432918071</c:v>
                </c:pt>
                <c:pt idx="780">
                  <c:v>0.70935540558648924</c:v>
                </c:pt>
                <c:pt idx="781">
                  <c:v>0.70933369719227812</c:v>
                </c:pt>
                <c:pt idx="782">
                  <c:v>0.70931198914655269</c:v>
                </c:pt>
                <c:pt idx="783">
                  <c:v>0.70929028144930051</c:v>
                </c:pt>
                <c:pt idx="784">
                  <c:v>0.70926857410052335</c:v>
                </c:pt>
                <c:pt idx="785">
                  <c:v>0.70924686710020879</c:v>
                </c:pt>
                <c:pt idx="786">
                  <c:v>0.70922516044836215</c:v>
                </c:pt>
                <c:pt idx="787">
                  <c:v>0.70920345414496744</c:v>
                </c:pt>
                <c:pt idx="788">
                  <c:v>0.70918174819003887</c:v>
                </c:pt>
                <c:pt idx="789">
                  <c:v>0.70916004258355692</c:v>
                </c:pt>
                <c:pt idx="790">
                  <c:v>0.70913833732551623</c:v>
                </c:pt>
                <c:pt idx="791">
                  <c:v>0.70911663241592571</c:v>
                </c:pt>
                <c:pt idx="792">
                  <c:v>0.70909492785477291</c:v>
                </c:pt>
                <c:pt idx="793">
                  <c:v>0.70907322364205072</c:v>
                </c:pt>
                <c:pt idx="794">
                  <c:v>0.7090515197777556</c:v>
                </c:pt>
                <c:pt idx="795">
                  <c:v>0.70902981626189288</c:v>
                </c:pt>
                <c:pt idx="796">
                  <c:v>0.70900811309444833</c:v>
                </c:pt>
                <c:pt idx="797">
                  <c:v>0.70898641027542553</c:v>
                </c:pt>
                <c:pt idx="798">
                  <c:v>0.70896470780481202</c:v>
                </c:pt>
                <c:pt idx="799">
                  <c:v>0.70894300568261137</c:v>
                </c:pt>
                <c:pt idx="800">
                  <c:v>0.70892130390880581</c:v>
                </c:pt>
                <c:pt idx="801">
                  <c:v>0.70889960248341133</c:v>
                </c:pt>
                <c:pt idx="802">
                  <c:v>0.70887790140641016</c:v>
                </c:pt>
                <c:pt idx="803">
                  <c:v>0.70885620067780053</c:v>
                </c:pt>
                <c:pt idx="804">
                  <c:v>0.70883450029757533</c:v>
                </c:pt>
                <c:pt idx="805">
                  <c:v>0.7088128002657399</c:v>
                </c:pt>
                <c:pt idx="806">
                  <c:v>0.70879110058227646</c:v>
                </c:pt>
                <c:pt idx="807">
                  <c:v>0.7087694012471939</c:v>
                </c:pt>
                <c:pt idx="808">
                  <c:v>0.70874770226048511</c:v>
                </c:pt>
                <c:pt idx="809">
                  <c:v>0.70872600362213589</c:v>
                </c:pt>
                <c:pt idx="810">
                  <c:v>0.70870430533215512</c:v>
                </c:pt>
                <c:pt idx="811">
                  <c:v>0.70868260739052857</c:v>
                </c:pt>
                <c:pt idx="812">
                  <c:v>0.70866090979725982</c:v>
                </c:pt>
                <c:pt idx="813">
                  <c:v>0.70863921255233819</c:v>
                </c:pt>
                <c:pt idx="814">
                  <c:v>0.70861751565576192</c:v>
                </c:pt>
                <c:pt idx="815">
                  <c:v>0.70859581910752922</c:v>
                </c:pt>
                <c:pt idx="816">
                  <c:v>0.70857412290763477</c:v>
                </c:pt>
                <c:pt idx="817">
                  <c:v>0.70855242705606969</c:v>
                </c:pt>
                <c:pt idx="818">
                  <c:v>0.70853073155283575</c:v>
                </c:pt>
                <c:pt idx="819">
                  <c:v>0.70850903639793117</c:v>
                </c:pt>
                <c:pt idx="820">
                  <c:v>0.7084873415913453</c:v>
                </c:pt>
                <c:pt idx="821">
                  <c:v>0.70846564713307458</c:v>
                </c:pt>
                <c:pt idx="822">
                  <c:v>0.70844395302311547</c:v>
                </c:pt>
                <c:pt idx="823">
                  <c:v>0.70842225926146796</c:v>
                </c:pt>
                <c:pt idx="824">
                  <c:v>0.70840056584811961</c:v>
                </c:pt>
                <c:pt idx="825">
                  <c:v>0.70837887278307043</c:v>
                </c:pt>
                <c:pt idx="826">
                  <c:v>0.70835718006632042</c:v>
                </c:pt>
                <c:pt idx="827">
                  <c:v>0.70833548769785537</c:v>
                </c:pt>
                <c:pt idx="828">
                  <c:v>0.70831379567768238</c:v>
                </c:pt>
                <c:pt idx="829">
                  <c:v>0.70829210400578901</c:v>
                </c:pt>
                <c:pt idx="830">
                  <c:v>0.70827041268217528</c:v>
                </c:pt>
                <c:pt idx="831">
                  <c:v>0.70824872170683761</c:v>
                </c:pt>
                <c:pt idx="832">
                  <c:v>0.70822703107977247</c:v>
                </c:pt>
                <c:pt idx="833">
                  <c:v>0.70820534080096742</c:v>
                </c:pt>
                <c:pt idx="834">
                  <c:v>0.70818365087042601</c:v>
                </c:pt>
                <c:pt idx="835">
                  <c:v>0.70816196128814823</c:v>
                </c:pt>
                <c:pt idx="836">
                  <c:v>0.70814027205411989</c:v>
                </c:pt>
                <c:pt idx="837">
                  <c:v>0.7081185831683392</c:v>
                </c:pt>
                <c:pt idx="838">
                  <c:v>0.70809689463080616</c:v>
                </c:pt>
                <c:pt idx="839">
                  <c:v>0.70807520644150479</c:v>
                </c:pt>
                <c:pt idx="840">
                  <c:v>0.70805351860045285</c:v>
                </c:pt>
                <c:pt idx="841">
                  <c:v>0.70803183110762191</c:v>
                </c:pt>
                <c:pt idx="842">
                  <c:v>0.7080101439630262</c:v>
                </c:pt>
                <c:pt idx="843">
                  <c:v>0.70798845716665504</c:v>
                </c:pt>
                <c:pt idx="844">
                  <c:v>0.70796677071849956</c:v>
                </c:pt>
                <c:pt idx="845">
                  <c:v>0.70794508461855798</c:v>
                </c:pt>
                <c:pt idx="846">
                  <c:v>0.70792339886683031</c:v>
                </c:pt>
                <c:pt idx="847">
                  <c:v>0.70790171346331121</c:v>
                </c:pt>
                <c:pt idx="848">
                  <c:v>0.70788002840799358</c:v>
                </c:pt>
                <c:pt idx="849">
                  <c:v>0.70785834370087564</c:v>
                </c:pt>
                <c:pt idx="850">
                  <c:v>0.70783665934195028</c:v>
                </c:pt>
                <c:pt idx="851">
                  <c:v>0.70781497533122284</c:v>
                </c:pt>
                <c:pt idx="852">
                  <c:v>0.70779329166867733</c:v>
                </c:pt>
                <c:pt idx="853">
                  <c:v>0.70777160835430308</c:v>
                </c:pt>
                <c:pt idx="854">
                  <c:v>0.70774992538811787</c:v>
                </c:pt>
                <c:pt idx="855">
                  <c:v>0.70772824277010038</c:v>
                </c:pt>
                <c:pt idx="856">
                  <c:v>0.70770656050025593</c:v>
                </c:pt>
                <c:pt idx="857">
                  <c:v>0.70768487857857565</c:v>
                </c:pt>
                <c:pt idx="858">
                  <c:v>0.70766319700505242</c:v>
                </c:pt>
                <c:pt idx="859">
                  <c:v>0.70764151577969336</c:v>
                </c:pt>
                <c:pt idx="860">
                  <c:v>0.70761983490248426</c:v>
                </c:pt>
                <c:pt idx="861">
                  <c:v>0.70759815437341977</c:v>
                </c:pt>
                <c:pt idx="862">
                  <c:v>0.70757647419250169</c:v>
                </c:pt>
                <c:pt idx="863">
                  <c:v>0.70755479435972468</c:v>
                </c:pt>
                <c:pt idx="864">
                  <c:v>0.70753311487508341</c:v>
                </c:pt>
                <c:pt idx="865">
                  <c:v>0.70751143573856901</c:v>
                </c:pt>
                <c:pt idx="866">
                  <c:v>0.70748975695018501</c:v>
                </c:pt>
                <c:pt idx="867">
                  <c:v>0.70746807850992433</c:v>
                </c:pt>
                <c:pt idx="868">
                  <c:v>0.70744640041778339</c:v>
                </c:pt>
                <c:pt idx="869">
                  <c:v>0.70742472267375511</c:v>
                </c:pt>
                <c:pt idx="870">
                  <c:v>0.70740304527783771</c:v>
                </c:pt>
                <c:pt idx="871">
                  <c:v>0.70738136823002407</c:v>
                </c:pt>
                <c:pt idx="872">
                  <c:v>0.70735969153031419</c:v>
                </c:pt>
                <c:pt idx="873">
                  <c:v>0.70733801517870454</c:v>
                </c:pt>
                <c:pt idx="874">
                  <c:v>0.70731633917518444</c:v>
                </c:pt>
                <c:pt idx="875">
                  <c:v>0.70729466351975745</c:v>
                </c:pt>
                <c:pt idx="876">
                  <c:v>0.70727298821241114</c:v>
                </c:pt>
                <c:pt idx="877">
                  <c:v>0.70725131325314905</c:v>
                </c:pt>
                <c:pt idx="878">
                  <c:v>0.70722963864196586</c:v>
                </c:pt>
                <c:pt idx="879">
                  <c:v>0.70720796437885447</c:v>
                </c:pt>
                <c:pt idx="880">
                  <c:v>0.70718629046380777</c:v>
                </c:pt>
                <c:pt idx="881">
                  <c:v>0.70716461689682575</c:v>
                </c:pt>
                <c:pt idx="882">
                  <c:v>0.70714294367790487</c:v>
                </c:pt>
                <c:pt idx="883">
                  <c:v>0.70712127080703979</c:v>
                </c:pt>
                <c:pt idx="884">
                  <c:v>0.70709959828422519</c:v>
                </c:pt>
                <c:pt idx="885">
                  <c:v>0.70707792610945752</c:v>
                </c:pt>
                <c:pt idx="886">
                  <c:v>0.70705625428273677</c:v>
                </c:pt>
                <c:pt idx="887">
                  <c:v>0.70703458280405407</c:v>
                </c:pt>
                <c:pt idx="888">
                  <c:v>0.70701291167340585</c:v>
                </c:pt>
                <c:pt idx="889">
                  <c:v>0.70699124089078502</c:v>
                </c:pt>
                <c:pt idx="890">
                  <c:v>0.70696957045619158</c:v>
                </c:pt>
                <c:pt idx="891">
                  <c:v>0.70694790036962374</c:v>
                </c:pt>
                <c:pt idx="892">
                  <c:v>0.70692623063107085</c:v>
                </c:pt>
                <c:pt idx="893">
                  <c:v>0.70690456124052936</c:v>
                </c:pt>
                <c:pt idx="894">
                  <c:v>0.70688289219800104</c:v>
                </c:pt>
                <c:pt idx="895">
                  <c:v>0.70686122350347702</c:v>
                </c:pt>
                <c:pt idx="896">
                  <c:v>0.70683955515695374</c:v>
                </c:pt>
                <c:pt idx="897">
                  <c:v>0.70681788715842764</c:v>
                </c:pt>
                <c:pt idx="898">
                  <c:v>0.7067962195078934</c:v>
                </c:pt>
                <c:pt idx="899">
                  <c:v>0.70677455220535279</c:v>
                </c:pt>
                <c:pt idx="900">
                  <c:v>0.70675288525079161</c:v>
                </c:pt>
                <c:pt idx="901">
                  <c:v>0.70673121864420985</c:v>
                </c:pt>
                <c:pt idx="902">
                  <c:v>0.70670955238560573</c:v>
                </c:pt>
                <c:pt idx="903">
                  <c:v>0.70668788647497394</c:v>
                </c:pt>
                <c:pt idx="904">
                  <c:v>0.70666622091230913</c:v>
                </c:pt>
                <c:pt idx="905">
                  <c:v>0.70664455569760953</c:v>
                </c:pt>
                <c:pt idx="906">
                  <c:v>0.70662289083086272</c:v>
                </c:pt>
                <c:pt idx="907">
                  <c:v>0.70660122631207933</c:v>
                </c:pt>
                <c:pt idx="908">
                  <c:v>0.70657956214123629</c:v>
                </c:pt>
                <c:pt idx="909">
                  <c:v>0.70655789831834426</c:v>
                </c:pt>
                <c:pt idx="910">
                  <c:v>0.70653623484339434</c:v>
                </c:pt>
                <c:pt idx="911">
                  <c:v>0.70651457171638476</c:v>
                </c:pt>
                <c:pt idx="912">
                  <c:v>0.7064929089373031</c:v>
                </c:pt>
                <c:pt idx="913">
                  <c:v>0.70647124650615467</c:v>
                </c:pt>
                <c:pt idx="914">
                  <c:v>0.70644958442293593</c:v>
                </c:pt>
                <c:pt idx="915">
                  <c:v>0.70642792268763266</c:v>
                </c:pt>
                <c:pt idx="916">
                  <c:v>0.70640626130025019</c:v>
                </c:pt>
                <c:pt idx="917">
                  <c:v>0.70638460026077965</c:v>
                </c:pt>
                <c:pt idx="918">
                  <c:v>0.70636293956921214</c:v>
                </c:pt>
                <c:pt idx="919">
                  <c:v>0.70634127922555656</c:v>
                </c:pt>
                <c:pt idx="920">
                  <c:v>0.70631961922979691</c:v>
                </c:pt>
                <c:pt idx="921">
                  <c:v>0.70629795958193142</c:v>
                </c:pt>
                <c:pt idx="922">
                  <c:v>0.70627630028196364</c:v>
                </c:pt>
                <c:pt idx="923">
                  <c:v>0.70625464132987936</c:v>
                </c:pt>
                <c:pt idx="924">
                  <c:v>0.70623298272567681</c:v>
                </c:pt>
                <c:pt idx="925">
                  <c:v>0.70621132446935775</c:v>
                </c:pt>
                <c:pt idx="926">
                  <c:v>0.70618966656091509</c:v>
                </c:pt>
                <c:pt idx="927">
                  <c:v>0.70616800900034171</c:v>
                </c:pt>
                <c:pt idx="928">
                  <c:v>0.70614635178762875</c:v>
                </c:pt>
                <c:pt idx="929">
                  <c:v>0.70612469492278507</c:v>
                </c:pt>
                <c:pt idx="930">
                  <c:v>0.70610303840579469</c:v>
                </c:pt>
                <c:pt idx="931">
                  <c:v>0.70608138223666117</c:v>
                </c:pt>
                <c:pt idx="932">
                  <c:v>0.70605972641537385</c:v>
                </c:pt>
                <c:pt idx="933">
                  <c:v>0.70603807094193627</c:v>
                </c:pt>
                <c:pt idx="934">
                  <c:v>0.70601641581633601</c:v>
                </c:pt>
                <c:pt idx="935">
                  <c:v>0.70599476103858017</c:v>
                </c:pt>
                <c:pt idx="936">
                  <c:v>0.70597310660864743</c:v>
                </c:pt>
                <c:pt idx="937">
                  <c:v>0.70595145252655556</c:v>
                </c:pt>
                <c:pt idx="938">
                  <c:v>0.70592979879227968</c:v>
                </c:pt>
                <c:pt idx="939">
                  <c:v>0.70590814540582514</c:v>
                </c:pt>
                <c:pt idx="940">
                  <c:v>0.70588649236718837</c:v>
                </c:pt>
                <c:pt idx="941">
                  <c:v>0.70586483967635871</c:v>
                </c:pt>
                <c:pt idx="942">
                  <c:v>0.70584318733334328</c:v>
                </c:pt>
                <c:pt idx="943">
                  <c:v>0.70582153533812786</c:v>
                </c:pt>
                <c:pt idx="944">
                  <c:v>0.705799883690716</c:v>
                </c:pt>
                <c:pt idx="945">
                  <c:v>0.70577823239108994</c:v>
                </c:pt>
                <c:pt idx="946">
                  <c:v>0.70575658143926212</c:v>
                </c:pt>
                <c:pt idx="947">
                  <c:v>0.70573493083521832</c:v>
                </c:pt>
                <c:pt idx="948">
                  <c:v>0.70571328057895677</c:v>
                </c:pt>
                <c:pt idx="949">
                  <c:v>0.70569163067048102</c:v>
                </c:pt>
                <c:pt idx="950">
                  <c:v>0.70566998110976975</c:v>
                </c:pt>
                <c:pt idx="951">
                  <c:v>0.7056483318968354</c:v>
                </c:pt>
                <c:pt idx="952">
                  <c:v>0.70562668303165665</c:v>
                </c:pt>
                <c:pt idx="953">
                  <c:v>0.70560503451424772</c:v>
                </c:pt>
                <c:pt idx="954">
                  <c:v>0.70558338634459261</c:v>
                </c:pt>
                <c:pt idx="955">
                  <c:v>0.70556173852269666</c:v>
                </c:pt>
                <c:pt idx="956">
                  <c:v>0.70554009104854387</c:v>
                </c:pt>
                <c:pt idx="957">
                  <c:v>0.70551844392213781</c:v>
                </c:pt>
                <c:pt idx="958">
                  <c:v>0.70549679714346958</c:v>
                </c:pt>
                <c:pt idx="959">
                  <c:v>0.70547515071253919</c:v>
                </c:pt>
                <c:pt idx="960">
                  <c:v>0.70545350462934131</c:v>
                </c:pt>
                <c:pt idx="961">
                  <c:v>0.70543185889386706</c:v>
                </c:pt>
                <c:pt idx="962">
                  <c:v>0.70541021350612176</c:v>
                </c:pt>
                <c:pt idx="963">
                  <c:v>0.70538856846608766</c:v>
                </c:pt>
                <c:pt idx="964">
                  <c:v>0.70536692377378252</c:v>
                </c:pt>
                <c:pt idx="965">
                  <c:v>0.70534527942917791</c:v>
                </c:pt>
                <c:pt idx="966">
                  <c:v>0.70532363543228094</c:v>
                </c:pt>
                <c:pt idx="967">
                  <c:v>0.70530199178308806</c:v>
                </c:pt>
                <c:pt idx="968">
                  <c:v>0.70528034848159393</c:v>
                </c:pt>
                <c:pt idx="969">
                  <c:v>0.70525870552779502</c:v>
                </c:pt>
                <c:pt idx="970">
                  <c:v>0.7052370629216842</c:v>
                </c:pt>
                <c:pt idx="971">
                  <c:v>0.70521542066326326</c:v>
                </c:pt>
                <c:pt idx="972">
                  <c:v>0.70519377875251621</c:v>
                </c:pt>
                <c:pt idx="973">
                  <c:v>0.70517213718945015</c:v>
                </c:pt>
                <c:pt idx="974">
                  <c:v>0.70515049597405799</c:v>
                </c:pt>
                <c:pt idx="975">
                  <c:v>0.70512885510633794</c:v>
                </c:pt>
                <c:pt idx="976">
                  <c:v>0.70510721458627579</c:v>
                </c:pt>
                <c:pt idx="977">
                  <c:v>0.7050855744138822</c:v>
                </c:pt>
                <c:pt idx="978">
                  <c:v>0.70506393458914651</c:v>
                </c:pt>
                <c:pt idx="979">
                  <c:v>0.70504229511204919</c:v>
                </c:pt>
                <c:pt idx="980">
                  <c:v>0.70502065598261332</c:v>
                </c:pt>
                <c:pt idx="981">
                  <c:v>0.70499901720081404</c:v>
                </c:pt>
                <c:pt idx="982">
                  <c:v>0.704977378766662</c:v>
                </c:pt>
                <c:pt idx="983">
                  <c:v>0.70495574068013589</c:v>
                </c:pt>
                <c:pt idx="984">
                  <c:v>0.70493410294124637</c:v>
                </c:pt>
                <c:pt idx="985">
                  <c:v>0.70491246554998455</c:v>
                </c:pt>
                <c:pt idx="986">
                  <c:v>0.704890828506338</c:v>
                </c:pt>
                <c:pt idx="987">
                  <c:v>0.70486919181031382</c:v>
                </c:pt>
                <c:pt idx="988">
                  <c:v>0.70484755546190492</c:v>
                </c:pt>
                <c:pt idx="989">
                  <c:v>0.70482591946111128</c:v>
                </c:pt>
                <c:pt idx="990">
                  <c:v>0.70480428380791516</c:v>
                </c:pt>
                <c:pt idx="991">
                  <c:v>0.70478264850232364</c:v>
                </c:pt>
                <c:pt idx="992">
                  <c:v>0.70476101354432963</c:v>
                </c:pt>
                <c:pt idx="993">
                  <c:v>0.70473937893393135</c:v>
                </c:pt>
                <c:pt idx="994">
                  <c:v>0.70471774467111814</c:v>
                </c:pt>
                <c:pt idx="995">
                  <c:v>0.70469611075588823</c:v>
                </c:pt>
                <c:pt idx="996">
                  <c:v>0.70467447718824872</c:v>
                </c:pt>
                <c:pt idx="997">
                  <c:v>0.70465284396818006</c:v>
                </c:pt>
                <c:pt idx="998">
                  <c:v>0.7046312110956805</c:v>
                </c:pt>
                <c:pt idx="999">
                  <c:v>0.70460957857075357</c:v>
                </c:pt>
                <c:pt idx="1000">
                  <c:v>0.7045879463933904</c:v>
                </c:pt>
              </c:numCache>
            </c:numRef>
          </c:yVal>
          <c:smooth val="0"/>
          <c:extLst>
            <c:ext xmlns:c16="http://schemas.microsoft.com/office/drawing/2014/chart" uri="{C3380CC4-5D6E-409C-BE32-E72D297353CC}">
              <c16:uniqueId val="{00000000-BDD6-4E9B-9AFA-2396233049A9}"/>
            </c:ext>
          </c:extLst>
        </c:ser>
        <c:ser>
          <c:idx val="1"/>
          <c:order val="1"/>
          <c:tx>
            <c:strRef>
              <c:f>Courbes!$B$138</c:f>
              <c:strCache>
                <c:ptCount val="1"/>
                <c:pt idx="0">
                  <c:v>Charge vue par un capteur</c:v>
                </c:pt>
              </c:strCache>
            </c:strRef>
          </c:tx>
          <c:spPr>
            <a:ln w="25400">
              <a:solidFill>
                <a:srgbClr val="008000"/>
              </a:solidFill>
              <a:prstDash val="solid"/>
            </a:ln>
          </c:spPr>
          <c:marker>
            <c:symbol val="none"/>
          </c:marker>
          <c:xVal>
            <c:numRef>
              <c:f>Calculs!$B$4:$B$1004</c:f>
              <c:numCache>
                <c:formatCode>0.00</c:formatCode>
                <c:ptCount val="1001"/>
                <c:pt idx="0">
                  <c:v>3.2</c:v>
                </c:pt>
                <c:pt idx="1">
                  <c:v>3.21</c:v>
                </c:pt>
                <c:pt idx="2">
                  <c:v>3.2199999999999998</c:v>
                </c:pt>
                <c:pt idx="3">
                  <c:v>3.2299999999999995</c:v>
                </c:pt>
                <c:pt idx="4">
                  <c:v>3.2399999999999993</c:v>
                </c:pt>
                <c:pt idx="5">
                  <c:v>3.2499999999999991</c:v>
                </c:pt>
                <c:pt idx="6">
                  <c:v>3.2599999999999989</c:v>
                </c:pt>
                <c:pt idx="7">
                  <c:v>3.2699999999999987</c:v>
                </c:pt>
                <c:pt idx="8">
                  <c:v>3.2799999999999985</c:v>
                </c:pt>
                <c:pt idx="9">
                  <c:v>3.2899999999999983</c:v>
                </c:pt>
                <c:pt idx="10">
                  <c:v>3.299999999999998</c:v>
                </c:pt>
                <c:pt idx="11">
                  <c:v>3.3099999999999978</c:v>
                </c:pt>
                <c:pt idx="12">
                  <c:v>3.3199999999999976</c:v>
                </c:pt>
                <c:pt idx="13">
                  <c:v>3.3299999999999974</c:v>
                </c:pt>
                <c:pt idx="14">
                  <c:v>3.3399999999999972</c:v>
                </c:pt>
                <c:pt idx="15">
                  <c:v>3.349999999999997</c:v>
                </c:pt>
                <c:pt idx="16">
                  <c:v>3.3599999999999968</c:v>
                </c:pt>
                <c:pt idx="17">
                  <c:v>3.3699999999999966</c:v>
                </c:pt>
                <c:pt idx="18">
                  <c:v>3.3799999999999963</c:v>
                </c:pt>
                <c:pt idx="19">
                  <c:v>3.3899999999999961</c:v>
                </c:pt>
                <c:pt idx="20">
                  <c:v>3.3999999999999959</c:v>
                </c:pt>
                <c:pt idx="21">
                  <c:v>3.4099999999999957</c:v>
                </c:pt>
                <c:pt idx="22">
                  <c:v>3.4199999999999955</c:v>
                </c:pt>
                <c:pt idx="23">
                  <c:v>3.4299999999999953</c:v>
                </c:pt>
                <c:pt idx="24">
                  <c:v>3.4399999999999951</c:v>
                </c:pt>
                <c:pt idx="25">
                  <c:v>3.4499999999999948</c:v>
                </c:pt>
                <c:pt idx="26">
                  <c:v>3.4599999999999946</c:v>
                </c:pt>
                <c:pt idx="27">
                  <c:v>3.4699999999999944</c:v>
                </c:pt>
                <c:pt idx="28">
                  <c:v>3.4799999999999942</c:v>
                </c:pt>
                <c:pt idx="29">
                  <c:v>3.489999999999994</c:v>
                </c:pt>
                <c:pt idx="30">
                  <c:v>3.4999999999999938</c:v>
                </c:pt>
                <c:pt idx="31">
                  <c:v>3.5099999999999936</c:v>
                </c:pt>
                <c:pt idx="32">
                  <c:v>3.5199999999999934</c:v>
                </c:pt>
                <c:pt idx="33">
                  <c:v>3.5299999999999931</c:v>
                </c:pt>
                <c:pt idx="34">
                  <c:v>3.5399999999999929</c:v>
                </c:pt>
                <c:pt idx="35">
                  <c:v>3.5499999999999927</c:v>
                </c:pt>
                <c:pt idx="36">
                  <c:v>3.5599999999999925</c:v>
                </c:pt>
                <c:pt idx="37">
                  <c:v>3.5699999999999923</c:v>
                </c:pt>
                <c:pt idx="38">
                  <c:v>3.5799999999999921</c:v>
                </c:pt>
                <c:pt idx="39">
                  <c:v>3.5899999999999919</c:v>
                </c:pt>
                <c:pt idx="40">
                  <c:v>3.5999999999999917</c:v>
                </c:pt>
                <c:pt idx="41">
                  <c:v>3.6099999999999914</c:v>
                </c:pt>
                <c:pt idx="42">
                  <c:v>3.6199999999999912</c:v>
                </c:pt>
                <c:pt idx="43">
                  <c:v>3.629999999999991</c:v>
                </c:pt>
                <c:pt idx="44">
                  <c:v>3.6399999999999908</c:v>
                </c:pt>
                <c:pt idx="45">
                  <c:v>3.6499999999999906</c:v>
                </c:pt>
                <c:pt idx="46">
                  <c:v>3.6599999999999904</c:v>
                </c:pt>
                <c:pt idx="47">
                  <c:v>3.6699999999999902</c:v>
                </c:pt>
                <c:pt idx="48">
                  <c:v>3.6799999999999899</c:v>
                </c:pt>
                <c:pt idx="49">
                  <c:v>3.6899999999999897</c:v>
                </c:pt>
                <c:pt idx="50">
                  <c:v>3.6999999999999895</c:v>
                </c:pt>
                <c:pt idx="51">
                  <c:v>3.7099999999999893</c:v>
                </c:pt>
                <c:pt idx="52">
                  <c:v>3.7199999999999891</c:v>
                </c:pt>
                <c:pt idx="53">
                  <c:v>3.7299999999999889</c:v>
                </c:pt>
                <c:pt idx="54">
                  <c:v>3.7399999999999887</c:v>
                </c:pt>
                <c:pt idx="55">
                  <c:v>3.7499999999999885</c:v>
                </c:pt>
                <c:pt idx="56">
                  <c:v>3.7599999999999882</c:v>
                </c:pt>
                <c:pt idx="57">
                  <c:v>3.769999999999988</c:v>
                </c:pt>
                <c:pt idx="58">
                  <c:v>3.7799999999999878</c:v>
                </c:pt>
                <c:pt idx="59">
                  <c:v>3.7899999999999876</c:v>
                </c:pt>
                <c:pt idx="60">
                  <c:v>3.7999999999999874</c:v>
                </c:pt>
                <c:pt idx="61">
                  <c:v>3.8099999999999872</c:v>
                </c:pt>
                <c:pt idx="62">
                  <c:v>3.819999999999987</c:v>
                </c:pt>
                <c:pt idx="63">
                  <c:v>3.8299999999999867</c:v>
                </c:pt>
                <c:pt idx="64">
                  <c:v>3.8399999999999865</c:v>
                </c:pt>
                <c:pt idx="65">
                  <c:v>3.8499999999999863</c:v>
                </c:pt>
                <c:pt idx="66">
                  <c:v>3.8599999999999861</c:v>
                </c:pt>
                <c:pt idx="67">
                  <c:v>3.8699999999999859</c:v>
                </c:pt>
                <c:pt idx="68">
                  <c:v>3.8799999999999857</c:v>
                </c:pt>
                <c:pt idx="69">
                  <c:v>3.8899999999999855</c:v>
                </c:pt>
                <c:pt idx="70">
                  <c:v>3.8999999999999853</c:v>
                </c:pt>
                <c:pt idx="71">
                  <c:v>3.909999999999985</c:v>
                </c:pt>
                <c:pt idx="72">
                  <c:v>3.9199999999999848</c:v>
                </c:pt>
                <c:pt idx="73">
                  <c:v>3.9299999999999846</c:v>
                </c:pt>
                <c:pt idx="74">
                  <c:v>3.9399999999999844</c:v>
                </c:pt>
                <c:pt idx="75">
                  <c:v>3.9499999999999842</c:v>
                </c:pt>
                <c:pt idx="76">
                  <c:v>3.959999999999984</c:v>
                </c:pt>
                <c:pt idx="77">
                  <c:v>3.9699999999999838</c:v>
                </c:pt>
                <c:pt idx="78">
                  <c:v>3.9799999999999836</c:v>
                </c:pt>
                <c:pt idx="79">
                  <c:v>3.9899999999999833</c:v>
                </c:pt>
                <c:pt idx="80">
                  <c:v>3.9999999999999831</c:v>
                </c:pt>
                <c:pt idx="81">
                  <c:v>4.0099999999999829</c:v>
                </c:pt>
                <c:pt idx="82">
                  <c:v>4.0199999999999827</c:v>
                </c:pt>
                <c:pt idx="83">
                  <c:v>4.0299999999999825</c:v>
                </c:pt>
                <c:pt idx="84">
                  <c:v>4.0399999999999823</c:v>
                </c:pt>
                <c:pt idx="85">
                  <c:v>4.0499999999999821</c:v>
                </c:pt>
                <c:pt idx="86">
                  <c:v>4.0599999999999818</c:v>
                </c:pt>
                <c:pt idx="87">
                  <c:v>4.0699999999999816</c:v>
                </c:pt>
                <c:pt idx="88">
                  <c:v>4.0799999999999814</c:v>
                </c:pt>
                <c:pt idx="89">
                  <c:v>4.0899999999999812</c:v>
                </c:pt>
                <c:pt idx="90">
                  <c:v>4.099999999999981</c:v>
                </c:pt>
                <c:pt idx="91">
                  <c:v>4.1099999999999808</c:v>
                </c:pt>
                <c:pt idx="92">
                  <c:v>4.1199999999999806</c:v>
                </c:pt>
                <c:pt idx="93">
                  <c:v>4.1299999999999804</c:v>
                </c:pt>
                <c:pt idx="94">
                  <c:v>4.1399999999999801</c:v>
                </c:pt>
                <c:pt idx="95">
                  <c:v>4.1499999999999799</c:v>
                </c:pt>
                <c:pt idx="96">
                  <c:v>4.1599999999999797</c:v>
                </c:pt>
                <c:pt idx="97">
                  <c:v>4.1699999999999795</c:v>
                </c:pt>
                <c:pt idx="98">
                  <c:v>4.1799999999999793</c:v>
                </c:pt>
                <c:pt idx="99">
                  <c:v>4.1899999999999791</c:v>
                </c:pt>
                <c:pt idx="100">
                  <c:v>4.1999999999999789</c:v>
                </c:pt>
                <c:pt idx="101">
                  <c:v>4.2999999999999785</c:v>
                </c:pt>
                <c:pt idx="102">
                  <c:v>4.3999999999999782</c:v>
                </c:pt>
                <c:pt idx="103">
                  <c:v>4.4999999999999778</c:v>
                </c:pt>
                <c:pt idx="104">
                  <c:v>4.5999999999999774</c:v>
                </c:pt>
                <c:pt idx="105">
                  <c:v>4.6999999999999771</c:v>
                </c:pt>
                <c:pt idx="106">
                  <c:v>4.7999999999999767</c:v>
                </c:pt>
                <c:pt idx="107">
                  <c:v>4.8999999999999764</c:v>
                </c:pt>
                <c:pt idx="108">
                  <c:v>4.999999999999976</c:v>
                </c:pt>
                <c:pt idx="109">
                  <c:v>5.0999999999999757</c:v>
                </c:pt>
                <c:pt idx="110">
                  <c:v>5.1999999999999753</c:v>
                </c:pt>
                <c:pt idx="111">
                  <c:v>5.299999999999975</c:v>
                </c:pt>
                <c:pt idx="112">
                  <c:v>5.3999999999999746</c:v>
                </c:pt>
                <c:pt idx="113">
                  <c:v>5.4999999999999742</c:v>
                </c:pt>
                <c:pt idx="114">
                  <c:v>5.5999999999999739</c:v>
                </c:pt>
                <c:pt idx="115">
                  <c:v>5.6999999999999735</c:v>
                </c:pt>
                <c:pt idx="116">
                  <c:v>5.7999999999999732</c:v>
                </c:pt>
                <c:pt idx="117">
                  <c:v>5.8999999999999728</c:v>
                </c:pt>
                <c:pt idx="118">
                  <c:v>5.9999999999999725</c:v>
                </c:pt>
                <c:pt idx="119">
                  <c:v>6.0999999999999721</c:v>
                </c:pt>
                <c:pt idx="120">
                  <c:v>6.1999999999999718</c:v>
                </c:pt>
                <c:pt idx="121">
                  <c:v>6.2999999999999714</c:v>
                </c:pt>
                <c:pt idx="122">
                  <c:v>6.399999999999971</c:v>
                </c:pt>
                <c:pt idx="123">
                  <c:v>6.4999999999999707</c:v>
                </c:pt>
                <c:pt idx="124">
                  <c:v>6.5999999999999703</c:v>
                </c:pt>
                <c:pt idx="125">
                  <c:v>6.69999999999997</c:v>
                </c:pt>
                <c:pt idx="126">
                  <c:v>6.7999999999999696</c:v>
                </c:pt>
                <c:pt idx="127">
                  <c:v>6.8999999999999693</c:v>
                </c:pt>
                <c:pt idx="128">
                  <c:v>6.9999999999999689</c:v>
                </c:pt>
                <c:pt idx="129">
                  <c:v>7.0999999999999686</c:v>
                </c:pt>
                <c:pt idx="130">
                  <c:v>7.1999999999999682</c:v>
                </c:pt>
                <c:pt idx="131">
                  <c:v>7.2999999999999678</c:v>
                </c:pt>
                <c:pt idx="132">
                  <c:v>7.3999999999999675</c:v>
                </c:pt>
                <c:pt idx="133">
                  <c:v>7.4999999999999671</c:v>
                </c:pt>
                <c:pt idx="134">
                  <c:v>7.5999999999999668</c:v>
                </c:pt>
                <c:pt idx="135">
                  <c:v>7.6999999999999664</c:v>
                </c:pt>
                <c:pt idx="136">
                  <c:v>7.7999999999999661</c:v>
                </c:pt>
                <c:pt idx="137">
                  <c:v>7.8999999999999657</c:v>
                </c:pt>
                <c:pt idx="138">
                  <c:v>7.9999999999999654</c:v>
                </c:pt>
                <c:pt idx="139">
                  <c:v>8.0999999999999659</c:v>
                </c:pt>
                <c:pt idx="140">
                  <c:v>8.1999999999999655</c:v>
                </c:pt>
                <c:pt idx="141">
                  <c:v>8.2999999999999652</c:v>
                </c:pt>
                <c:pt idx="142">
                  <c:v>8.3999999999999648</c:v>
                </c:pt>
                <c:pt idx="143">
                  <c:v>8.4999999999999645</c:v>
                </c:pt>
                <c:pt idx="144">
                  <c:v>8.5999999999999641</c:v>
                </c:pt>
                <c:pt idx="145">
                  <c:v>8.6999999999999638</c:v>
                </c:pt>
                <c:pt idx="146">
                  <c:v>8.7999999999999634</c:v>
                </c:pt>
                <c:pt idx="147">
                  <c:v>8.8999999999999631</c:v>
                </c:pt>
                <c:pt idx="148">
                  <c:v>8.9999999999999627</c:v>
                </c:pt>
                <c:pt idx="149">
                  <c:v>9.0999999999999623</c:v>
                </c:pt>
                <c:pt idx="150">
                  <c:v>9.199999999999962</c:v>
                </c:pt>
                <c:pt idx="151">
                  <c:v>9.2999999999999616</c:v>
                </c:pt>
                <c:pt idx="152">
                  <c:v>9.3999999999999613</c:v>
                </c:pt>
                <c:pt idx="153">
                  <c:v>9.4999999999999609</c:v>
                </c:pt>
                <c:pt idx="154">
                  <c:v>9.5999999999999606</c:v>
                </c:pt>
                <c:pt idx="155">
                  <c:v>9.6999999999999602</c:v>
                </c:pt>
                <c:pt idx="156">
                  <c:v>9.7999999999999599</c:v>
                </c:pt>
                <c:pt idx="157">
                  <c:v>9.8999999999999595</c:v>
                </c:pt>
                <c:pt idx="158">
                  <c:v>9.9999999999999591</c:v>
                </c:pt>
                <c:pt idx="159">
                  <c:v>10.099999999999959</c:v>
                </c:pt>
                <c:pt idx="160">
                  <c:v>10.199999999999958</c:v>
                </c:pt>
                <c:pt idx="161">
                  <c:v>10.299999999999958</c:v>
                </c:pt>
                <c:pt idx="162">
                  <c:v>10.399999999999958</c:v>
                </c:pt>
                <c:pt idx="163">
                  <c:v>10.499999999999957</c:v>
                </c:pt>
                <c:pt idx="164">
                  <c:v>10.599999999999957</c:v>
                </c:pt>
                <c:pt idx="165">
                  <c:v>10.699999999999957</c:v>
                </c:pt>
                <c:pt idx="166">
                  <c:v>10.799999999999956</c:v>
                </c:pt>
                <c:pt idx="167">
                  <c:v>10.899999999999956</c:v>
                </c:pt>
                <c:pt idx="168">
                  <c:v>10.999999999999956</c:v>
                </c:pt>
                <c:pt idx="169">
                  <c:v>11.099999999999955</c:v>
                </c:pt>
                <c:pt idx="170">
                  <c:v>11.199999999999955</c:v>
                </c:pt>
                <c:pt idx="171">
                  <c:v>11.299999999999955</c:v>
                </c:pt>
                <c:pt idx="172">
                  <c:v>11.399999999999954</c:v>
                </c:pt>
                <c:pt idx="173">
                  <c:v>11.499999999999954</c:v>
                </c:pt>
                <c:pt idx="174">
                  <c:v>11.599999999999953</c:v>
                </c:pt>
                <c:pt idx="175">
                  <c:v>11.699999999999953</c:v>
                </c:pt>
                <c:pt idx="176">
                  <c:v>11.799999999999953</c:v>
                </c:pt>
                <c:pt idx="177">
                  <c:v>11.899999999999952</c:v>
                </c:pt>
                <c:pt idx="178">
                  <c:v>11.999999999999952</c:v>
                </c:pt>
                <c:pt idx="179">
                  <c:v>12.099999999999952</c:v>
                </c:pt>
                <c:pt idx="180">
                  <c:v>12.199999999999951</c:v>
                </c:pt>
                <c:pt idx="181">
                  <c:v>12.299999999999951</c:v>
                </c:pt>
                <c:pt idx="182">
                  <c:v>12.399999999999951</c:v>
                </c:pt>
                <c:pt idx="183">
                  <c:v>12.49999999999995</c:v>
                </c:pt>
                <c:pt idx="184">
                  <c:v>12.59999999999995</c:v>
                </c:pt>
                <c:pt idx="185">
                  <c:v>12.69999999999995</c:v>
                </c:pt>
                <c:pt idx="186">
                  <c:v>12.799999999999949</c:v>
                </c:pt>
                <c:pt idx="187">
                  <c:v>12.899999999999949</c:v>
                </c:pt>
                <c:pt idx="188">
                  <c:v>12.999999999999948</c:v>
                </c:pt>
                <c:pt idx="189">
                  <c:v>13.099999999999948</c:v>
                </c:pt>
                <c:pt idx="190">
                  <c:v>13.199999999999948</c:v>
                </c:pt>
                <c:pt idx="191">
                  <c:v>13.299999999999947</c:v>
                </c:pt>
                <c:pt idx="192">
                  <c:v>13.399999999999947</c:v>
                </c:pt>
                <c:pt idx="193">
                  <c:v>13.499999999999947</c:v>
                </c:pt>
                <c:pt idx="194">
                  <c:v>13.599999999999946</c:v>
                </c:pt>
                <c:pt idx="195">
                  <c:v>13.699999999999946</c:v>
                </c:pt>
                <c:pt idx="196">
                  <c:v>13.799999999999946</c:v>
                </c:pt>
                <c:pt idx="197">
                  <c:v>13.899999999999945</c:v>
                </c:pt>
                <c:pt idx="198">
                  <c:v>13.999999999999945</c:v>
                </c:pt>
                <c:pt idx="199">
                  <c:v>14.099999999999945</c:v>
                </c:pt>
                <c:pt idx="200">
                  <c:v>14.199999999999944</c:v>
                </c:pt>
                <c:pt idx="201">
                  <c:v>14.299999999999944</c:v>
                </c:pt>
                <c:pt idx="202">
                  <c:v>14.399999999999944</c:v>
                </c:pt>
                <c:pt idx="203">
                  <c:v>14.499999999999943</c:v>
                </c:pt>
                <c:pt idx="204">
                  <c:v>14.599999999999943</c:v>
                </c:pt>
                <c:pt idx="205">
                  <c:v>14.699999999999942</c:v>
                </c:pt>
                <c:pt idx="206">
                  <c:v>14.799999999999942</c:v>
                </c:pt>
                <c:pt idx="207">
                  <c:v>14.899999999999942</c:v>
                </c:pt>
                <c:pt idx="208">
                  <c:v>14.999999999999941</c:v>
                </c:pt>
                <c:pt idx="209">
                  <c:v>15.099999999999941</c:v>
                </c:pt>
                <c:pt idx="210">
                  <c:v>15.199999999999941</c:v>
                </c:pt>
                <c:pt idx="211">
                  <c:v>15.29999999999994</c:v>
                </c:pt>
                <c:pt idx="212">
                  <c:v>15.39999999999994</c:v>
                </c:pt>
                <c:pt idx="213">
                  <c:v>15.49999999999994</c:v>
                </c:pt>
                <c:pt idx="214">
                  <c:v>15.599999999999939</c:v>
                </c:pt>
                <c:pt idx="215">
                  <c:v>15.699999999999939</c:v>
                </c:pt>
                <c:pt idx="216">
                  <c:v>15.799999999999939</c:v>
                </c:pt>
                <c:pt idx="217">
                  <c:v>15.899999999999938</c:v>
                </c:pt>
                <c:pt idx="218">
                  <c:v>15.999999999999938</c:v>
                </c:pt>
                <c:pt idx="219">
                  <c:v>16.099999999999937</c:v>
                </c:pt>
                <c:pt idx="220">
                  <c:v>16.199999999999939</c:v>
                </c:pt>
                <c:pt idx="221">
                  <c:v>16.29999999999994</c:v>
                </c:pt>
                <c:pt idx="222">
                  <c:v>16.399999999999942</c:v>
                </c:pt>
                <c:pt idx="223">
                  <c:v>16.499999999999943</c:v>
                </c:pt>
                <c:pt idx="224">
                  <c:v>16.599999999999945</c:v>
                </c:pt>
                <c:pt idx="225">
                  <c:v>16.699999999999946</c:v>
                </c:pt>
                <c:pt idx="226">
                  <c:v>16.799999999999947</c:v>
                </c:pt>
                <c:pt idx="227">
                  <c:v>16.899999999999949</c:v>
                </c:pt>
                <c:pt idx="228">
                  <c:v>16.99999999999995</c:v>
                </c:pt>
                <c:pt idx="229">
                  <c:v>17.099999999999952</c:v>
                </c:pt>
                <c:pt idx="230">
                  <c:v>17.199999999999953</c:v>
                </c:pt>
                <c:pt idx="231">
                  <c:v>17.299999999999955</c:v>
                </c:pt>
                <c:pt idx="232">
                  <c:v>17.399999999999956</c:v>
                </c:pt>
                <c:pt idx="233">
                  <c:v>17.499999999999957</c:v>
                </c:pt>
                <c:pt idx="234">
                  <c:v>17.599999999999959</c:v>
                </c:pt>
                <c:pt idx="235">
                  <c:v>17.69999999999996</c:v>
                </c:pt>
                <c:pt idx="236">
                  <c:v>17.799999999999962</c:v>
                </c:pt>
                <c:pt idx="237">
                  <c:v>17.899999999999963</c:v>
                </c:pt>
                <c:pt idx="238">
                  <c:v>17.999999999999964</c:v>
                </c:pt>
                <c:pt idx="239">
                  <c:v>18.099999999999966</c:v>
                </c:pt>
                <c:pt idx="240">
                  <c:v>18.199999999999967</c:v>
                </c:pt>
                <c:pt idx="241">
                  <c:v>18.299999999999969</c:v>
                </c:pt>
                <c:pt idx="242">
                  <c:v>18.39999999999997</c:v>
                </c:pt>
                <c:pt idx="243">
                  <c:v>18.499999999999972</c:v>
                </c:pt>
                <c:pt idx="244">
                  <c:v>18.599999999999973</c:v>
                </c:pt>
                <c:pt idx="245">
                  <c:v>18.699999999999974</c:v>
                </c:pt>
                <c:pt idx="246">
                  <c:v>18.799999999999976</c:v>
                </c:pt>
                <c:pt idx="247">
                  <c:v>18.899999999999977</c:v>
                </c:pt>
                <c:pt idx="248">
                  <c:v>18.999999999999979</c:v>
                </c:pt>
                <c:pt idx="249">
                  <c:v>19.09999999999998</c:v>
                </c:pt>
                <c:pt idx="250">
                  <c:v>19.199999999999982</c:v>
                </c:pt>
                <c:pt idx="251">
                  <c:v>19.299999999999983</c:v>
                </c:pt>
                <c:pt idx="252">
                  <c:v>19.399999999999984</c:v>
                </c:pt>
                <c:pt idx="253">
                  <c:v>19.499999999999986</c:v>
                </c:pt>
                <c:pt idx="254">
                  <c:v>19.599999999999987</c:v>
                </c:pt>
                <c:pt idx="255">
                  <c:v>19.699999999999989</c:v>
                </c:pt>
                <c:pt idx="256">
                  <c:v>19.79999999999999</c:v>
                </c:pt>
                <c:pt idx="257">
                  <c:v>19.899999999999991</c:v>
                </c:pt>
                <c:pt idx="258">
                  <c:v>19.999999999999993</c:v>
                </c:pt>
                <c:pt idx="259">
                  <c:v>20.099999999999994</c:v>
                </c:pt>
                <c:pt idx="260">
                  <c:v>20.199999999999996</c:v>
                </c:pt>
                <c:pt idx="261">
                  <c:v>20.299999999999997</c:v>
                </c:pt>
                <c:pt idx="262">
                  <c:v>20.399999999999999</c:v>
                </c:pt>
                <c:pt idx="263">
                  <c:v>20.5</c:v>
                </c:pt>
                <c:pt idx="264">
                  <c:v>20.6</c:v>
                </c:pt>
                <c:pt idx="265">
                  <c:v>20.700000000000003</c:v>
                </c:pt>
                <c:pt idx="266">
                  <c:v>20.800000000000004</c:v>
                </c:pt>
                <c:pt idx="267">
                  <c:v>20.900000000000006</c:v>
                </c:pt>
                <c:pt idx="268">
                  <c:v>21.000000000000007</c:v>
                </c:pt>
                <c:pt idx="269">
                  <c:v>21.100000000000009</c:v>
                </c:pt>
                <c:pt idx="270">
                  <c:v>21.20000000000001</c:v>
                </c:pt>
                <c:pt idx="271">
                  <c:v>21.300000000000011</c:v>
                </c:pt>
                <c:pt idx="272">
                  <c:v>21.400000000000013</c:v>
                </c:pt>
                <c:pt idx="273">
                  <c:v>21.500000000000014</c:v>
                </c:pt>
                <c:pt idx="274">
                  <c:v>21.600000000000016</c:v>
                </c:pt>
                <c:pt idx="275">
                  <c:v>21.700000000000017</c:v>
                </c:pt>
                <c:pt idx="276">
                  <c:v>21.800000000000018</c:v>
                </c:pt>
                <c:pt idx="277">
                  <c:v>21.90000000000002</c:v>
                </c:pt>
                <c:pt idx="278">
                  <c:v>22.000000000000021</c:v>
                </c:pt>
                <c:pt idx="279">
                  <c:v>22.100000000000023</c:v>
                </c:pt>
                <c:pt idx="280">
                  <c:v>22.200000000000024</c:v>
                </c:pt>
                <c:pt idx="281">
                  <c:v>22.300000000000026</c:v>
                </c:pt>
                <c:pt idx="282">
                  <c:v>22.400000000000027</c:v>
                </c:pt>
                <c:pt idx="283">
                  <c:v>22.500000000000028</c:v>
                </c:pt>
                <c:pt idx="284">
                  <c:v>22.60000000000003</c:v>
                </c:pt>
                <c:pt idx="285">
                  <c:v>22.700000000000031</c:v>
                </c:pt>
                <c:pt idx="286">
                  <c:v>22.800000000000033</c:v>
                </c:pt>
                <c:pt idx="287">
                  <c:v>22.900000000000034</c:v>
                </c:pt>
                <c:pt idx="288">
                  <c:v>23.000000000000036</c:v>
                </c:pt>
                <c:pt idx="289">
                  <c:v>23.100000000000037</c:v>
                </c:pt>
                <c:pt idx="290">
                  <c:v>23.200000000000038</c:v>
                </c:pt>
                <c:pt idx="291">
                  <c:v>23.30000000000004</c:v>
                </c:pt>
                <c:pt idx="292">
                  <c:v>23.400000000000041</c:v>
                </c:pt>
                <c:pt idx="293">
                  <c:v>23.500000000000043</c:v>
                </c:pt>
                <c:pt idx="294">
                  <c:v>23.600000000000044</c:v>
                </c:pt>
                <c:pt idx="295">
                  <c:v>23.700000000000045</c:v>
                </c:pt>
                <c:pt idx="296">
                  <c:v>23.800000000000047</c:v>
                </c:pt>
                <c:pt idx="297">
                  <c:v>23.900000000000048</c:v>
                </c:pt>
                <c:pt idx="298">
                  <c:v>24.00000000000005</c:v>
                </c:pt>
                <c:pt idx="299">
                  <c:v>24.100000000000051</c:v>
                </c:pt>
                <c:pt idx="300">
                  <c:v>24.200000000000053</c:v>
                </c:pt>
                <c:pt idx="301">
                  <c:v>24.300000000000054</c:v>
                </c:pt>
                <c:pt idx="302">
                  <c:v>24.400000000000055</c:v>
                </c:pt>
                <c:pt idx="303">
                  <c:v>24.500000000000057</c:v>
                </c:pt>
                <c:pt idx="304">
                  <c:v>24.600000000000058</c:v>
                </c:pt>
                <c:pt idx="305">
                  <c:v>24.70000000000006</c:v>
                </c:pt>
                <c:pt idx="306">
                  <c:v>24.800000000000061</c:v>
                </c:pt>
                <c:pt idx="307">
                  <c:v>24.900000000000063</c:v>
                </c:pt>
                <c:pt idx="308">
                  <c:v>25.000000000000064</c:v>
                </c:pt>
                <c:pt idx="309">
                  <c:v>25.100000000000065</c:v>
                </c:pt>
                <c:pt idx="310">
                  <c:v>25.200000000000067</c:v>
                </c:pt>
                <c:pt idx="311">
                  <c:v>25.300000000000068</c:v>
                </c:pt>
                <c:pt idx="312">
                  <c:v>25.40000000000007</c:v>
                </c:pt>
                <c:pt idx="313">
                  <c:v>25.500000000000071</c:v>
                </c:pt>
                <c:pt idx="314">
                  <c:v>25.600000000000072</c:v>
                </c:pt>
                <c:pt idx="315">
                  <c:v>25.700000000000074</c:v>
                </c:pt>
                <c:pt idx="316">
                  <c:v>25.800000000000075</c:v>
                </c:pt>
                <c:pt idx="317">
                  <c:v>25.900000000000077</c:v>
                </c:pt>
                <c:pt idx="318">
                  <c:v>26.000000000000078</c:v>
                </c:pt>
                <c:pt idx="319">
                  <c:v>26.10000000000008</c:v>
                </c:pt>
                <c:pt idx="320">
                  <c:v>26.200000000000081</c:v>
                </c:pt>
                <c:pt idx="321">
                  <c:v>26.300000000000082</c:v>
                </c:pt>
                <c:pt idx="322">
                  <c:v>26.400000000000084</c:v>
                </c:pt>
                <c:pt idx="323">
                  <c:v>26.500000000000085</c:v>
                </c:pt>
                <c:pt idx="324">
                  <c:v>26.600000000000087</c:v>
                </c:pt>
                <c:pt idx="325">
                  <c:v>26.700000000000088</c:v>
                </c:pt>
                <c:pt idx="326">
                  <c:v>26.80000000000009</c:v>
                </c:pt>
                <c:pt idx="327">
                  <c:v>26.900000000000091</c:v>
                </c:pt>
                <c:pt idx="328">
                  <c:v>27.000000000000092</c:v>
                </c:pt>
                <c:pt idx="329">
                  <c:v>27.100000000000094</c:v>
                </c:pt>
                <c:pt idx="330">
                  <c:v>27.200000000000095</c:v>
                </c:pt>
                <c:pt idx="331">
                  <c:v>27.300000000000097</c:v>
                </c:pt>
                <c:pt idx="332">
                  <c:v>27.400000000000098</c:v>
                </c:pt>
                <c:pt idx="333">
                  <c:v>27.500000000000099</c:v>
                </c:pt>
                <c:pt idx="334">
                  <c:v>27.600000000000101</c:v>
                </c:pt>
                <c:pt idx="335">
                  <c:v>27.700000000000102</c:v>
                </c:pt>
                <c:pt idx="336">
                  <c:v>27.800000000000104</c:v>
                </c:pt>
                <c:pt idx="337">
                  <c:v>27.900000000000105</c:v>
                </c:pt>
                <c:pt idx="338">
                  <c:v>28.000000000000107</c:v>
                </c:pt>
                <c:pt idx="339">
                  <c:v>28.100000000000108</c:v>
                </c:pt>
                <c:pt idx="340">
                  <c:v>28.200000000000109</c:v>
                </c:pt>
                <c:pt idx="341">
                  <c:v>28.300000000000111</c:v>
                </c:pt>
                <c:pt idx="342">
                  <c:v>28.400000000000112</c:v>
                </c:pt>
                <c:pt idx="343">
                  <c:v>28.500000000000114</c:v>
                </c:pt>
                <c:pt idx="344">
                  <c:v>28.600000000000115</c:v>
                </c:pt>
                <c:pt idx="345">
                  <c:v>28.700000000000117</c:v>
                </c:pt>
                <c:pt idx="346">
                  <c:v>28.800000000000118</c:v>
                </c:pt>
                <c:pt idx="347">
                  <c:v>28.900000000000119</c:v>
                </c:pt>
                <c:pt idx="348">
                  <c:v>29.000000000000121</c:v>
                </c:pt>
                <c:pt idx="349">
                  <c:v>29.100000000000122</c:v>
                </c:pt>
                <c:pt idx="350">
                  <c:v>29.200000000000124</c:v>
                </c:pt>
                <c:pt idx="351">
                  <c:v>29.300000000000125</c:v>
                </c:pt>
                <c:pt idx="352">
                  <c:v>29.400000000000126</c:v>
                </c:pt>
                <c:pt idx="353">
                  <c:v>29.500000000000128</c:v>
                </c:pt>
                <c:pt idx="354">
                  <c:v>29.600000000000129</c:v>
                </c:pt>
                <c:pt idx="355">
                  <c:v>29.700000000000131</c:v>
                </c:pt>
                <c:pt idx="356">
                  <c:v>29.800000000000132</c:v>
                </c:pt>
                <c:pt idx="357">
                  <c:v>29.900000000000134</c:v>
                </c:pt>
                <c:pt idx="358">
                  <c:v>30.000000000000135</c:v>
                </c:pt>
                <c:pt idx="359">
                  <c:v>30.100000000000136</c:v>
                </c:pt>
                <c:pt idx="360">
                  <c:v>30.200000000000138</c:v>
                </c:pt>
                <c:pt idx="361">
                  <c:v>30.300000000000139</c:v>
                </c:pt>
                <c:pt idx="362">
                  <c:v>30.400000000000141</c:v>
                </c:pt>
                <c:pt idx="363">
                  <c:v>30.500000000000142</c:v>
                </c:pt>
                <c:pt idx="364">
                  <c:v>30.600000000000144</c:v>
                </c:pt>
                <c:pt idx="365">
                  <c:v>30.700000000000145</c:v>
                </c:pt>
                <c:pt idx="366">
                  <c:v>30.800000000000146</c:v>
                </c:pt>
                <c:pt idx="367">
                  <c:v>30.900000000000148</c:v>
                </c:pt>
                <c:pt idx="368">
                  <c:v>31.000000000000149</c:v>
                </c:pt>
                <c:pt idx="369">
                  <c:v>31.100000000000151</c:v>
                </c:pt>
                <c:pt idx="370">
                  <c:v>31.200000000000152</c:v>
                </c:pt>
                <c:pt idx="371">
                  <c:v>31.300000000000153</c:v>
                </c:pt>
                <c:pt idx="372">
                  <c:v>31.400000000000155</c:v>
                </c:pt>
                <c:pt idx="373">
                  <c:v>31.500000000000156</c:v>
                </c:pt>
                <c:pt idx="374">
                  <c:v>31.600000000000158</c:v>
                </c:pt>
                <c:pt idx="375">
                  <c:v>31.700000000000159</c:v>
                </c:pt>
                <c:pt idx="376">
                  <c:v>31.800000000000161</c:v>
                </c:pt>
                <c:pt idx="377">
                  <c:v>31.900000000000162</c:v>
                </c:pt>
                <c:pt idx="378">
                  <c:v>32.000000000000163</c:v>
                </c:pt>
                <c:pt idx="379">
                  <c:v>32.100000000000165</c:v>
                </c:pt>
                <c:pt idx="380">
                  <c:v>32.200000000000166</c:v>
                </c:pt>
                <c:pt idx="381">
                  <c:v>32.300000000000168</c:v>
                </c:pt>
                <c:pt idx="382">
                  <c:v>32.400000000000169</c:v>
                </c:pt>
                <c:pt idx="383">
                  <c:v>32.500000000000171</c:v>
                </c:pt>
                <c:pt idx="384">
                  <c:v>32.500100000000174</c:v>
                </c:pt>
                <c:pt idx="385">
                  <c:v>32.500200000000177</c:v>
                </c:pt>
                <c:pt idx="386">
                  <c:v>32.50030000000018</c:v>
                </c:pt>
                <c:pt idx="387">
                  <c:v>32.500400000000184</c:v>
                </c:pt>
                <c:pt idx="388">
                  <c:v>32.500500000000187</c:v>
                </c:pt>
                <c:pt idx="389">
                  <c:v>32.50060000000019</c:v>
                </c:pt>
                <c:pt idx="390">
                  <c:v>32.500700000000194</c:v>
                </c:pt>
                <c:pt idx="391">
                  <c:v>32.500800000000197</c:v>
                </c:pt>
                <c:pt idx="392">
                  <c:v>32.5009000000002</c:v>
                </c:pt>
                <c:pt idx="393">
                  <c:v>32.501000000000204</c:v>
                </c:pt>
                <c:pt idx="394">
                  <c:v>32.501100000000207</c:v>
                </c:pt>
                <c:pt idx="395">
                  <c:v>32.50120000000021</c:v>
                </c:pt>
                <c:pt idx="396">
                  <c:v>32.501300000000214</c:v>
                </c:pt>
                <c:pt idx="397">
                  <c:v>32.501400000000217</c:v>
                </c:pt>
                <c:pt idx="398">
                  <c:v>32.50150000000022</c:v>
                </c:pt>
                <c:pt idx="399">
                  <c:v>32.501600000000224</c:v>
                </c:pt>
                <c:pt idx="400">
                  <c:v>32.501700000000227</c:v>
                </c:pt>
                <c:pt idx="401">
                  <c:v>32.50180000000023</c:v>
                </c:pt>
                <c:pt idx="402">
                  <c:v>32.501900000000234</c:v>
                </c:pt>
                <c:pt idx="403">
                  <c:v>32.502000000000237</c:v>
                </c:pt>
                <c:pt idx="404">
                  <c:v>32.50210000000024</c:v>
                </c:pt>
                <c:pt idx="405">
                  <c:v>32.502200000000244</c:v>
                </c:pt>
                <c:pt idx="406">
                  <c:v>32.502300000000247</c:v>
                </c:pt>
                <c:pt idx="407">
                  <c:v>32.50240000000025</c:v>
                </c:pt>
                <c:pt idx="408">
                  <c:v>32.502500000000254</c:v>
                </c:pt>
                <c:pt idx="409">
                  <c:v>32.502600000000257</c:v>
                </c:pt>
                <c:pt idx="410">
                  <c:v>32.50270000000026</c:v>
                </c:pt>
                <c:pt idx="411">
                  <c:v>32.502800000000263</c:v>
                </c:pt>
                <c:pt idx="412">
                  <c:v>32.502900000000267</c:v>
                </c:pt>
                <c:pt idx="413">
                  <c:v>32.50300000000027</c:v>
                </c:pt>
                <c:pt idx="414">
                  <c:v>32.503100000000273</c:v>
                </c:pt>
                <c:pt idx="415">
                  <c:v>32.503200000000277</c:v>
                </c:pt>
                <c:pt idx="416">
                  <c:v>32.50330000000028</c:v>
                </c:pt>
                <c:pt idx="417">
                  <c:v>32.503400000000283</c:v>
                </c:pt>
                <c:pt idx="418">
                  <c:v>32.503500000000287</c:v>
                </c:pt>
                <c:pt idx="419">
                  <c:v>32.50360000000029</c:v>
                </c:pt>
                <c:pt idx="420">
                  <c:v>32.503700000000293</c:v>
                </c:pt>
                <c:pt idx="421">
                  <c:v>32.503800000000297</c:v>
                </c:pt>
                <c:pt idx="422">
                  <c:v>32.5039000000003</c:v>
                </c:pt>
                <c:pt idx="423">
                  <c:v>32.504000000000303</c:v>
                </c:pt>
                <c:pt idx="424">
                  <c:v>32.504100000000307</c:v>
                </c:pt>
                <c:pt idx="425">
                  <c:v>32.50420000000031</c:v>
                </c:pt>
                <c:pt idx="426">
                  <c:v>32.504300000000313</c:v>
                </c:pt>
                <c:pt idx="427">
                  <c:v>32.504400000000317</c:v>
                </c:pt>
                <c:pt idx="428">
                  <c:v>32.50450000000032</c:v>
                </c:pt>
                <c:pt idx="429">
                  <c:v>32.504600000000323</c:v>
                </c:pt>
                <c:pt idx="430">
                  <c:v>32.504700000000327</c:v>
                </c:pt>
                <c:pt idx="431">
                  <c:v>32.50480000000033</c:v>
                </c:pt>
                <c:pt idx="432">
                  <c:v>32.504900000000333</c:v>
                </c:pt>
                <c:pt idx="433">
                  <c:v>32.505000000000337</c:v>
                </c:pt>
                <c:pt idx="434">
                  <c:v>32.50510000000034</c:v>
                </c:pt>
                <c:pt idx="435">
                  <c:v>32.505200000000343</c:v>
                </c:pt>
                <c:pt idx="436">
                  <c:v>32.505300000000346</c:v>
                </c:pt>
                <c:pt idx="437">
                  <c:v>32.50540000000035</c:v>
                </c:pt>
                <c:pt idx="438">
                  <c:v>32.505500000000353</c:v>
                </c:pt>
                <c:pt idx="439">
                  <c:v>32.505600000000356</c:v>
                </c:pt>
                <c:pt idx="440">
                  <c:v>32.50570000000036</c:v>
                </c:pt>
                <c:pt idx="441">
                  <c:v>32.505800000000363</c:v>
                </c:pt>
                <c:pt idx="442">
                  <c:v>32.505900000000366</c:v>
                </c:pt>
                <c:pt idx="443">
                  <c:v>32.50600000000037</c:v>
                </c:pt>
                <c:pt idx="444">
                  <c:v>32.506100000000373</c:v>
                </c:pt>
                <c:pt idx="445">
                  <c:v>32.506200000000376</c:v>
                </c:pt>
                <c:pt idx="446">
                  <c:v>32.50630000000038</c:v>
                </c:pt>
                <c:pt idx="447">
                  <c:v>32.506400000000383</c:v>
                </c:pt>
                <c:pt idx="448">
                  <c:v>32.506500000000386</c:v>
                </c:pt>
                <c:pt idx="449">
                  <c:v>32.50660000000039</c:v>
                </c:pt>
                <c:pt idx="450">
                  <c:v>32.506700000000393</c:v>
                </c:pt>
                <c:pt idx="451">
                  <c:v>32.506800000000396</c:v>
                </c:pt>
                <c:pt idx="452">
                  <c:v>32.5069000000004</c:v>
                </c:pt>
                <c:pt idx="453">
                  <c:v>32.507000000000403</c:v>
                </c:pt>
                <c:pt idx="454">
                  <c:v>32.507100000000406</c:v>
                </c:pt>
                <c:pt idx="455">
                  <c:v>32.50720000000041</c:v>
                </c:pt>
                <c:pt idx="456">
                  <c:v>32.507300000000413</c:v>
                </c:pt>
                <c:pt idx="457">
                  <c:v>32.507400000000416</c:v>
                </c:pt>
                <c:pt idx="458">
                  <c:v>32.50750000000042</c:v>
                </c:pt>
                <c:pt idx="459">
                  <c:v>32.507600000000423</c:v>
                </c:pt>
                <c:pt idx="460">
                  <c:v>32.507700000000426</c:v>
                </c:pt>
                <c:pt idx="461">
                  <c:v>32.507800000000429</c:v>
                </c:pt>
                <c:pt idx="462">
                  <c:v>32.507900000000433</c:v>
                </c:pt>
                <c:pt idx="463">
                  <c:v>32.508000000000436</c:v>
                </c:pt>
                <c:pt idx="464">
                  <c:v>32.508100000000439</c:v>
                </c:pt>
                <c:pt idx="465">
                  <c:v>32.508200000000443</c:v>
                </c:pt>
                <c:pt idx="466">
                  <c:v>32.508300000000446</c:v>
                </c:pt>
                <c:pt idx="467">
                  <c:v>32.508400000000449</c:v>
                </c:pt>
                <c:pt idx="468">
                  <c:v>32.508500000000453</c:v>
                </c:pt>
                <c:pt idx="469">
                  <c:v>32.508600000000456</c:v>
                </c:pt>
                <c:pt idx="470">
                  <c:v>32.508700000000459</c:v>
                </c:pt>
                <c:pt idx="471">
                  <c:v>32.508800000000463</c:v>
                </c:pt>
                <c:pt idx="472">
                  <c:v>32.508900000000466</c:v>
                </c:pt>
                <c:pt idx="473">
                  <c:v>32.509000000000469</c:v>
                </c:pt>
                <c:pt idx="474">
                  <c:v>32.509100000000473</c:v>
                </c:pt>
                <c:pt idx="475">
                  <c:v>32.509200000000476</c:v>
                </c:pt>
                <c:pt idx="476">
                  <c:v>32.509300000000479</c:v>
                </c:pt>
                <c:pt idx="477">
                  <c:v>32.509400000000483</c:v>
                </c:pt>
                <c:pt idx="478">
                  <c:v>32.509500000000486</c:v>
                </c:pt>
                <c:pt idx="479">
                  <c:v>32.509600000000489</c:v>
                </c:pt>
                <c:pt idx="480">
                  <c:v>32.509700000000493</c:v>
                </c:pt>
                <c:pt idx="481">
                  <c:v>32.509800000000496</c:v>
                </c:pt>
                <c:pt idx="482">
                  <c:v>32.509900000000499</c:v>
                </c:pt>
                <c:pt idx="483">
                  <c:v>32.510000000000502</c:v>
                </c:pt>
                <c:pt idx="484">
                  <c:v>32.510100000000506</c:v>
                </c:pt>
                <c:pt idx="485">
                  <c:v>32.510200000000509</c:v>
                </c:pt>
                <c:pt idx="486">
                  <c:v>32.510300000000512</c:v>
                </c:pt>
                <c:pt idx="487">
                  <c:v>32.510400000000516</c:v>
                </c:pt>
                <c:pt idx="488">
                  <c:v>32.510500000000519</c:v>
                </c:pt>
                <c:pt idx="489">
                  <c:v>32.510600000000522</c:v>
                </c:pt>
                <c:pt idx="490">
                  <c:v>32.510700000000526</c:v>
                </c:pt>
                <c:pt idx="491">
                  <c:v>32.510800000000529</c:v>
                </c:pt>
                <c:pt idx="492">
                  <c:v>32.510900000000532</c:v>
                </c:pt>
                <c:pt idx="493">
                  <c:v>32.511000000000536</c:v>
                </c:pt>
                <c:pt idx="494">
                  <c:v>32.511100000000539</c:v>
                </c:pt>
                <c:pt idx="495">
                  <c:v>32.511200000000542</c:v>
                </c:pt>
                <c:pt idx="496">
                  <c:v>32.511300000000546</c:v>
                </c:pt>
                <c:pt idx="497">
                  <c:v>32.511400000000549</c:v>
                </c:pt>
                <c:pt idx="498">
                  <c:v>32.511500000000552</c:v>
                </c:pt>
                <c:pt idx="499">
                  <c:v>32.511600000000556</c:v>
                </c:pt>
                <c:pt idx="500">
                  <c:v>32.511700000000559</c:v>
                </c:pt>
                <c:pt idx="501">
                  <c:v>32.511800000000562</c:v>
                </c:pt>
                <c:pt idx="502">
                  <c:v>32.511900000000566</c:v>
                </c:pt>
                <c:pt idx="503">
                  <c:v>32.512000000000569</c:v>
                </c:pt>
                <c:pt idx="504">
                  <c:v>32.512100000000572</c:v>
                </c:pt>
                <c:pt idx="505">
                  <c:v>32.512200000000576</c:v>
                </c:pt>
                <c:pt idx="506">
                  <c:v>32.512300000000579</c:v>
                </c:pt>
                <c:pt idx="507">
                  <c:v>32.512400000000582</c:v>
                </c:pt>
                <c:pt idx="508">
                  <c:v>32.512500000000585</c:v>
                </c:pt>
                <c:pt idx="509">
                  <c:v>32.512600000000589</c:v>
                </c:pt>
                <c:pt idx="510">
                  <c:v>32.512700000000592</c:v>
                </c:pt>
                <c:pt idx="511">
                  <c:v>32.512800000000595</c:v>
                </c:pt>
                <c:pt idx="512">
                  <c:v>32.512900000000599</c:v>
                </c:pt>
                <c:pt idx="513">
                  <c:v>32.513000000000602</c:v>
                </c:pt>
                <c:pt idx="514">
                  <c:v>32.513100000000605</c:v>
                </c:pt>
                <c:pt idx="515">
                  <c:v>32.513200000000609</c:v>
                </c:pt>
                <c:pt idx="516">
                  <c:v>32.513300000000612</c:v>
                </c:pt>
                <c:pt idx="517">
                  <c:v>32.513400000000615</c:v>
                </c:pt>
                <c:pt idx="518">
                  <c:v>32.513500000000619</c:v>
                </c:pt>
                <c:pt idx="519">
                  <c:v>32.513600000000622</c:v>
                </c:pt>
                <c:pt idx="520">
                  <c:v>32.513700000000625</c:v>
                </c:pt>
                <c:pt idx="521">
                  <c:v>32.513800000000629</c:v>
                </c:pt>
                <c:pt idx="522">
                  <c:v>32.513900000000632</c:v>
                </c:pt>
                <c:pt idx="523">
                  <c:v>32.514000000000635</c:v>
                </c:pt>
                <c:pt idx="524">
                  <c:v>32.514100000000639</c:v>
                </c:pt>
                <c:pt idx="525">
                  <c:v>32.514200000000642</c:v>
                </c:pt>
                <c:pt idx="526">
                  <c:v>32.514300000000645</c:v>
                </c:pt>
                <c:pt idx="527">
                  <c:v>32.514400000000649</c:v>
                </c:pt>
                <c:pt idx="528">
                  <c:v>32.514500000000652</c:v>
                </c:pt>
                <c:pt idx="529">
                  <c:v>32.514600000000655</c:v>
                </c:pt>
                <c:pt idx="530">
                  <c:v>32.514700000000659</c:v>
                </c:pt>
                <c:pt idx="531">
                  <c:v>32.514800000000662</c:v>
                </c:pt>
                <c:pt idx="532">
                  <c:v>32.514900000000665</c:v>
                </c:pt>
                <c:pt idx="533">
                  <c:v>32.515000000000668</c:v>
                </c:pt>
                <c:pt idx="534">
                  <c:v>32.515100000000672</c:v>
                </c:pt>
                <c:pt idx="535">
                  <c:v>32.515200000000675</c:v>
                </c:pt>
                <c:pt idx="536">
                  <c:v>32.515300000000678</c:v>
                </c:pt>
                <c:pt idx="537">
                  <c:v>32.515400000000682</c:v>
                </c:pt>
                <c:pt idx="538">
                  <c:v>32.515500000000685</c:v>
                </c:pt>
                <c:pt idx="539">
                  <c:v>32.515600000000688</c:v>
                </c:pt>
                <c:pt idx="540">
                  <c:v>32.515700000000692</c:v>
                </c:pt>
                <c:pt idx="541">
                  <c:v>32.515800000000695</c:v>
                </c:pt>
                <c:pt idx="542">
                  <c:v>32.515900000000698</c:v>
                </c:pt>
                <c:pt idx="543">
                  <c:v>32.516000000000702</c:v>
                </c:pt>
                <c:pt idx="544">
                  <c:v>32.516100000000705</c:v>
                </c:pt>
                <c:pt idx="545">
                  <c:v>32.516200000000708</c:v>
                </c:pt>
                <c:pt idx="546">
                  <c:v>32.516300000000712</c:v>
                </c:pt>
                <c:pt idx="547">
                  <c:v>32.516400000000715</c:v>
                </c:pt>
                <c:pt idx="548">
                  <c:v>32.516500000000718</c:v>
                </c:pt>
                <c:pt idx="549">
                  <c:v>32.516600000000722</c:v>
                </c:pt>
                <c:pt idx="550">
                  <c:v>32.516700000000725</c:v>
                </c:pt>
                <c:pt idx="551">
                  <c:v>32.516800000000728</c:v>
                </c:pt>
                <c:pt idx="552">
                  <c:v>32.516900000000732</c:v>
                </c:pt>
                <c:pt idx="553">
                  <c:v>32.517000000000735</c:v>
                </c:pt>
                <c:pt idx="554">
                  <c:v>32.517100000000738</c:v>
                </c:pt>
                <c:pt idx="555">
                  <c:v>32.517200000000742</c:v>
                </c:pt>
                <c:pt idx="556">
                  <c:v>32.517300000000745</c:v>
                </c:pt>
                <c:pt idx="557">
                  <c:v>32.517400000000748</c:v>
                </c:pt>
                <c:pt idx="558">
                  <c:v>32.517500000000751</c:v>
                </c:pt>
                <c:pt idx="559">
                  <c:v>32.517600000000755</c:v>
                </c:pt>
                <c:pt idx="560">
                  <c:v>32.517700000000758</c:v>
                </c:pt>
                <c:pt idx="561">
                  <c:v>32.517800000000761</c:v>
                </c:pt>
                <c:pt idx="562">
                  <c:v>32.517900000000765</c:v>
                </c:pt>
                <c:pt idx="563">
                  <c:v>32.518000000000768</c:v>
                </c:pt>
                <c:pt idx="564">
                  <c:v>32.518100000000771</c:v>
                </c:pt>
                <c:pt idx="565">
                  <c:v>32.518200000000775</c:v>
                </c:pt>
                <c:pt idx="566">
                  <c:v>32.518300000000778</c:v>
                </c:pt>
                <c:pt idx="567">
                  <c:v>32.518400000000781</c:v>
                </c:pt>
                <c:pt idx="568">
                  <c:v>32.518500000000785</c:v>
                </c:pt>
                <c:pt idx="569">
                  <c:v>32.518600000000788</c:v>
                </c:pt>
                <c:pt idx="570">
                  <c:v>32.518700000000791</c:v>
                </c:pt>
                <c:pt idx="571">
                  <c:v>32.518800000000795</c:v>
                </c:pt>
                <c:pt idx="572">
                  <c:v>32.518900000000798</c:v>
                </c:pt>
                <c:pt idx="573">
                  <c:v>32.519000000000801</c:v>
                </c:pt>
                <c:pt idx="574">
                  <c:v>32.519100000000805</c:v>
                </c:pt>
                <c:pt idx="575">
                  <c:v>32.519200000000808</c:v>
                </c:pt>
                <c:pt idx="576">
                  <c:v>32.519300000000811</c:v>
                </c:pt>
                <c:pt idx="577">
                  <c:v>32.519400000000815</c:v>
                </c:pt>
                <c:pt idx="578">
                  <c:v>32.519500000000818</c:v>
                </c:pt>
                <c:pt idx="579">
                  <c:v>32.519600000000821</c:v>
                </c:pt>
                <c:pt idx="580">
                  <c:v>32.519700000000825</c:v>
                </c:pt>
                <c:pt idx="581">
                  <c:v>32.519800000000828</c:v>
                </c:pt>
                <c:pt idx="582">
                  <c:v>32.519900000000831</c:v>
                </c:pt>
                <c:pt idx="583">
                  <c:v>32.520000000000834</c:v>
                </c:pt>
                <c:pt idx="584">
                  <c:v>32.520100000000838</c:v>
                </c:pt>
                <c:pt idx="585">
                  <c:v>32.520200000000841</c:v>
                </c:pt>
                <c:pt idx="586">
                  <c:v>32.520300000000844</c:v>
                </c:pt>
                <c:pt idx="587">
                  <c:v>32.520400000000848</c:v>
                </c:pt>
                <c:pt idx="588">
                  <c:v>32.520500000000851</c:v>
                </c:pt>
                <c:pt idx="589">
                  <c:v>32.520600000000854</c:v>
                </c:pt>
                <c:pt idx="590">
                  <c:v>32.520700000000858</c:v>
                </c:pt>
                <c:pt idx="591">
                  <c:v>32.520800000000861</c:v>
                </c:pt>
                <c:pt idx="592">
                  <c:v>32.520900000000864</c:v>
                </c:pt>
                <c:pt idx="593">
                  <c:v>32.521000000000868</c:v>
                </c:pt>
                <c:pt idx="594">
                  <c:v>32.521100000000871</c:v>
                </c:pt>
                <c:pt idx="595">
                  <c:v>32.521200000000874</c:v>
                </c:pt>
                <c:pt idx="596">
                  <c:v>32.521300000000878</c:v>
                </c:pt>
                <c:pt idx="597">
                  <c:v>32.521400000000881</c:v>
                </c:pt>
                <c:pt idx="598">
                  <c:v>32.521500000000884</c:v>
                </c:pt>
                <c:pt idx="599">
                  <c:v>32.521600000000888</c:v>
                </c:pt>
                <c:pt idx="600">
                  <c:v>32.521700000000891</c:v>
                </c:pt>
                <c:pt idx="601">
                  <c:v>32.521800000000894</c:v>
                </c:pt>
                <c:pt idx="602">
                  <c:v>32.521900000000898</c:v>
                </c:pt>
                <c:pt idx="603">
                  <c:v>32.522000000000901</c:v>
                </c:pt>
                <c:pt idx="604">
                  <c:v>32.522100000000904</c:v>
                </c:pt>
                <c:pt idx="605">
                  <c:v>32.522200000000907</c:v>
                </c:pt>
                <c:pt idx="606">
                  <c:v>32.522300000000911</c:v>
                </c:pt>
                <c:pt idx="607">
                  <c:v>32.522400000000914</c:v>
                </c:pt>
                <c:pt idx="608">
                  <c:v>32.522500000000917</c:v>
                </c:pt>
                <c:pt idx="609">
                  <c:v>32.522600000000921</c:v>
                </c:pt>
                <c:pt idx="610">
                  <c:v>32.522700000000924</c:v>
                </c:pt>
                <c:pt idx="611">
                  <c:v>32.522800000000927</c:v>
                </c:pt>
                <c:pt idx="612">
                  <c:v>32.522900000000931</c:v>
                </c:pt>
                <c:pt idx="613">
                  <c:v>32.523000000000934</c:v>
                </c:pt>
                <c:pt idx="614">
                  <c:v>32.523100000000937</c:v>
                </c:pt>
                <c:pt idx="615">
                  <c:v>32.523200000000941</c:v>
                </c:pt>
                <c:pt idx="616">
                  <c:v>32.523300000000944</c:v>
                </c:pt>
                <c:pt idx="617">
                  <c:v>32.523400000000947</c:v>
                </c:pt>
                <c:pt idx="618">
                  <c:v>32.523500000000951</c:v>
                </c:pt>
                <c:pt idx="619">
                  <c:v>32.523600000000954</c:v>
                </c:pt>
                <c:pt idx="620">
                  <c:v>32.523700000000957</c:v>
                </c:pt>
                <c:pt idx="621">
                  <c:v>32.523800000000961</c:v>
                </c:pt>
                <c:pt idx="622">
                  <c:v>32.523900000000964</c:v>
                </c:pt>
                <c:pt idx="623">
                  <c:v>32.524000000000967</c:v>
                </c:pt>
                <c:pt idx="624">
                  <c:v>32.524100000000971</c:v>
                </c:pt>
                <c:pt idx="625">
                  <c:v>32.524200000000974</c:v>
                </c:pt>
                <c:pt idx="626">
                  <c:v>32.524300000000977</c:v>
                </c:pt>
                <c:pt idx="627">
                  <c:v>32.524400000000981</c:v>
                </c:pt>
                <c:pt idx="628">
                  <c:v>32.524500000000984</c:v>
                </c:pt>
                <c:pt idx="629">
                  <c:v>32.524600000000987</c:v>
                </c:pt>
                <c:pt idx="630">
                  <c:v>32.52470000000099</c:v>
                </c:pt>
                <c:pt idx="631">
                  <c:v>32.524800000000994</c:v>
                </c:pt>
                <c:pt idx="632">
                  <c:v>32.524900000000997</c:v>
                </c:pt>
                <c:pt idx="633">
                  <c:v>32.525000000001</c:v>
                </c:pt>
                <c:pt idx="634">
                  <c:v>32.525100000001004</c:v>
                </c:pt>
                <c:pt idx="635">
                  <c:v>32.525200000001007</c:v>
                </c:pt>
                <c:pt idx="636">
                  <c:v>32.52530000000101</c:v>
                </c:pt>
                <c:pt idx="637">
                  <c:v>32.525400000001014</c:v>
                </c:pt>
                <c:pt idx="638">
                  <c:v>32.525500000001017</c:v>
                </c:pt>
                <c:pt idx="639">
                  <c:v>32.52560000000102</c:v>
                </c:pt>
                <c:pt idx="640">
                  <c:v>32.525700000001024</c:v>
                </c:pt>
                <c:pt idx="641">
                  <c:v>32.525800000001027</c:v>
                </c:pt>
                <c:pt idx="642">
                  <c:v>32.52590000000103</c:v>
                </c:pt>
                <c:pt idx="643">
                  <c:v>32.526000000001034</c:v>
                </c:pt>
                <c:pt idx="644">
                  <c:v>32.526100000001037</c:v>
                </c:pt>
                <c:pt idx="645">
                  <c:v>32.52620000000104</c:v>
                </c:pt>
                <c:pt idx="646">
                  <c:v>32.526300000001044</c:v>
                </c:pt>
                <c:pt idx="647">
                  <c:v>32.526400000001047</c:v>
                </c:pt>
                <c:pt idx="648">
                  <c:v>32.52650000000105</c:v>
                </c:pt>
                <c:pt idx="649">
                  <c:v>32.526600000001054</c:v>
                </c:pt>
                <c:pt idx="650">
                  <c:v>32.526700000001057</c:v>
                </c:pt>
                <c:pt idx="651">
                  <c:v>32.52680000000106</c:v>
                </c:pt>
                <c:pt idx="652">
                  <c:v>32.526900000001064</c:v>
                </c:pt>
                <c:pt idx="653">
                  <c:v>32.527000000001067</c:v>
                </c:pt>
                <c:pt idx="654">
                  <c:v>32.52710000000107</c:v>
                </c:pt>
                <c:pt idx="655">
                  <c:v>32.527200000001073</c:v>
                </c:pt>
                <c:pt idx="656">
                  <c:v>32.527300000001077</c:v>
                </c:pt>
                <c:pt idx="657">
                  <c:v>32.52740000000108</c:v>
                </c:pt>
                <c:pt idx="658">
                  <c:v>32.527500000001083</c:v>
                </c:pt>
                <c:pt idx="659">
                  <c:v>32.527600000001087</c:v>
                </c:pt>
                <c:pt idx="660">
                  <c:v>32.52770000000109</c:v>
                </c:pt>
                <c:pt idx="661">
                  <c:v>32.527800000001093</c:v>
                </c:pt>
                <c:pt idx="662">
                  <c:v>32.527900000001097</c:v>
                </c:pt>
                <c:pt idx="663">
                  <c:v>32.5280000000011</c:v>
                </c:pt>
                <c:pt idx="664">
                  <c:v>32.528100000001103</c:v>
                </c:pt>
                <c:pt idx="665">
                  <c:v>32.528200000001107</c:v>
                </c:pt>
                <c:pt idx="666">
                  <c:v>32.52830000000111</c:v>
                </c:pt>
                <c:pt idx="667">
                  <c:v>32.528400000001113</c:v>
                </c:pt>
                <c:pt idx="668">
                  <c:v>32.528500000001117</c:v>
                </c:pt>
                <c:pt idx="669">
                  <c:v>32.52860000000112</c:v>
                </c:pt>
                <c:pt idx="670">
                  <c:v>32.528700000001123</c:v>
                </c:pt>
                <c:pt idx="671">
                  <c:v>32.528800000001127</c:v>
                </c:pt>
                <c:pt idx="672">
                  <c:v>32.52890000000113</c:v>
                </c:pt>
                <c:pt idx="673">
                  <c:v>32.529000000001133</c:v>
                </c:pt>
                <c:pt idx="674">
                  <c:v>32.529100000001137</c:v>
                </c:pt>
                <c:pt idx="675">
                  <c:v>32.52920000000114</c:v>
                </c:pt>
                <c:pt idx="676">
                  <c:v>32.529300000001143</c:v>
                </c:pt>
                <c:pt idx="677">
                  <c:v>32.529400000001147</c:v>
                </c:pt>
                <c:pt idx="678">
                  <c:v>32.52950000000115</c:v>
                </c:pt>
                <c:pt idx="679">
                  <c:v>32.529600000001153</c:v>
                </c:pt>
                <c:pt idx="680">
                  <c:v>32.529700000001156</c:v>
                </c:pt>
                <c:pt idx="681">
                  <c:v>32.52980000000116</c:v>
                </c:pt>
                <c:pt idx="682">
                  <c:v>32.529900000001163</c:v>
                </c:pt>
                <c:pt idx="683">
                  <c:v>32.530000000001166</c:v>
                </c:pt>
                <c:pt idx="684">
                  <c:v>32.53010000000117</c:v>
                </c:pt>
                <c:pt idx="685">
                  <c:v>32.530200000001173</c:v>
                </c:pt>
                <c:pt idx="686">
                  <c:v>32.530300000001176</c:v>
                </c:pt>
                <c:pt idx="687">
                  <c:v>32.53040000000118</c:v>
                </c:pt>
                <c:pt idx="688">
                  <c:v>32.530500000001183</c:v>
                </c:pt>
                <c:pt idx="689">
                  <c:v>32.530600000001186</c:v>
                </c:pt>
                <c:pt idx="690">
                  <c:v>32.53070000000119</c:v>
                </c:pt>
                <c:pt idx="691">
                  <c:v>32.530800000001193</c:v>
                </c:pt>
                <c:pt idx="692">
                  <c:v>32.530900000001196</c:v>
                </c:pt>
                <c:pt idx="693">
                  <c:v>32.5310000000012</c:v>
                </c:pt>
                <c:pt idx="694">
                  <c:v>32.531100000001203</c:v>
                </c:pt>
                <c:pt idx="695">
                  <c:v>32.531200000001206</c:v>
                </c:pt>
                <c:pt idx="696">
                  <c:v>32.53130000000121</c:v>
                </c:pt>
                <c:pt idx="697">
                  <c:v>32.531400000001213</c:v>
                </c:pt>
                <c:pt idx="698">
                  <c:v>32.531500000001216</c:v>
                </c:pt>
                <c:pt idx="699">
                  <c:v>32.53160000000122</c:v>
                </c:pt>
                <c:pt idx="700">
                  <c:v>32.531700000001223</c:v>
                </c:pt>
                <c:pt idx="701">
                  <c:v>32.531800000001226</c:v>
                </c:pt>
                <c:pt idx="702">
                  <c:v>32.53190000000123</c:v>
                </c:pt>
                <c:pt idx="703">
                  <c:v>32.532000000001233</c:v>
                </c:pt>
                <c:pt idx="704">
                  <c:v>32.532100000001236</c:v>
                </c:pt>
                <c:pt idx="705">
                  <c:v>32.532200000001239</c:v>
                </c:pt>
                <c:pt idx="706">
                  <c:v>32.532300000001243</c:v>
                </c:pt>
                <c:pt idx="707">
                  <c:v>32.532400000001246</c:v>
                </c:pt>
                <c:pt idx="708">
                  <c:v>32.532500000001249</c:v>
                </c:pt>
                <c:pt idx="709">
                  <c:v>32.532600000001253</c:v>
                </c:pt>
                <c:pt idx="710">
                  <c:v>32.532700000001256</c:v>
                </c:pt>
                <c:pt idx="711">
                  <c:v>32.532800000001259</c:v>
                </c:pt>
                <c:pt idx="712">
                  <c:v>32.532900000001263</c:v>
                </c:pt>
                <c:pt idx="713">
                  <c:v>32.533000000001266</c:v>
                </c:pt>
                <c:pt idx="714">
                  <c:v>32.533100000001269</c:v>
                </c:pt>
                <c:pt idx="715">
                  <c:v>32.533200000001273</c:v>
                </c:pt>
                <c:pt idx="716">
                  <c:v>32.533300000001276</c:v>
                </c:pt>
                <c:pt idx="717">
                  <c:v>32.533400000001279</c:v>
                </c:pt>
                <c:pt idx="718">
                  <c:v>32.533500000001283</c:v>
                </c:pt>
                <c:pt idx="719">
                  <c:v>32.533600000001286</c:v>
                </c:pt>
                <c:pt idx="720">
                  <c:v>32.533700000001289</c:v>
                </c:pt>
                <c:pt idx="721">
                  <c:v>32.533800000001293</c:v>
                </c:pt>
                <c:pt idx="722">
                  <c:v>32.533900000001296</c:v>
                </c:pt>
                <c:pt idx="723">
                  <c:v>32.534000000001299</c:v>
                </c:pt>
                <c:pt idx="724">
                  <c:v>32.534100000001303</c:v>
                </c:pt>
                <c:pt idx="725">
                  <c:v>32.534200000001306</c:v>
                </c:pt>
                <c:pt idx="726">
                  <c:v>32.534300000001309</c:v>
                </c:pt>
                <c:pt idx="727">
                  <c:v>32.534400000001312</c:v>
                </c:pt>
                <c:pt idx="728">
                  <c:v>32.534500000001316</c:v>
                </c:pt>
                <c:pt idx="729">
                  <c:v>32.534600000001319</c:v>
                </c:pt>
                <c:pt idx="730">
                  <c:v>32.534700000001322</c:v>
                </c:pt>
                <c:pt idx="731">
                  <c:v>32.534800000001326</c:v>
                </c:pt>
                <c:pt idx="732">
                  <c:v>32.534900000001329</c:v>
                </c:pt>
                <c:pt idx="733">
                  <c:v>32.535000000001332</c:v>
                </c:pt>
                <c:pt idx="734">
                  <c:v>32.535100000001336</c:v>
                </c:pt>
                <c:pt idx="735">
                  <c:v>32.535200000001339</c:v>
                </c:pt>
                <c:pt idx="736">
                  <c:v>32.535300000001342</c:v>
                </c:pt>
                <c:pt idx="737">
                  <c:v>32.535400000001346</c:v>
                </c:pt>
                <c:pt idx="738">
                  <c:v>32.535500000001349</c:v>
                </c:pt>
                <c:pt idx="739">
                  <c:v>32.535600000001352</c:v>
                </c:pt>
                <c:pt idx="740">
                  <c:v>32.535700000001356</c:v>
                </c:pt>
                <c:pt idx="741">
                  <c:v>32.535800000001359</c:v>
                </c:pt>
                <c:pt idx="742">
                  <c:v>32.535900000001362</c:v>
                </c:pt>
                <c:pt idx="743">
                  <c:v>32.536000000001366</c:v>
                </c:pt>
                <c:pt idx="744">
                  <c:v>32.536100000001369</c:v>
                </c:pt>
                <c:pt idx="745">
                  <c:v>32.536200000001372</c:v>
                </c:pt>
                <c:pt idx="746">
                  <c:v>32.536300000001376</c:v>
                </c:pt>
                <c:pt idx="747">
                  <c:v>32.536400000001379</c:v>
                </c:pt>
                <c:pt idx="748">
                  <c:v>32.536500000001382</c:v>
                </c:pt>
                <c:pt idx="749">
                  <c:v>32.536600000001386</c:v>
                </c:pt>
                <c:pt idx="750">
                  <c:v>32.536700000001389</c:v>
                </c:pt>
                <c:pt idx="751">
                  <c:v>32.536800000001392</c:v>
                </c:pt>
                <c:pt idx="752">
                  <c:v>32.536900000001395</c:v>
                </c:pt>
                <c:pt idx="753">
                  <c:v>32.537000000001399</c:v>
                </c:pt>
                <c:pt idx="754">
                  <c:v>32.537100000001402</c:v>
                </c:pt>
                <c:pt idx="755">
                  <c:v>32.537200000001405</c:v>
                </c:pt>
                <c:pt idx="756">
                  <c:v>32.537300000001409</c:v>
                </c:pt>
                <c:pt idx="757">
                  <c:v>32.537400000001412</c:v>
                </c:pt>
                <c:pt idx="758">
                  <c:v>32.537500000001415</c:v>
                </c:pt>
                <c:pt idx="759">
                  <c:v>32.537600000001419</c:v>
                </c:pt>
                <c:pt idx="760">
                  <c:v>32.537700000001422</c:v>
                </c:pt>
                <c:pt idx="761">
                  <c:v>32.537800000001425</c:v>
                </c:pt>
                <c:pt idx="762">
                  <c:v>32.537900000001429</c:v>
                </c:pt>
                <c:pt idx="763">
                  <c:v>32.538000000001432</c:v>
                </c:pt>
                <c:pt idx="764">
                  <c:v>32.538100000001435</c:v>
                </c:pt>
                <c:pt idx="765">
                  <c:v>32.538200000001439</c:v>
                </c:pt>
                <c:pt idx="766">
                  <c:v>32.538300000001442</c:v>
                </c:pt>
                <c:pt idx="767">
                  <c:v>32.538400000001445</c:v>
                </c:pt>
                <c:pt idx="768">
                  <c:v>32.538500000001449</c:v>
                </c:pt>
                <c:pt idx="769">
                  <c:v>32.538600000001452</c:v>
                </c:pt>
                <c:pt idx="770">
                  <c:v>32.538700000001455</c:v>
                </c:pt>
                <c:pt idx="771">
                  <c:v>32.538800000001459</c:v>
                </c:pt>
                <c:pt idx="772">
                  <c:v>32.538900000001462</c:v>
                </c:pt>
                <c:pt idx="773">
                  <c:v>32.539000000001465</c:v>
                </c:pt>
                <c:pt idx="774">
                  <c:v>32.539100000001469</c:v>
                </c:pt>
                <c:pt idx="775">
                  <c:v>32.539200000001472</c:v>
                </c:pt>
                <c:pt idx="776">
                  <c:v>32.539300000001475</c:v>
                </c:pt>
                <c:pt idx="777">
                  <c:v>32.539400000001478</c:v>
                </c:pt>
                <c:pt idx="778">
                  <c:v>32.539500000001482</c:v>
                </c:pt>
                <c:pt idx="779">
                  <c:v>32.539600000001485</c:v>
                </c:pt>
                <c:pt idx="780">
                  <c:v>32.539700000001488</c:v>
                </c:pt>
                <c:pt idx="781">
                  <c:v>32.539800000001492</c:v>
                </c:pt>
                <c:pt idx="782">
                  <c:v>32.539900000001495</c:v>
                </c:pt>
                <c:pt idx="783">
                  <c:v>32.540000000001498</c:v>
                </c:pt>
                <c:pt idx="784">
                  <c:v>32.540100000001502</c:v>
                </c:pt>
                <c:pt idx="785">
                  <c:v>32.540200000001505</c:v>
                </c:pt>
                <c:pt idx="786">
                  <c:v>32.540300000001508</c:v>
                </c:pt>
                <c:pt idx="787">
                  <c:v>32.540400000001512</c:v>
                </c:pt>
                <c:pt idx="788">
                  <c:v>32.540500000001515</c:v>
                </c:pt>
                <c:pt idx="789">
                  <c:v>32.540600000001518</c:v>
                </c:pt>
                <c:pt idx="790">
                  <c:v>32.540700000001522</c:v>
                </c:pt>
                <c:pt idx="791">
                  <c:v>32.540800000001525</c:v>
                </c:pt>
                <c:pt idx="792">
                  <c:v>32.540900000001528</c:v>
                </c:pt>
                <c:pt idx="793">
                  <c:v>32.541000000001532</c:v>
                </c:pt>
                <c:pt idx="794">
                  <c:v>32.541100000001535</c:v>
                </c:pt>
                <c:pt idx="795">
                  <c:v>32.541200000001538</c:v>
                </c:pt>
                <c:pt idx="796">
                  <c:v>32.541300000001542</c:v>
                </c:pt>
                <c:pt idx="797">
                  <c:v>32.541400000001545</c:v>
                </c:pt>
                <c:pt idx="798">
                  <c:v>32.541500000001548</c:v>
                </c:pt>
                <c:pt idx="799">
                  <c:v>32.541600000001552</c:v>
                </c:pt>
                <c:pt idx="800">
                  <c:v>32.541700000001555</c:v>
                </c:pt>
                <c:pt idx="801">
                  <c:v>32.541800000001558</c:v>
                </c:pt>
                <c:pt idx="802">
                  <c:v>32.541900000001561</c:v>
                </c:pt>
                <c:pt idx="803">
                  <c:v>32.542000000001565</c:v>
                </c:pt>
                <c:pt idx="804">
                  <c:v>32.542100000001568</c:v>
                </c:pt>
                <c:pt idx="805">
                  <c:v>32.542200000001571</c:v>
                </c:pt>
                <c:pt idx="806">
                  <c:v>32.542300000001575</c:v>
                </c:pt>
                <c:pt idx="807">
                  <c:v>32.542400000001578</c:v>
                </c:pt>
                <c:pt idx="808">
                  <c:v>32.542500000001581</c:v>
                </c:pt>
                <c:pt idx="809">
                  <c:v>32.542600000001585</c:v>
                </c:pt>
                <c:pt idx="810">
                  <c:v>32.542700000001588</c:v>
                </c:pt>
                <c:pt idx="811">
                  <c:v>32.542800000001591</c:v>
                </c:pt>
                <c:pt idx="812">
                  <c:v>32.542900000001595</c:v>
                </c:pt>
                <c:pt idx="813">
                  <c:v>32.543000000001598</c:v>
                </c:pt>
                <c:pt idx="814">
                  <c:v>32.543100000001601</c:v>
                </c:pt>
                <c:pt idx="815">
                  <c:v>32.543200000001605</c:v>
                </c:pt>
                <c:pt idx="816">
                  <c:v>32.543300000001608</c:v>
                </c:pt>
                <c:pt idx="817">
                  <c:v>32.543400000001611</c:v>
                </c:pt>
                <c:pt idx="818">
                  <c:v>32.543500000001615</c:v>
                </c:pt>
                <c:pt idx="819">
                  <c:v>32.543600000001618</c:v>
                </c:pt>
                <c:pt idx="820">
                  <c:v>32.543700000001621</c:v>
                </c:pt>
                <c:pt idx="821">
                  <c:v>32.543800000001625</c:v>
                </c:pt>
                <c:pt idx="822">
                  <c:v>32.543900000001628</c:v>
                </c:pt>
                <c:pt idx="823">
                  <c:v>32.544000000001631</c:v>
                </c:pt>
                <c:pt idx="824">
                  <c:v>32.544100000001634</c:v>
                </c:pt>
                <c:pt idx="825">
                  <c:v>32.544200000001638</c:v>
                </c:pt>
                <c:pt idx="826">
                  <c:v>32.544300000001641</c:v>
                </c:pt>
                <c:pt idx="827">
                  <c:v>32.544400000001644</c:v>
                </c:pt>
                <c:pt idx="828">
                  <c:v>32.544500000001648</c:v>
                </c:pt>
                <c:pt idx="829">
                  <c:v>32.544600000001651</c:v>
                </c:pt>
                <c:pt idx="830">
                  <c:v>32.544700000001654</c:v>
                </c:pt>
                <c:pt idx="831">
                  <c:v>32.544800000001658</c:v>
                </c:pt>
                <c:pt idx="832">
                  <c:v>32.544900000001661</c:v>
                </c:pt>
                <c:pt idx="833">
                  <c:v>32.545000000001664</c:v>
                </c:pt>
                <c:pt idx="834">
                  <c:v>32.545100000001668</c:v>
                </c:pt>
                <c:pt idx="835">
                  <c:v>32.545200000001671</c:v>
                </c:pt>
                <c:pt idx="836">
                  <c:v>32.545300000001674</c:v>
                </c:pt>
                <c:pt idx="837">
                  <c:v>32.545400000001678</c:v>
                </c:pt>
                <c:pt idx="838">
                  <c:v>32.545500000001681</c:v>
                </c:pt>
                <c:pt idx="839">
                  <c:v>32.545600000001684</c:v>
                </c:pt>
                <c:pt idx="840">
                  <c:v>32.545700000001688</c:v>
                </c:pt>
                <c:pt idx="841">
                  <c:v>32.545800000001691</c:v>
                </c:pt>
                <c:pt idx="842">
                  <c:v>32.545900000001694</c:v>
                </c:pt>
                <c:pt idx="843">
                  <c:v>32.546000000001698</c:v>
                </c:pt>
                <c:pt idx="844">
                  <c:v>32.546100000001701</c:v>
                </c:pt>
                <c:pt idx="845">
                  <c:v>32.546200000001704</c:v>
                </c:pt>
                <c:pt idx="846">
                  <c:v>32.546300000001708</c:v>
                </c:pt>
                <c:pt idx="847">
                  <c:v>32.546400000001711</c:v>
                </c:pt>
                <c:pt idx="848">
                  <c:v>32.546500000001714</c:v>
                </c:pt>
                <c:pt idx="849">
                  <c:v>32.546600000001717</c:v>
                </c:pt>
                <c:pt idx="850">
                  <c:v>32.546700000001721</c:v>
                </c:pt>
                <c:pt idx="851">
                  <c:v>32.546800000001724</c:v>
                </c:pt>
                <c:pt idx="852">
                  <c:v>32.546900000001727</c:v>
                </c:pt>
                <c:pt idx="853">
                  <c:v>32.547000000001731</c:v>
                </c:pt>
                <c:pt idx="854">
                  <c:v>32.547100000001734</c:v>
                </c:pt>
                <c:pt idx="855">
                  <c:v>32.547200000001737</c:v>
                </c:pt>
                <c:pt idx="856">
                  <c:v>32.547300000001741</c:v>
                </c:pt>
                <c:pt idx="857">
                  <c:v>32.547400000001744</c:v>
                </c:pt>
                <c:pt idx="858">
                  <c:v>32.547500000001747</c:v>
                </c:pt>
                <c:pt idx="859">
                  <c:v>32.547600000001751</c:v>
                </c:pt>
                <c:pt idx="860">
                  <c:v>32.547700000001754</c:v>
                </c:pt>
                <c:pt idx="861">
                  <c:v>32.547800000001757</c:v>
                </c:pt>
                <c:pt idx="862">
                  <c:v>32.547900000001761</c:v>
                </c:pt>
                <c:pt idx="863">
                  <c:v>32.548000000001764</c:v>
                </c:pt>
                <c:pt idx="864">
                  <c:v>32.548100000001767</c:v>
                </c:pt>
                <c:pt idx="865">
                  <c:v>32.548200000001771</c:v>
                </c:pt>
                <c:pt idx="866">
                  <c:v>32.548300000001774</c:v>
                </c:pt>
                <c:pt idx="867">
                  <c:v>32.548400000001777</c:v>
                </c:pt>
                <c:pt idx="868">
                  <c:v>32.548500000001781</c:v>
                </c:pt>
                <c:pt idx="869">
                  <c:v>32.548600000001784</c:v>
                </c:pt>
                <c:pt idx="870">
                  <c:v>32.548700000001787</c:v>
                </c:pt>
                <c:pt idx="871">
                  <c:v>32.548800000001791</c:v>
                </c:pt>
                <c:pt idx="872">
                  <c:v>32.548900000001794</c:v>
                </c:pt>
                <c:pt idx="873">
                  <c:v>32.549000000001797</c:v>
                </c:pt>
                <c:pt idx="874">
                  <c:v>32.5491000000018</c:v>
                </c:pt>
                <c:pt idx="875">
                  <c:v>32.549200000001804</c:v>
                </c:pt>
                <c:pt idx="876">
                  <c:v>32.549300000001807</c:v>
                </c:pt>
                <c:pt idx="877">
                  <c:v>32.54940000000181</c:v>
                </c:pt>
                <c:pt idx="878">
                  <c:v>32.549500000001814</c:v>
                </c:pt>
                <c:pt idx="879">
                  <c:v>32.549600000001817</c:v>
                </c:pt>
                <c:pt idx="880">
                  <c:v>32.54970000000182</c:v>
                </c:pt>
                <c:pt idx="881">
                  <c:v>32.549800000001824</c:v>
                </c:pt>
                <c:pt idx="882">
                  <c:v>32.549900000001827</c:v>
                </c:pt>
                <c:pt idx="883">
                  <c:v>32.55000000000183</c:v>
                </c:pt>
                <c:pt idx="884">
                  <c:v>32.550100000001834</c:v>
                </c:pt>
                <c:pt idx="885">
                  <c:v>32.550200000001837</c:v>
                </c:pt>
                <c:pt idx="886">
                  <c:v>32.55030000000184</c:v>
                </c:pt>
                <c:pt idx="887">
                  <c:v>32.550400000001844</c:v>
                </c:pt>
                <c:pt idx="888">
                  <c:v>32.550500000001847</c:v>
                </c:pt>
                <c:pt idx="889">
                  <c:v>32.55060000000185</c:v>
                </c:pt>
                <c:pt idx="890">
                  <c:v>32.550700000001854</c:v>
                </c:pt>
                <c:pt idx="891">
                  <c:v>32.550800000001857</c:v>
                </c:pt>
                <c:pt idx="892">
                  <c:v>32.55090000000186</c:v>
                </c:pt>
                <c:pt idx="893">
                  <c:v>32.551000000001864</c:v>
                </c:pt>
                <c:pt idx="894">
                  <c:v>32.551100000001867</c:v>
                </c:pt>
                <c:pt idx="895">
                  <c:v>32.55120000000187</c:v>
                </c:pt>
                <c:pt idx="896">
                  <c:v>32.551300000001874</c:v>
                </c:pt>
                <c:pt idx="897">
                  <c:v>32.551400000001877</c:v>
                </c:pt>
                <c:pt idx="898">
                  <c:v>32.55150000000188</c:v>
                </c:pt>
                <c:pt idx="899">
                  <c:v>32.551600000001883</c:v>
                </c:pt>
                <c:pt idx="900">
                  <c:v>32.551700000001887</c:v>
                </c:pt>
                <c:pt idx="901">
                  <c:v>32.55180000000189</c:v>
                </c:pt>
                <c:pt idx="902">
                  <c:v>32.551900000001893</c:v>
                </c:pt>
                <c:pt idx="903">
                  <c:v>32.552000000001897</c:v>
                </c:pt>
                <c:pt idx="904">
                  <c:v>32.5521000000019</c:v>
                </c:pt>
                <c:pt idx="905">
                  <c:v>32.552200000001903</c:v>
                </c:pt>
                <c:pt idx="906">
                  <c:v>32.552300000001907</c:v>
                </c:pt>
                <c:pt idx="907">
                  <c:v>32.55240000000191</c:v>
                </c:pt>
                <c:pt idx="908">
                  <c:v>32.552500000001913</c:v>
                </c:pt>
                <c:pt idx="909">
                  <c:v>32.552600000001917</c:v>
                </c:pt>
                <c:pt idx="910">
                  <c:v>32.55270000000192</c:v>
                </c:pt>
                <c:pt idx="911">
                  <c:v>32.552800000001923</c:v>
                </c:pt>
                <c:pt idx="912">
                  <c:v>32.552900000001927</c:v>
                </c:pt>
                <c:pt idx="913">
                  <c:v>32.55300000000193</c:v>
                </c:pt>
                <c:pt idx="914">
                  <c:v>32.553100000001933</c:v>
                </c:pt>
                <c:pt idx="915">
                  <c:v>32.553200000001937</c:v>
                </c:pt>
                <c:pt idx="916">
                  <c:v>32.55330000000194</c:v>
                </c:pt>
                <c:pt idx="917">
                  <c:v>32.553400000001943</c:v>
                </c:pt>
                <c:pt idx="918">
                  <c:v>32.553500000001947</c:v>
                </c:pt>
                <c:pt idx="919">
                  <c:v>32.55360000000195</c:v>
                </c:pt>
                <c:pt idx="920">
                  <c:v>32.553700000001953</c:v>
                </c:pt>
                <c:pt idx="921">
                  <c:v>32.553800000001957</c:v>
                </c:pt>
                <c:pt idx="922">
                  <c:v>32.55390000000196</c:v>
                </c:pt>
                <c:pt idx="923">
                  <c:v>32.554000000001963</c:v>
                </c:pt>
                <c:pt idx="924">
                  <c:v>32.554100000001966</c:v>
                </c:pt>
                <c:pt idx="925">
                  <c:v>32.55420000000197</c:v>
                </c:pt>
                <c:pt idx="926">
                  <c:v>32.554300000001973</c:v>
                </c:pt>
                <c:pt idx="927">
                  <c:v>32.554400000001976</c:v>
                </c:pt>
                <c:pt idx="928">
                  <c:v>32.55450000000198</c:v>
                </c:pt>
                <c:pt idx="929">
                  <c:v>32.554600000001983</c:v>
                </c:pt>
                <c:pt idx="930">
                  <c:v>32.554700000001986</c:v>
                </c:pt>
                <c:pt idx="931">
                  <c:v>32.55480000000199</c:v>
                </c:pt>
                <c:pt idx="932">
                  <c:v>32.554900000001993</c:v>
                </c:pt>
                <c:pt idx="933">
                  <c:v>32.555000000001996</c:v>
                </c:pt>
                <c:pt idx="934">
                  <c:v>32.555100000002</c:v>
                </c:pt>
                <c:pt idx="935">
                  <c:v>32.555200000002003</c:v>
                </c:pt>
                <c:pt idx="936">
                  <c:v>32.555300000002006</c:v>
                </c:pt>
                <c:pt idx="937">
                  <c:v>32.55540000000201</c:v>
                </c:pt>
                <c:pt idx="938">
                  <c:v>32.555500000002013</c:v>
                </c:pt>
                <c:pt idx="939">
                  <c:v>32.555600000002016</c:v>
                </c:pt>
                <c:pt idx="940">
                  <c:v>32.55570000000202</c:v>
                </c:pt>
                <c:pt idx="941">
                  <c:v>32.555800000002023</c:v>
                </c:pt>
                <c:pt idx="942">
                  <c:v>32.555900000002026</c:v>
                </c:pt>
                <c:pt idx="943">
                  <c:v>32.55600000000203</c:v>
                </c:pt>
                <c:pt idx="944">
                  <c:v>32.556100000002033</c:v>
                </c:pt>
                <c:pt idx="945">
                  <c:v>32.556200000002036</c:v>
                </c:pt>
                <c:pt idx="946">
                  <c:v>32.556300000002039</c:v>
                </c:pt>
                <c:pt idx="947">
                  <c:v>32.556400000002043</c:v>
                </c:pt>
                <c:pt idx="948">
                  <c:v>32.556500000002046</c:v>
                </c:pt>
                <c:pt idx="949">
                  <c:v>32.556600000002049</c:v>
                </c:pt>
                <c:pt idx="950">
                  <c:v>32.556700000002053</c:v>
                </c:pt>
                <c:pt idx="951">
                  <c:v>32.556800000002056</c:v>
                </c:pt>
                <c:pt idx="952">
                  <c:v>32.556900000002059</c:v>
                </c:pt>
                <c:pt idx="953">
                  <c:v>32.557000000002063</c:v>
                </c:pt>
                <c:pt idx="954">
                  <c:v>32.557100000002066</c:v>
                </c:pt>
                <c:pt idx="955">
                  <c:v>32.557200000002069</c:v>
                </c:pt>
                <c:pt idx="956">
                  <c:v>32.557300000002073</c:v>
                </c:pt>
                <c:pt idx="957">
                  <c:v>32.557400000002076</c:v>
                </c:pt>
                <c:pt idx="958">
                  <c:v>32.557500000002079</c:v>
                </c:pt>
                <c:pt idx="959">
                  <c:v>32.557600000002083</c:v>
                </c:pt>
                <c:pt idx="960">
                  <c:v>32.557700000002086</c:v>
                </c:pt>
                <c:pt idx="961">
                  <c:v>32.557800000002089</c:v>
                </c:pt>
                <c:pt idx="962">
                  <c:v>32.557900000002093</c:v>
                </c:pt>
                <c:pt idx="963">
                  <c:v>32.558000000002096</c:v>
                </c:pt>
                <c:pt idx="964">
                  <c:v>32.558100000002099</c:v>
                </c:pt>
                <c:pt idx="965">
                  <c:v>32.558200000002103</c:v>
                </c:pt>
                <c:pt idx="966">
                  <c:v>32.558300000002106</c:v>
                </c:pt>
                <c:pt idx="967">
                  <c:v>32.558400000002109</c:v>
                </c:pt>
                <c:pt idx="968">
                  <c:v>32.558500000002113</c:v>
                </c:pt>
                <c:pt idx="969">
                  <c:v>32.558600000002116</c:v>
                </c:pt>
                <c:pt idx="970">
                  <c:v>32.558700000002119</c:v>
                </c:pt>
                <c:pt idx="971">
                  <c:v>32.558800000002122</c:v>
                </c:pt>
                <c:pt idx="972">
                  <c:v>32.558900000002126</c:v>
                </c:pt>
                <c:pt idx="973">
                  <c:v>32.559000000002129</c:v>
                </c:pt>
                <c:pt idx="974">
                  <c:v>32.559100000002132</c:v>
                </c:pt>
                <c:pt idx="975">
                  <c:v>32.559200000002136</c:v>
                </c:pt>
                <c:pt idx="976">
                  <c:v>32.559300000002139</c:v>
                </c:pt>
                <c:pt idx="977">
                  <c:v>32.559400000002142</c:v>
                </c:pt>
                <c:pt idx="978">
                  <c:v>32.559500000002146</c:v>
                </c:pt>
                <c:pt idx="979">
                  <c:v>32.559600000002149</c:v>
                </c:pt>
                <c:pt idx="980">
                  <c:v>32.559700000002152</c:v>
                </c:pt>
                <c:pt idx="981">
                  <c:v>32.559800000002156</c:v>
                </c:pt>
                <c:pt idx="982">
                  <c:v>32.559900000002159</c:v>
                </c:pt>
                <c:pt idx="983">
                  <c:v>32.560000000002162</c:v>
                </c:pt>
                <c:pt idx="984">
                  <c:v>32.560100000002166</c:v>
                </c:pt>
                <c:pt idx="985">
                  <c:v>32.560200000002169</c:v>
                </c:pt>
                <c:pt idx="986">
                  <c:v>32.560300000002172</c:v>
                </c:pt>
                <c:pt idx="987">
                  <c:v>32.560400000002176</c:v>
                </c:pt>
                <c:pt idx="988">
                  <c:v>32.560500000002179</c:v>
                </c:pt>
                <c:pt idx="989">
                  <c:v>32.560600000002182</c:v>
                </c:pt>
                <c:pt idx="990">
                  <c:v>32.560700000002186</c:v>
                </c:pt>
                <c:pt idx="991">
                  <c:v>32.560800000002189</c:v>
                </c:pt>
                <c:pt idx="992">
                  <c:v>32.560900000002192</c:v>
                </c:pt>
                <c:pt idx="993">
                  <c:v>32.561000000002196</c:v>
                </c:pt>
                <c:pt idx="994">
                  <c:v>32.561100000002199</c:v>
                </c:pt>
                <c:pt idx="995">
                  <c:v>32.561200000002202</c:v>
                </c:pt>
                <c:pt idx="996">
                  <c:v>32.561300000002205</c:v>
                </c:pt>
                <c:pt idx="997">
                  <c:v>32.561400000002209</c:v>
                </c:pt>
                <c:pt idx="998">
                  <c:v>32.561500000002212</c:v>
                </c:pt>
                <c:pt idx="999">
                  <c:v>32.561600000002215</c:v>
                </c:pt>
                <c:pt idx="1000">
                  <c:v>32.561700000002219</c:v>
                </c:pt>
              </c:numCache>
            </c:numRef>
          </c:xVal>
          <c:yVal>
            <c:numRef>
              <c:f>Calculs!$AH$4:$AH$1004</c:f>
              <c:numCache>
                <c:formatCode>0.00</c:formatCode>
                <c:ptCount val="1001"/>
                <c:pt idx="0">
                  <c:v>0</c:v>
                </c:pt>
                <c:pt idx="1">
                  <c:v>-27.907067249074217</c:v>
                </c:pt>
                <c:pt idx="2">
                  <c:v>-27.781912890497818</c:v>
                </c:pt>
                <c:pt idx="3">
                  <c:v>-27.65747976810637</c:v>
                </c:pt>
                <c:pt idx="4">
                  <c:v>-27.533762342496573</c:v>
                </c:pt>
                <c:pt idx="5">
                  <c:v>-27.41075512762928</c:v>
                </c:pt>
                <c:pt idx="6">
                  <c:v>-27.288452690212328</c:v>
                </c:pt>
                <c:pt idx="7">
                  <c:v>-27.166849649091578</c:v>
                </c:pt>
                <c:pt idx="8">
                  <c:v>-27.045940674650289</c:v>
                </c:pt>
                <c:pt idx="9">
                  <c:v>-26.925720488216417</c:v>
                </c:pt>
                <c:pt idx="10">
                  <c:v>-26.806183861478075</c:v>
                </c:pt>
                <c:pt idx="11">
                  <c:v>-26.687700682374498</c:v>
                </c:pt>
                <c:pt idx="12">
                  <c:v>-26.570254551298675</c:v>
                </c:pt>
                <c:pt idx="13">
                  <c:v>-26.453454182268697</c:v>
                </c:pt>
                <c:pt idx="14">
                  <c:v>-26.337294895272368</c:v>
                </c:pt>
                <c:pt idx="15">
                  <c:v>-26.221772053033138</c:v>
                </c:pt>
                <c:pt idx="16">
                  <c:v>-26.106881060541252</c:v>
                </c:pt>
                <c:pt idx="17">
                  <c:v>-25.992617364590913</c:v>
                </c:pt>
                <c:pt idx="18">
                  <c:v>-25.878976453323411</c:v>
                </c:pt>
                <c:pt idx="19">
                  <c:v>-25.765953855776083</c:v>
                </c:pt>
                <c:pt idx="20">
                  <c:v>-25.65354514143694</c:v>
                </c:pt>
                <c:pt idx="21">
                  <c:v>-25.541558162916004</c:v>
                </c:pt>
                <c:pt idx="22">
                  <c:v>-25.429993978467465</c:v>
                </c:pt>
                <c:pt idx="23">
                  <c:v>-25.319041378846944</c:v>
                </c:pt>
                <c:pt idx="24">
                  <c:v>-25.208695924436793</c:v>
                </c:pt>
                <c:pt idx="25">
                  <c:v>-25.098953216143602</c:v>
                </c:pt>
                <c:pt idx="26">
                  <c:v>-24.989808894954084</c:v>
                </c:pt>
                <c:pt idx="27">
                  <c:v>-24.881258641496604</c:v>
                </c:pt>
                <c:pt idx="28">
                  <c:v>-24.773298175608254</c:v>
                </c:pt>
                <c:pt idx="29">
                  <c:v>-24.665923255907551</c:v>
                </c:pt>
                <c:pt idx="30">
                  <c:v>-24.559129679372468</c:v>
                </c:pt>
                <c:pt idx="31">
                  <c:v>-24.452913280923898</c:v>
                </c:pt>
                <c:pt idx="32">
                  <c:v>-24.34726993301441</c:v>
                </c:pt>
                <c:pt idx="33">
                  <c:v>-24.242195545222057</c:v>
                </c:pt>
                <c:pt idx="34">
                  <c:v>-24.137686063849525</c:v>
                </c:pt>
                <c:pt idx="35">
                  <c:v>-24.033737471528212</c:v>
                </c:pt>
                <c:pt idx="36">
                  <c:v>-23.930345786827285</c:v>
                </c:pt>
                <c:pt idx="37">
                  <c:v>-23.827507063867689</c:v>
                </c:pt>
                <c:pt idx="38">
                  <c:v>-23.725217391940998</c:v>
                </c:pt>
                <c:pt idx="39">
                  <c:v>-23.623472895132966</c:v>
                </c:pt>
                <c:pt idx="40">
                  <c:v>-23.52226973195193</c:v>
                </c:pt>
                <c:pt idx="41">
                  <c:v>-23.421604094961594</c:v>
                </c:pt>
                <c:pt idx="42">
                  <c:v>-23.321472210418762</c:v>
                </c:pt>
                <c:pt idx="43">
                  <c:v>-23.221870337915096</c:v>
                </c:pt>
                <c:pt idx="44">
                  <c:v>-23.122794770023745</c:v>
                </c:pt>
                <c:pt idx="45">
                  <c:v>-23.024241831950139</c:v>
                </c:pt>
                <c:pt idx="46">
                  <c:v>-22.926207881187089</c:v>
                </c:pt>
                <c:pt idx="47">
                  <c:v>-22.828689307174219</c:v>
                </c:pt>
                <c:pt idx="48">
                  <c:v>-22.731682530961553</c:v>
                </c:pt>
                <c:pt idx="49">
                  <c:v>-22.635184004877242</c:v>
                </c:pt>
                <c:pt idx="50">
                  <c:v>-22.539190212199358</c:v>
                </c:pt>
                <c:pt idx="51">
                  <c:v>-22.443697666831746</c:v>
                </c:pt>
                <c:pt idx="52">
                  <c:v>-22.348702912983782</c:v>
                </c:pt>
                <c:pt idx="53">
                  <c:v>-22.254202524854069</c:v>
                </c:pt>
                <c:pt idx="54">
                  <c:v>-22.160193106318019</c:v>
                </c:pt>
                <c:pt idx="55">
                  <c:v>-22.066671290619176</c:v>
                </c:pt>
                <c:pt idx="56">
                  <c:v>-21.973633740064315</c:v>
                </c:pt>
                <c:pt idx="57">
                  <c:v>-21.881077145722244</c:v>
                </c:pt>
                <c:pt idx="58">
                  <c:v>-21.788998227126235</c:v>
                </c:pt>
                <c:pt idx="59">
                  <c:v>-21.69739373198005</c:v>
                </c:pt>
                <c:pt idx="60">
                  <c:v>-21.606260435867522</c:v>
                </c:pt>
                <c:pt idx="61">
                  <c:v>-21.515595141965623</c:v>
                </c:pt>
                <c:pt idx="62">
                  <c:v>-21.425394680761002</c:v>
                </c:pt>
                <c:pt idx="63">
                  <c:v>-21.335655909769844</c:v>
                </c:pt>
                <c:pt idx="64">
                  <c:v>-21.24637571326118</c:v>
                </c:pt>
                <c:pt idx="65">
                  <c:v>-21.157551001983514</c:v>
                </c:pt>
                <c:pt idx="66">
                  <c:v>-21.069178712894523</c:v>
                </c:pt>
                <c:pt idx="67">
                  <c:v>-20.981255808894272</c:v>
                </c:pt>
                <c:pt idx="68">
                  <c:v>-20.893779278561354</c:v>
                </c:pt>
                <c:pt idx="69">
                  <c:v>-20.806746135892265</c:v>
                </c:pt>
                <c:pt idx="70">
                  <c:v>-20.72015342004385</c:v>
                </c:pt>
                <c:pt idx="71">
                  <c:v>-20.63399819507886</c:v>
                </c:pt>
                <c:pt idx="72">
                  <c:v>-20.548277549714371</c:v>
                </c:pt>
                <c:pt idx="73">
                  <c:v>-20.462988597073299</c:v>
                </c:pt>
                <c:pt idx="74">
                  <c:v>-20.378128474438789</c:v>
                </c:pt>
                <c:pt idx="75">
                  <c:v>-20.29369434301146</c:v>
                </c:pt>
                <c:pt idx="76">
                  <c:v>-20.209683387669596</c:v>
                </c:pt>
                <c:pt idx="77">
                  <c:v>-20.126092816732022</c:v>
                </c:pt>
                <c:pt idx="78">
                  <c:v>-20.042919861723821</c:v>
                </c:pt>
                <c:pt idx="79">
                  <c:v>-19.960161777144776</c:v>
                </c:pt>
                <c:pt idx="80">
                  <c:v>-19.877815840240537</c:v>
                </c:pt>
                <c:pt idx="81">
                  <c:v>-19.795879350776371</c:v>
                </c:pt>
                <c:pt idx="82">
                  <c:v>-19.71434963081359</c:v>
                </c:pt>
                <c:pt idx="83">
                  <c:v>-19.63322402448863</c:v>
                </c:pt>
                <c:pt idx="84">
                  <c:v>-19.552499897794526</c:v>
                </c:pt>
                <c:pt idx="85">
                  <c:v>-19.472174638365107</c:v>
                </c:pt>
                <c:pt idx="86">
                  <c:v>-19.392245655261526</c:v>
                </c:pt>
                <c:pt idx="87">
                  <c:v>-19.312710378761299</c:v>
                </c:pt>
                <c:pt idx="88">
                  <c:v>-19.233566260149779</c:v>
                </c:pt>
                <c:pt idx="89">
                  <c:v>-19.15481077151405</c:v>
                </c:pt>
                <c:pt idx="90">
                  <c:v>-19.076441405539136</c:v>
                </c:pt>
                <c:pt idx="91">
                  <c:v>-18.998455675306531</c:v>
                </c:pt>
                <c:pt idx="92">
                  <c:v>-18.920851114095072</c:v>
                </c:pt>
                <c:pt idx="93">
                  <c:v>-18.843625275184067</c:v>
                </c:pt>
                <c:pt idx="94">
                  <c:v>-18.766775731658647</c:v>
                </c:pt>
                <c:pt idx="95">
                  <c:v>-18.690300076217351</c:v>
                </c:pt>
                <c:pt idx="96">
                  <c:v>-18.614195920981896</c:v>
                </c:pt>
                <c:pt idx="97">
                  <c:v>-18.538460897309079</c:v>
                </c:pt>
                <c:pt idx="98">
                  <c:v>-18.463092655604811</c:v>
                </c:pt>
                <c:pt idx="99">
                  <c:v>-18.388088865140258</c:v>
                </c:pt>
                <c:pt idx="100">
                  <c:v>-18.313447213870106</c:v>
                </c:pt>
                <c:pt idx="101">
                  <c:v>-18.239165408252703</c:v>
                </c:pt>
                <c:pt idx="102">
                  <c:v>-17.507378275711726</c:v>
                </c:pt>
                <c:pt idx="103">
                  <c:v>-16.810112064992769</c:v>
                </c:pt>
                <c:pt idx="104">
                  <c:v>-16.145256875427421</c:v>
                </c:pt>
                <c:pt idx="105">
                  <c:v>-15.510863735308263</c:v>
                </c:pt>
                <c:pt idx="106">
                  <c:v>-14.905130046812438</c:v>
                </c:pt>
                <c:pt idx="107">
                  <c:v>-14.326386549998062</c:v>
                </c:pt>
                <c:pt idx="108">
                  <c:v>-13.773085626855591</c:v>
                </c:pt>
                <c:pt idx="109">
                  <c:v>-13.243790789840869</c:v>
                </c:pt>
                <c:pt idx="110">
                  <c:v>-12.73716721939134</c:v>
                </c:pt>
                <c:pt idx="111">
                  <c:v>-12.25197323215928</c:v>
                </c:pt>
                <c:pt idx="112">
                  <c:v>-11.787052576522214</c:v>
                </c:pt>
                <c:pt idx="113">
                  <c:v>-11.341327464716272</c:v>
                </c:pt>
                <c:pt idx="114">
                  <c:v>-10.913792261988647</c:v>
                </c:pt>
                <c:pt idx="115">
                  <c:v>-10.503507762735957</c:v>
                </c:pt>
                <c:pt idx="116">
                  <c:v>-10.109595991902358</c:v>
                </c:pt>
                <c:pt idx="117">
                  <c:v>-9.7312354771351135</c:v>
                </c:pt>
                <c:pt idx="118">
                  <c:v>-9.367656943491081</c:v>
                </c:pt>
                <c:pt idx="119">
                  <c:v>-9.0181393879830321</c:v>
                </c:pt>
                <c:pt idx="120">
                  <c:v>-8.6820064960624972</c:v>
                </c:pt>
                <c:pt idx="121">
                  <c:v>-8.3586233663480609</c:v>
                </c:pt>
                <c:pt idx="122">
                  <c:v>-8.0473935136058223</c:v>
                </c:pt>
                <c:pt idx="123">
                  <c:v>-7.7477561232401317</c:v>
                </c:pt>
                <c:pt idx="124">
                  <c:v>-7.4591835334166587</c:v>
                </c:pt>
                <c:pt idx="125">
                  <c:v>-7.1811789234660672</c:v>
                </c:pt>
                <c:pt idx="126">
                  <c:v>-6.9132741894492291</c:v>
                </c:pt>
                <c:pt idx="127">
                  <c:v>-6.6550279897403088</c:v>
                </c:pt>
                <c:pt idx="128">
                  <c:v>-6.4060239452351544</c:v>
                </c:pt>
                <c:pt idx="129">
                  <c:v>-6.1658689803465414</c:v>
                </c:pt>
                <c:pt idx="130">
                  <c:v>-5.9341917923293686</c:v>
                </c:pt>
                <c:pt idx="131">
                  <c:v>-5.7106414377084755</c:v>
                </c:pt>
                <c:pt idx="132">
                  <c:v>-5.4948860256778751</c:v>
                </c:pt>
                <c:pt idx="133">
                  <c:v>-5.2866115093185195</c:v>
                </c:pt>
                <c:pt idx="134">
                  <c:v>-5.0855205663557719</c:v>
                </c:pt>
                <c:pt idx="135">
                  <c:v>-4.8913315619602864</c:v>
                </c:pt>
                <c:pt idx="136">
                  <c:v>-4.7037775867967655</c:v>
                </c:pt>
                <c:pt idx="137">
                  <c:v>-4.5226055641538263</c:v>
                </c:pt>
                <c:pt idx="138">
                  <c:v>-4.347575420552813</c:v>
                </c:pt>
                <c:pt idx="139">
                  <c:v>-4.1784593147412021</c:v>
                </c:pt>
                <c:pt idx="140">
                  <c:v>-4.0150409204330968</c:v>
                </c:pt>
                <c:pt idx="141">
                  <c:v>-3.8571147585712731</c:v>
                </c:pt>
                <c:pt idx="142">
                  <c:v>-3.7044855752566659</c:v>
                </c:pt>
                <c:pt idx="143">
                  <c:v>-3.5569677618267566</c:v>
                </c:pt>
                <c:pt idx="144">
                  <c:v>-3.4143848138675832</c:v>
                </c:pt>
                <c:pt idx="145">
                  <c:v>-3.2765688262185937</c:v>
                </c:pt>
                <c:pt idx="146">
                  <c:v>-3.143360021278176</c:v>
                </c:pt>
                <c:pt idx="147">
                  <c:v>-3.0146063081430574</c:v>
                </c:pt>
                <c:pt idx="148">
                  <c:v>-2.890162870319378</c:v>
                </c:pt>
                <c:pt idx="149">
                  <c:v>-2.7698917799290133</c:v>
                </c:pt>
                <c:pt idx="150">
                  <c:v>-2.6536616365036103</c:v>
                </c:pt>
                <c:pt idx="151">
                  <c:v>-2.5413472286125005</c:v>
                </c:pt>
                <c:pt idx="152">
                  <c:v>-2.4328292167105463</c:v>
                </c:pt>
                <c:pt idx="153">
                  <c:v>-2.3279938357194823</c:v>
                </c:pt>
                <c:pt idx="154">
                  <c:v>-2.2267326159725473</c:v>
                </c:pt>
                <c:pt idx="155">
                  <c:v>-2.1289421212582544</c:v>
                </c:pt>
                <c:pt idx="156">
                  <c:v>-2.0345237027959429</c:v>
                </c:pt>
                <c:pt idx="157">
                  <c:v>-1.943383268064139</c:v>
                </c:pt>
                <c:pt idx="158">
                  <c:v>-1.85543106348352</c:v>
                </c:pt>
                <c:pt idx="159">
                  <c:v>-1.7705814700299569</c:v>
                </c:pt>
                <c:pt idx="160">
                  <c:v>-1.6887528109205725</c:v>
                </c:pt>
                <c:pt idx="161">
                  <c:v>-1.6098671705771626</c:v>
                </c:pt>
                <c:pt idx="162">
                  <c:v>-1.5338502241275593</c:v>
                </c:pt>
                <c:pt idx="163">
                  <c:v>-1.4606310767565942</c:v>
                </c:pt>
                <c:pt idx="164">
                  <c:v>-1.3901421122649509</c:v>
                </c:pt>
                <c:pt idx="165">
                  <c:v>-1.3223188502364667</c:v>
                </c:pt>
                <c:pt idx="166">
                  <c:v>-1.2570998112527201</c:v>
                </c:pt>
                <c:pt idx="167">
                  <c:v>-1.1944263896282528</c:v>
                </c:pt>
                <c:pt idx="168">
                  <c:v>-1.1342427331707032</c:v>
                </c:pt>
                <c:pt idx="169">
                  <c:v>-1.0764956294976178</c:v>
                </c:pt>
                <c:pt idx="170">
                  <c:v>-1.0211343984658603</c:v>
                </c:pt>
                <c:pt idx="171">
                  <c:v>-0.96811079029049807</c:v>
                </c:pt>
                <c:pt idx="172">
                  <c:v>-0.91737888894774533</c:v>
                </c:pt>
                <c:pt idx="173">
                  <c:v>-0.86889502047110101</c:v>
                </c:pt>
                <c:pt idx="174">
                  <c:v>-0.82261766576115003</c:v>
                </c:pt>
                <c:pt idx="175">
                  <c:v>-0.77850737753758004</c:v>
                </c:pt>
                <c:pt idx="176">
                  <c:v>-0.73652670106671347</c:v>
                </c:pt>
                <c:pt idx="177">
                  <c:v>-0.69664009829927398</c:v>
                </c:pt>
                <c:pt idx="178">
                  <c:v>-0.65881387505101929</c:v>
                </c:pt>
                <c:pt idx="179">
                  <c:v>-0.62301611085338904</c:v>
                </c:pt>
                <c:pt idx="180">
                  <c:v>-0.58921659109241664</c:v>
                </c:pt>
                <c:pt idx="181">
                  <c:v>-0.55738674104200681</c:v>
                </c:pt>
                <c:pt idx="182">
                  <c:v>-0.52749956138270993</c:v>
                </c:pt>
                <c:pt idx="183">
                  <c:v>-0.49952956477987687</c:v>
                </c:pt>
                <c:pt idx="184">
                  <c:v>-0.47345271307657144</c:v>
                </c:pt>
                <c:pt idx="185">
                  <c:v>-0.44924635463833185</c:v>
                </c:pt>
                <c:pt idx="186">
                  <c:v>-0.42688916137077065</c:v>
                </c:pt>
                <c:pt idx="187">
                  <c:v>-0.40636106491993135</c:v>
                </c:pt>
                <c:pt idx="188">
                  <c:v>-0.38764319156267035</c:v>
                </c:pt>
                <c:pt idx="189">
                  <c:v>-0.37071779530440757</c:v>
                </c:pt>
                <c:pt idx="190">
                  <c:v>-0.35556818872919821</c:v>
                </c:pt>
                <c:pt idx="191">
                  <c:v>-0.3421786711972597</c:v>
                </c:pt>
                <c:pt idx="192">
                  <c:v>-0.33053445406263665</c:v>
                </c:pt>
                <c:pt idx="193">
                  <c:v>-0.32062158269207441</c:v>
                </c:pt>
                <c:pt idx="194">
                  <c:v>-0.31242685520678387</c:v>
                </c:pt>
                <c:pt idx="195">
                  <c:v>-0.30593773803952368</c:v>
                </c:pt>
                <c:pt idx="196">
                  <c:v>-0.3011422785940211</c:v>
                </c:pt>
                <c:pt idx="197">
                  <c:v>-0.29802901550116861</c:v>
                </c:pt>
                <c:pt idx="198">
                  <c:v>-0.29658688717136905</c:v>
                </c:pt>
                <c:pt idx="199">
                  <c:v>-0.29680513952673493</c:v>
                </c:pt>
                <c:pt idx="200">
                  <c:v>-0.29867323394202477</c:v>
                </c:pt>
                <c:pt idx="201">
                  <c:v>-0.30218075651330972</c:v>
                </c:pt>
                <c:pt idx="202">
                  <c:v>-0.3073173297979353</c:v>
                </c:pt>
                <c:pt idx="203">
                  <c:v>-0.31407252812555181</c:v>
                </c:pt>
                <c:pt idx="204">
                  <c:v>-0.32243579747307732</c:v>
                </c:pt>
                <c:pt idx="205">
                  <c:v>-0.33239638073886951</c:v>
                </c:pt>
                <c:pt idx="206">
                  <c:v>-0.34394324906029877</c:v>
                </c:pt>
                <c:pt idx="207">
                  <c:v>-0.35706503961324004</c:v>
                </c:pt>
                <c:pt idx="208">
                  <c:v>-0.37175000012946913</c:v>
                </c:pt>
                <c:pt idx="209">
                  <c:v>-0.38798594018289018</c:v>
                </c:pt>
                <c:pt idx="210">
                  <c:v>-0.40576018913763712</c:v>
                </c:pt>
                <c:pt idx="211">
                  <c:v>-0.42505956052543786</c:v>
                </c:pt>
                <c:pt idx="212">
                  <c:v>-0.44587032252704534</c:v>
                </c:pt>
                <c:pt idx="213">
                  <c:v>-0.4681781741708641</c:v>
                </c:pt>
                <c:pt idx="214">
                  <c:v>-0.49196822682698649</c:v>
                </c:pt>
                <c:pt idx="215">
                  <c:v>-0.51722499056167681</c:v>
                </c:pt>
                <c:pt idx="216">
                  <c:v>-0.54393236492075148</c:v>
                </c:pt>
                <c:pt idx="217">
                  <c:v>-0.57207363372554065</c:v>
                </c:pt>
                <c:pt idx="218">
                  <c:v>-0.60163146348815266</c:v>
                </c:pt>
                <c:pt idx="219">
                  <c:v>-0.63258790508030349</c:v>
                </c:pt>
                <c:pt idx="220">
                  <c:v>-0.66492439831955319</c:v>
                </c:pt>
                <c:pt idx="221">
                  <c:v>-0.6986217791666095</c:v>
                </c:pt>
                <c:pt idx="222">
                  <c:v>-0.73366028925619942</c:v>
                </c:pt>
                <c:pt idx="223">
                  <c:v>-0.77001958751108013</c:v>
                </c:pt>
                <c:pt idx="224">
                  <c:v>-0.80767876361367297</c:v>
                </c:pt>
                <c:pt idx="225">
                  <c:v>-0.84661635313233174</c:v>
                </c:pt>
                <c:pt idx="226">
                  <c:v>-0.88681035411940412</c:v>
                </c:pt>
                <c:pt idx="227">
                  <c:v>-0.92823824501611318</c:v>
                </c:pt>
                <c:pt idx="228">
                  <c:v>-0.97087700371500363</c:v>
                </c:pt>
                <c:pt idx="229">
                  <c:v>-1.0147031276444909</c:v>
                </c:pt>
                <c:pt idx="230">
                  <c:v>-1.059692654752119</c:v>
                </c:pt>
                <c:pt idx="231">
                  <c:v>-1.1058211852736342</c:v>
                </c:pt>
                <c:pt idx="232">
                  <c:v>-1.1530639041842103</c:v>
                </c:pt>
                <c:pt idx="233">
                  <c:v>-1.2013956042361937</c:v>
                </c:pt>
                <c:pt idx="234">
                  <c:v>-1.2507907094947825</c:v>
                </c:pt>
                <c:pt idx="235">
                  <c:v>-1.3012232992892956</c:v>
                </c:pt>
                <c:pt idx="236">
                  <c:v>-1.3526671325031649</c:v>
                </c:pt>
                <c:pt idx="237">
                  <c:v>-1.4050956721306851</c:v>
                </c:pt>
                <c:pt idx="238">
                  <c:v>-1.4584821100329493</c:v>
                </c:pt>
                <c:pt idx="239">
                  <c:v>-1.512799391829349</c:v>
                </c:pt>
                <c:pt idx="240">
                  <c:v>-1.5680202418646332</c:v>
                </c:pt>
                <c:pt idx="241">
                  <c:v>-1.6241171881948089</c:v>
                </c:pt>
                <c:pt idx="242">
                  <c:v>-1.6810625875382508</c:v>
                </c:pt>
                <c:pt idx="243">
                  <c:v>-1.738828650141216</c:v>
                </c:pt>
                <c:pt idx="244">
                  <c:v>-1.7973874645096743</c:v>
                </c:pt>
                <c:pt idx="245">
                  <c:v>-1.8567110219618743</c:v>
                </c:pt>
                <c:pt idx="246">
                  <c:v>-1.9167712409585174</c:v>
                </c:pt>
                <c:pt idx="247">
                  <c:v>-1.9775399911697407</c:v>
                </c:pt>
                <c:pt idx="248">
                  <c:v>-2.0389891172403436</c:v>
                </c:pt>
                <c:pt idx="249">
                  <c:v>-2.1010904622168756</c:v>
                </c:pt>
                <c:pt idx="250">
                  <c:v>-2.163815890602355</c:v>
                </c:pt>
                <c:pt idx="251">
                  <c:v>-2.2271373110063934</c:v>
                </c:pt>
                <c:pt idx="252">
                  <c:v>-2.2910266983606147</c:v>
                </c:pt>
                <c:pt idx="253">
                  <c:v>-2.3554561156711715</c:v>
                </c:pt>
                <c:pt idx="254">
                  <c:v>-2.4203977352821546</c:v>
                </c:pt>
                <c:pt idx="255">
                  <c:v>-2.485823859625595</c:v>
                </c:pt>
                <c:pt idx="256">
                  <c:v>-2.5517069414356475</c:v>
                </c:pt>
                <c:pt idx="257">
                  <c:v>-2.6180196034064007</c:v>
                </c:pt>
                <c:pt idx="258">
                  <c:v>-2.6847346572745678</c:v>
                </c:pt>
                <c:pt idx="259">
                  <c:v>-2.7518251223101049</c:v>
                </c:pt>
                <c:pt idx="260">
                  <c:v>-2.8192642431995742</c:v>
                </c:pt>
                <c:pt idx="261">
                  <c:v>-2.8870255073087581</c:v>
                </c:pt>
                <c:pt idx="262">
                  <c:v>-2.9550826613127259</c:v>
                </c:pt>
                <c:pt idx="263">
                  <c:v>-3.0234097271832314</c:v>
                </c:pt>
                <c:pt idx="264">
                  <c:v>-3.0919810175248457</c:v>
                </c:pt>
                <c:pt idx="265">
                  <c:v>-3.160771150252883</c:v>
                </c:pt>
                <c:pt idx="266">
                  <c:v>-3.2297550626076452</c:v>
                </c:pt>
                <c:pt idx="267">
                  <c:v>-3.2989080245009723</c:v>
                </c:pt>
                <c:pt idx="268">
                  <c:v>-3.3682056511926017</c:v>
                </c:pt>
                <c:pt idx="269">
                  <c:v>-3.4376239152950872</c:v>
                </c:pt>
                <c:pt idx="270">
                  <c:v>-3.5071391581074915</c:v>
                </c:pt>
                <c:pt idx="271">
                  <c:v>-3.5767281002792766</c:v>
                </c:pt>
                <c:pt idx="272">
                  <c:v>-3.6463678518070579</c:v>
                </c:pt>
                <c:pt idx="273">
                  <c:v>-3.7160359213680874</c:v>
                </c:pt>
                <c:pt idx="274">
                  <c:v>-3.7857102249954284</c:v>
                </c:pt>
                <c:pt idx="275">
                  <c:v>-3.8553690941009005</c:v>
                </c:pt>
                <c:pt idx="276">
                  <c:v>-3.9249912828528104</c:v>
                </c:pt>
                <c:pt idx="277">
                  <c:v>-3.9945559749165862</c:v>
                </c:pt>
                <c:pt idx="278">
                  <c:v>-4.0640427895671518</c:v>
                </c:pt>
                <c:pt idx="279">
                  <c:v>-4.1334317871829205</c:v>
                </c:pt>
                <c:pt idx="280">
                  <c:v>-4.2027034741319511</c:v>
                </c:pt>
                <c:pt idx="281">
                  <c:v>-4.2718388070616147</c:v>
                </c:pt>
                <c:pt idx="282">
                  <c:v>-4.3408191966037917</c:v>
                </c:pt>
                <c:pt idx="283">
                  <c:v>-4.4096265105082857</c:v>
                </c:pt>
                <c:pt idx="284">
                  <c:v>-4.4782430762176322</c:v>
                </c:pt>
                <c:pt idx="285">
                  <c:v>-4.5466516828971537</c:v>
                </c:pt>
                <c:pt idx="286">
                  <c:v>-4.6148355829344432</c:v>
                </c:pt>
                <c:pt idx="287">
                  <c:v>-4.6827784929230152</c:v>
                </c:pt>
                <c:pt idx="288">
                  <c:v>-4.7504645941451269</c:v>
                </c:pt>
                <c:pt idx="289">
                  <c:v>-4.8178785325691997</c:v>
                </c:pt>
                <c:pt idx="290">
                  <c:v>-4.8850054183774976</c:v>
                </c:pt>
                <c:pt idx="291">
                  <c:v>-4.9518308250399841</c:v>
                </c:pt>
                <c:pt idx="292">
                  <c:v>-5.0183407879504562</c:v>
                </c:pt>
                <c:pt idx="293">
                  <c:v>-5.0845218026412295</c:v>
                </c:pt>
                <c:pt idx="294">
                  <c:v>-5.1503608225927344</c:v>
                </c:pt>
                <c:pt idx="295">
                  <c:v>-5.2158452566544735</c:v>
                </c:pt>
                <c:pt idx="296">
                  <c:v>-5.2809629660938437</c:v>
                </c:pt>
                <c:pt idx="297">
                  <c:v>-5.3457022612892375</c:v>
                </c:pt>
                <c:pt idx="298">
                  <c:v>-5.4100518980839638</c:v>
                </c:pt>
                <c:pt idx="299">
                  <c:v>-5.4740010738172655</c:v>
                </c:pt>
                <c:pt idx="300">
                  <c:v>-5.5375394230487922</c:v>
                </c:pt>
                <c:pt idx="301">
                  <c:v>-5.600657012992599</c:v>
                </c:pt>
                <c:pt idx="302">
                  <c:v>-5.6633443386767617</c:v>
                </c:pt>
                <c:pt idx="303">
                  <c:v>-5.7255923178442965</c:v>
                </c:pt>
                <c:pt idx="304">
                  <c:v>-5.7873922856111211</c:v>
                </c:pt>
                <c:pt idx="305">
                  <c:v>-5.8487359888963164</c:v>
                </c:pt>
                <c:pt idx="306">
                  <c:v>-5.9096155806399313</c:v>
                </c:pt>
                <c:pt idx="307">
                  <c:v>-5.9700236138230576</c:v>
                </c:pt>
                <c:pt idx="308">
                  <c:v>-6.0299530353049065</c:v>
                </c:pt>
                <c:pt idx="309">
                  <c:v>-6.0893971794910158</c:v>
                </c:pt>
                <c:pt idx="310">
                  <c:v>-6.1483497618466583</c:v>
                </c:pt>
                <c:pt idx="311">
                  <c:v>-6.2068048722689948</c:v>
                </c:pt>
                <c:pt idx="312">
                  <c:v>-6.26475696833133</c:v>
                </c:pt>
                <c:pt idx="313">
                  <c:v>-6.3222008684123621</c:v>
                </c:pt>
                <c:pt idx="314">
                  <c:v>-6.3791317447230336</c:v>
                </c:pt>
                <c:pt idx="315">
                  <c:v>-6.4355451162431567</c:v>
                </c:pt>
                <c:pt idx="316">
                  <c:v>-6.4914368415797128</c:v>
                </c:pt>
                <c:pt idx="317">
                  <c:v>-6.5468031117582051</c:v>
                </c:pt>
                <c:pt idx="318">
                  <c:v>-6.601640442958228</c:v>
                </c:pt>
                <c:pt idx="319">
                  <c:v>-6.655945669203871</c:v>
                </c:pt>
                <c:pt idx="320">
                  <c:v>-6.7097159350192834</c:v>
                </c:pt>
                <c:pt idx="321">
                  <c:v>-6.7629486880593506</c:v>
                </c:pt>
                <c:pt idx="322">
                  <c:v>-6.8156416717249408</c:v>
                </c:pt>
                <c:pt idx="323">
                  <c:v>-6.8677929177719346</c:v>
                </c:pt>
                <c:pt idx="324">
                  <c:v>-6.9194007389227048</c:v>
                </c:pt>
                <c:pt idx="325">
                  <c:v>-6.9704637214885068</c:v>
                </c:pt>
                <c:pt idx="326">
                  <c:v>-7.0209807180107182</c:v>
                </c:pt>
                <c:pt idx="327">
                  <c:v>-7.070950839928523</c:v>
                </c:pt>
                <c:pt idx="328">
                  <c:v>-7.1203734502803258</c:v>
                </c:pt>
                <c:pt idx="329">
                  <c:v>-7.1692481564457644</c:v>
                </c:pt>
                <c:pt idx="330">
                  <c:v>-7.2175748029347933</c:v>
                </c:pt>
                <c:pt idx="331">
                  <c:v>-7.265353464230051</c:v>
                </c:pt>
                <c:pt idx="332">
                  <c:v>-7.3125844376882636</c:v>
                </c:pt>
                <c:pt idx="333">
                  <c:v>-7.3592682365062254</c:v>
                </c:pt>
                <c:pt idx="334">
                  <c:v>-7.4054055827564191</c:v>
                </c:pt>
                <c:pt idx="335">
                  <c:v>-7.4509974004971138</c:v>
                </c:pt>
                <c:pt idx="336">
                  <c:v>-7.496044808961452</c:v>
                </c:pt>
                <c:pt idx="337">
                  <c:v>-7.5405491158296503</c:v>
                </c:pt>
                <c:pt idx="338">
                  <c:v>-7.5845118105882401</c:v>
                </c:pt>
                <c:pt idx="339">
                  <c:v>-7.6279345579798949</c:v>
                </c:pt>
                <c:pt idx="340">
                  <c:v>-7.6708191915471673</c:v>
                </c:pt>
                <c:pt idx="341">
                  <c:v>-7.7131677072730929</c:v>
                </c:pt>
                <c:pt idx="342">
                  <c:v>-7.7549822573215508</c:v>
                </c:pt>
                <c:pt idx="343">
                  <c:v>-7.7962651438796664</c:v>
                </c:pt>
                <c:pt idx="344">
                  <c:v>-7.8370188131047218</c:v>
                </c:pt>
                <c:pt idx="345">
                  <c:v>-7.8772458491773865</c:v>
                </c:pt>
                <c:pt idx="346">
                  <c:v>-7.9169489684631591</c:v>
                </c:pt>
                <c:pt idx="347">
                  <c:v>-7.9561310137835077</c:v>
                </c:pt>
                <c:pt idx="348">
                  <c:v>-7.9947949487980665</c:v>
                </c:pt>
                <c:pt idx="349">
                  <c:v>-8.0329438524990202</c:v>
                </c:pt>
                <c:pt idx="350">
                  <c:v>-8.0705809138185334</c:v>
                </c:pt>
                <c:pt idx="351">
                  <c:v>-8.1077094263500911</c:v>
                </c:pt>
                <c:pt idx="352">
                  <c:v>-8.1443327831842005</c:v>
                </c:pt>
                <c:pt idx="353">
                  <c:v>-8.1804544718588978</c:v>
                </c:pt>
                <c:pt idx="354">
                  <c:v>-8.2160780694252509</c:v>
                </c:pt>
                <c:pt idx="355">
                  <c:v>-8.2512072376279839</c:v>
                </c:pt>
                <c:pt idx="356">
                  <c:v>-8.2858457182010863</c:v>
                </c:pt>
                <c:pt idx="357">
                  <c:v>-8.3199973282782036</c:v>
                </c:pt>
                <c:pt idx="358">
                  <c:v>-8.353665955917517</c:v>
                </c:pt>
                <c:pt idx="359">
                  <c:v>-8.3868555557405227</c:v>
                </c:pt>
                <c:pt idx="360">
                  <c:v>-8.419570144684247</c:v>
                </c:pt>
                <c:pt idx="361">
                  <c:v>-8.4518137978661212</c:v>
                </c:pt>
                <c:pt idx="362">
                  <c:v>-8.4835906445606923</c:v>
                </c:pt>
                <c:pt idx="363">
                  <c:v>-8.5149048642873364</c:v>
                </c:pt>
                <c:pt idx="364">
                  <c:v>-8.5457606830079218</c:v>
                </c:pt>
                <c:pt idx="365">
                  <c:v>-8.5761623694333728</c:v>
                </c:pt>
                <c:pt idx="366">
                  <c:v>-8.6061142314379673</c:v>
                </c:pt>
                <c:pt idx="367">
                  <c:v>-8.6356206125800945</c:v>
                </c:pt>
                <c:pt idx="368">
                  <c:v>-8.6646858887283251</c:v>
                </c:pt>
                <c:pt idx="369">
                  <c:v>-8.6933144647911895</c:v>
                </c:pt>
                <c:pt idx="370">
                  <c:v>-8.7215107715494895</c:v>
                </c:pt>
                <c:pt idx="371">
                  <c:v>-8.7492792625895195</c:v>
                </c:pt>
                <c:pt idx="372">
                  <c:v>-8.7766244113357814</c:v>
                </c:pt>
                <c:pt idx="373">
                  <c:v>-8.8035507081815201</c:v>
                </c:pt>
                <c:pt idx="374">
                  <c:v>-8.8300626577156347</c:v>
                </c:pt>
                <c:pt idx="375">
                  <c:v>-8.8561647760441957</c:v>
                </c:pt>
                <c:pt idx="376">
                  <c:v>-8.8818615882050231</c:v>
                </c:pt>
                <c:pt idx="377">
                  <c:v>-8.9071576256735447</c:v>
                </c:pt>
                <c:pt idx="378">
                  <c:v>-8.9320574239583337</c:v>
                </c:pt>
                <c:pt idx="379">
                  <c:v>-8.9565655202844798</c:v>
                </c:pt>
                <c:pt idx="380">
                  <c:v>-8.9806864513632032</c:v>
                </c:pt>
                <c:pt idx="381">
                  <c:v>-9.0044247512457964</c:v>
                </c:pt>
                <c:pt idx="382">
                  <c:v>-9.0277849492602869</c:v>
                </c:pt>
                <c:pt idx="383">
                  <c:v>-9.0507715680289476</c:v>
                </c:pt>
                <c:pt idx="384">
                  <c:v>-9.07338912156494</c:v>
                </c:pt>
                <c:pt idx="385">
                  <c:v>-9.0734113453766252</c:v>
                </c:pt>
                <c:pt idx="386">
                  <c:v>-9.0734335688302572</c:v>
                </c:pt>
                <c:pt idx="387">
                  <c:v>-9.0734557919258396</c:v>
                </c:pt>
                <c:pt idx="388">
                  <c:v>-9.0734780146633849</c:v>
                </c:pt>
                <c:pt idx="389">
                  <c:v>-9.073500237042893</c:v>
                </c:pt>
                <c:pt idx="390">
                  <c:v>-9.0735224590643639</c:v>
                </c:pt>
                <c:pt idx="391">
                  <c:v>-9.0735446807278137</c:v>
                </c:pt>
                <c:pt idx="392">
                  <c:v>-9.0735669020332281</c:v>
                </c:pt>
                <c:pt idx="393">
                  <c:v>-9.0735891229806338</c:v>
                </c:pt>
                <c:pt idx="394">
                  <c:v>-9.0736113435700183</c:v>
                </c:pt>
                <c:pt idx="395">
                  <c:v>-9.0736335638013923</c:v>
                </c:pt>
                <c:pt idx="396">
                  <c:v>-9.0736557836747593</c:v>
                </c:pt>
                <c:pt idx="397">
                  <c:v>-9.0736780031901265</c:v>
                </c:pt>
                <c:pt idx="398">
                  <c:v>-9.0737002223474938</c:v>
                </c:pt>
                <c:pt idx="399">
                  <c:v>-9.0737224411468684</c:v>
                </c:pt>
                <c:pt idx="400">
                  <c:v>-9.0737446595882503</c:v>
                </c:pt>
                <c:pt idx="401">
                  <c:v>-9.0737668776716536</c:v>
                </c:pt>
                <c:pt idx="402">
                  <c:v>-9.073789095397073</c:v>
                </c:pt>
                <c:pt idx="403">
                  <c:v>-9.0738113127645192</c:v>
                </c:pt>
                <c:pt idx="404">
                  <c:v>-9.0738335297739869</c:v>
                </c:pt>
                <c:pt idx="405">
                  <c:v>-9.0738557464254956</c:v>
                </c:pt>
                <c:pt idx="406">
                  <c:v>-9.0738779627190382</c:v>
                </c:pt>
                <c:pt idx="407">
                  <c:v>-9.0739001786546183</c:v>
                </c:pt>
                <c:pt idx="408">
                  <c:v>-9.0739223942322518</c:v>
                </c:pt>
                <c:pt idx="409">
                  <c:v>-9.0739446094519298</c:v>
                </c:pt>
                <c:pt idx="410">
                  <c:v>-9.0739668243136613</c:v>
                </c:pt>
                <c:pt idx="411">
                  <c:v>-9.0739890388174551</c:v>
                </c:pt>
                <c:pt idx="412">
                  <c:v>-9.074011252963313</c:v>
                </c:pt>
                <c:pt idx="413">
                  <c:v>-9.0740334667512368</c:v>
                </c:pt>
                <c:pt idx="414">
                  <c:v>-9.0740556801812335</c:v>
                </c:pt>
                <c:pt idx="415">
                  <c:v>-9.0740778932533104</c:v>
                </c:pt>
                <c:pt idx="416">
                  <c:v>-9.0741001059674637</c:v>
                </c:pt>
                <c:pt idx="417">
                  <c:v>-9.0741223183237043</c:v>
                </c:pt>
                <c:pt idx="418">
                  <c:v>-9.0741445303220338</c:v>
                </c:pt>
                <c:pt idx="419">
                  <c:v>-9.0741667419624594</c:v>
                </c:pt>
                <c:pt idx="420">
                  <c:v>-9.0741889532449811</c:v>
                </c:pt>
                <c:pt idx="421">
                  <c:v>-9.0742111641696095</c:v>
                </c:pt>
                <c:pt idx="422">
                  <c:v>-9.0742333747363357</c:v>
                </c:pt>
                <c:pt idx="423">
                  <c:v>-9.0742555849451811</c:v>
                </c:pt>
                <c:pt idx="424">
                  <c:v>-9.0742777947961404</c:v>
                </c:pt>
                <c:pt idx="425">
                  <c:v>-9.0743000042892259</c:v>
                </c:pt>
                <c:pt idx="426">
                  <c:v>-9.0743222134244288</c:v>
                </c:pt>
                <c:pt idx="427">
                  <c:v>-9.0743444222017651</c:v>
                </c:pt>
                <c:pt idx="428">
                  <c:v>-9.0743666306212329</c:v>
                </c:pt>
                <c:pt idx="429">
                  <c:v>-9.0743888386828395</c:v>
                </c:pt>
                <c:pt idx="430">
                  <c:v>-9.0744110463865901</c:v>
                </c:pt>
                <c:pt idx="431">
                  <c:v>-9.0744332537324812</c:v>
                </c:pt>
                <c:pt idx="432">
                  <c:v>-9.0744554607205341</c:v>
                </c:pt>
                <c:pt idx="433">
                  <c:v>-9.0744776673507346</c:v>
                </c:pt>
                <c:pt idx="434">
                  <c:v>-9.0744998736230951</c:v>
                </c:pt>
                <c:pt idx="435">
                  <c:v>-9.0745220795376227</c:v>
                </c:pt>
                <c:pt idx="436">
                  <c:v>-9.0745442850943192</c:v>
                </c:pt>
                <c:pt idx="437">
                  <c:v>-9.07456649029319</c:v>
                </c:pt>
                <c:pt idx="438">
                  <c:v>-9.0745886951342349</c:v>
                </c:pt>
                <c:pt idx="439">
                  <c:v>-9.0746108996174595</c:v>
                </c:pt>
                <c:pt idx="440">
                  <c:v>-9.0746331037428778</c:v>
                </c:pt>
                <c:pt idx="441">
                  <c:v>-9.0746553075104863</c:v>
                </c:pt>
                <c:pt idx="442">
                  <c:v>-9.0746775109202815</c:v>
                </c:pt>
                <c:pt idx="443">
                  <c:v>-9.0746997139722883</c:v>
                </c:pt>
                <c:pt idx="444">
                  <c:v>-9.0747219166664888</c:v>
                </c:pt>
                <c:pt idx="445">
                  <c:v>-9.0747441190029008</c:v>
                </c:pt>
                <c:pt idx="446">
                  <c:v>-9.0747663209815261</c:v>
                </c:pt>
                <c:pt idx="447">
                  <c:v>-9.0747885226023683</c:v>
                </c:pt>
                <c:pt idx="448">
                  <c:v>-9.0748107238654274</c:v>
                </c:pt>
                <c:pt idx="449">
                  <c:v>-9.0748329247707229</c:v>
                </c:pt>
                <c:pt idx="450">
                  <c:v>-9.0748551253182388</c:v>
                </c:pt>
                <c:pt idx="451">
                  <c:v>-9.0748773255079875</c:v>
                </c:pt>
                <c:pt idx="452">
                  <c:v>-9.0748995253399833</c:v>
                </c:pt>
                <c:pt idx="453">
                  <c:v>-9.0749217248142173</c:v>
                </c:pt>
                <c:pt idx="454">
                  <c:v>-9.0749439239307055</c:v>
                </c:pt>
                <c:pt idx="455">
                  <c:v>-9.0749661226894389</c:v>
                </c:pt>
                <c:pt idx="456">
                  <c:v>-9.074988321090439</c:v>
                </c:pt>
                <c:pt idx="457">
                  <c:v>-9.0750105191336896</c:v>
                </c:pt>
                <c:pt idx="458">
                  <c:v>-9.0750327168192069</c:v>
                </c:pt>
                <c:pt idx="459">
                  <c:v>-9.0750549141469978</c:v>
                </c:pt>
                <c:pt idx="460">
                  <c:v>-9.0750771111170572</c:v>
                </c:pt>
                <c:pt idx="461">
                  <c:v>-9.0750993077294009</c:v>
                </c:pt>
                <c:pt idx="462">
                  <c:v>-9.0751215039840236</c:v>
                </c:pt>
                <c:pt idx="463">
                  <c:v>-9.0751436998809325</c:v>
                </c:pt>
                <c:pt idx="464">
                  <c:v>-9.0751658954201329</c:v>
                </c:pt>
                <c:pt idx="465">
                  <c:v>-9.0751880906016353</c:v>
                </c:pt>
                <c:pt idx="466">
                  <c:v>-9.0752102854254311</c:v>
                </c:pt>
                <c:pt idx="467">
                  <c:v>-9.075232479891536</c:v>
                </c:pt>
                <c:pt idx="468">
                  <c:v>-9.0752546739999485</c:v>
                </c:pt>
                <c:pt idx="469">
                  <c:v>-9.0752768677506772</c:v>
                </c:pt>
                <c:pt idx="470">
                  <c:v>-9.0752990611437223</c:v>
                </c:pt>
                <c:pt idx="471">
                  <c:v>-9.0753212541790855</c:v>
                </c:pt>
                <c:pt idx="472">
                  <c:v>-9.0753434468567811</c:v>
                </c:pt>
                <c:pt idx="473">
                  <c:v>-9.0753656391768001</c:v>
                </c:pt>
                <c:pt idx="474">
                  <c:v>-9.0753878311391567</c:v>
                </c:pt>
                <c:pt idx="475">
                  <c:v>-9.0754100227438599</c:v>
                </c:pt>
                <c:pt idx="476">
                  <c:v>-9.075432213990906</c:v>
                </c:pt>
                <c:pt idx="477">
                  <c:v>-9.0754544048802934</c:v>
                </c:pt>
                <c:pt idx="478">
                  <c:v>-9.0754765954120415</c:v>
                </c:pt>
                <c:pt idx="479">
                  <c:v>-9.0754987855861433</c:v>
                </c:pt>
                <c:pt idx="480">
                  <c:v>-9.0755209754026112</c:v>
                </c:pt>
                <c:pt idx="481">
                  <c:v>-9.0755431648614433</c:v>
                </c:pt>
                <c:pt idx="482">
                  <c:v>-9.0755653539626469</c:v>
                </c:pt>
                <c:pt idx="483">
                  <c:v>-9.07558754270622</c:v>
                </c:pt>
                <c:pt idx="484">
                  <c:v>-9.0756097310921753</c:v>
                </c:pt>
                <c:pt idx="485">
                  <c:v>-9.0756319191205197</c:v>
                </c:pt>
                <c:pt idx="486">
                  <c:v>-9.0756541067912462</c:v>
                </c:pt>
                <c:pt idx="487">
                  <c:v>-9.0756762941043672</c:v>
                </c:pt>
                <c:pt idx="488">
                  <c:v>-9.0756984810598826</c:v>
                </c:pt>
                <c:pt idx="489">
                  <c:v>-9.0757206676577997</c:v>
                </c:pt>
                <c:pt idx="490">
                  <c:v>-9.0757428538981273</c:v>
                </c:pt>
                <c:pt idx="491">
                  <c:v>-9.0757650397808565</c:v>
                </c:pt>
                <c:pt idx="492">
                  <c:v>-9.0757872253060068</c:v>
                </c:pt>
                <c:pt idx="493">
                  <c:v>-9.0758094104735747</c:v>
                </c:pt>
                <c:pt idx="494">
                  <c:v>-9.075831595283562</c:v>
                </c:pt>
                <c:pt idx="495">
                  <c:v>-9.0758537797359828</c:v>
                </c:pt>
                <c:pt idx="496">
                  <c:v>-9.0758759638308319</c:v>
                </c:pt>
                <c:pt idx="497">
                  <c:v>-9.0758981475681164</c:v>
                </c:pt>
                <c:pt idx="498">
                  <c:v>-9.0759203309478469</c:v>
                </c:pt>
                <c:pt idx="499">
                  <c:v>-9.0759425139700181</c:v>
                </c:pt>
                <c:pt idx="500">
                  <c:v>-9.0759646966346441</c:v>
                </c:pt>
                <c:pt idx="501">
                  <c:v>-9.0759868789417162</c:v>
                </c:pt>
                <c:pt idx="502">
                  <c:v>-9.0760090608912503</c:v>
                </c:pt>
                <c:pt idx="503">
                  <c:v>-9.0760312424832499</c:v>
                </c:pt>
                <c:pt idx="504">
                  <c:v>-9.0760534237177097</c:v>
                </c:pt>
                <c:pt idx="505">
                  <c:v>-9.0760756045946476</c:v>
                </c:pt>
                <c:pt idx="506">
                  <c:v>-9.0760977851140616</c:v>
                </c:pt>
                <c:pt idx="507">
                  <c:v>-9.0761199652759501</c:v>
                </c:pt>
                <c:pt idx="508">
                  <c:v>-9.0761421450803308</c:v>
                </c:pt>
                <c:pt idx="509">
                  <c:v>-9.076164324527193</c:v>
                </c:pt>
                <c:pt idx="510">
                  <c:v>-9.0761865036165528</c:v>
                </c:pt>
                <c:pt idx="511">
                  <c:v>-9.0762086823484083</c:v>
                </c:pt>
                <c:pt idx="512">
                  <c:v>-9.0762308607227666</c:v>
                </c:pt>
                <c:pt idx="513">
                  <c:v>-9.0762530387396279</c:v>
                </c:pt>
                <c:pt idx="514">
                  <c:v>-9.0762752163990044</c:v>
                </c:pt>
                <c:pt idx="515">
                  <c:v>-9.0762973937008926</c:v>
                </c:pt>
                <c:pt idx="516">
                  <c:v>-9.0763195706453068</c:v>
                </c:pt>
                <c:pt idx="517">
                  <c:v>-9.0763417472322416</c:v>
                </c:pt>
                <c:pt idx="518">
                  <c:v>-9.0763639234617024</c:v>
                </c:pt>
                <c:pt idx="519">
                  <c:v>-9.0763860993337016</c:v>
                </c:pt>
                <c:pt idx="520">
                  <c:v>-9.0764082748482373</c:v>
                </c:pt>
                <c:pt idx="521">
                  <c:v>-9.0764304500053079</c:v>
                </c:pt>
                <c:pt idx="522">
                  <c:v>-9.0764526248049293</c:v>
                </c:pt>
                <c:pt idx="523">
                  <c:v>-9.0764747992471015</c:v>
                </c:pt>
                <c:pt idx="524">
                  <c:v>-9.0764969733318246</c:v>
                </c:pt>
                <c:pt idx="525">
                  <c:v>-9.0765191470591109</c:v>
                </c:pt>
                <c:pt idx="526">
                  <c:v>-9.0765413204289604</c:v>
                </c:pt>
                <c:pt idx="527">
                  <c:v>-9.0765634934413804</c:v>
                </c:pt>
                <c:pt idx="528">
                  <c:v>-9.0765856660963706</c:v>
                </c:pt>
                <c:pt idx="529">
                  <c:v>-9.0766078383939348</c:v>
                </c:pt>
                <c:pt idx="530">
                  <c:v>-9.0766300103340818</c:v>
                </c:pt>
                <c:pt idx="531">
                  <c:v>-9.0766521819168187</c:v>
                </c:pt>
                <c:pt idx="532">
                  <c:v>-9.0766743531421383</c:v>
                </c:pt>
                <c:pt idx="533">
                  <c:v>-9.076696524010055</c:v>
                </c:pt>
                <c:pt idx="534">
                  <c:v>-9.076718694520574</c:v>
                </c:pt>
                <c:pt idx="535">
                  <c:v>-9.07674086467369</c:v>
                </c:pt>
                <c:pt idx="536">
                  <c:v>-9.0767630344694226</c:v>
                </c:pt>
                <c:pt idx="537">
                  <c:v>-9.0767852039077592</c:v>
                </c:pt>
                <c:pt idx="538">
                  <c:v>-9.0768073729887107</c:v>
                </c:pt>
                <c:pt idx="539">
                  <c:v>-9.0768295417122822</c:v>
                </c:pt>
                <c:pt idx="540">
                  <c:v>-9.076851710078488</c:v>
                </c:pt>
                <c:pt idx="541">
                  <c:v>-9.0768738780873193</c:v>
                </c:pt>
                <c:pt idx="542">
                  <c:v>-9.0768960457387848</c:v>
                </c:pt>
                <c:pt idx="543">
                  <c:v>-9.0769182130328865</c:v>
                </c:pt>
                <c:pt idx="544">
                  <c:v>-9.0769403799696278</c:v>
                </c:pt>
                <c:pt idx="545">
                  <c:v>-9.0769625465490176</c:v>
                </c:pt>
                <c:pt idx="546">
                  <c:v>-9.0769847127710594</c:v>
                </c:pt>
                <c:pt idx="547">
                  <c:v>-9.0770068786357623</c:v>
                </c:pt>
                <c:pt idx="548">
                  <c:v>-9.0770290441431154</c:v>
                </c:pt>
                <c:pt idx="549">
                  <c:v>-9.0770512092931419</c:v>
                </c:pt>
                <c:pt idx="550">
                  <c:v>-9.0770733740858329</c:v>
                </c:pt>
                <c:pt idx="551">
                  <c:v>-9.0770955385211956</c:v>
                </c:pt>
                <c:pt idx="552">
                  <c:v>-9.077117702599244</c:v>
                </c:pt>
                <c:pt idx="553">
                  <c:v>-9.0771398663199658</c:v>
                </c:pt>
                <c:pt idx="554">
                  <c:v>-9.0771620296833788</c:v>
                </c:pt>
                <c:pt idx="555">
                  <c:v>-9.077184192689483</c:v>
                </c:pt>
                <c:pt idx="556">
                  <c:v>-9.0772063553382729</c:v>
                </c:pt>
                <c:pt idx="557">
                  <c:v>-9.0772285176297736</c:v>
                </c:pt>
                <c:pt idx="558">
                  <c:v>-9.0772506795639689</c:v>
                </c:pt>
                <c:pt idx="559">
                  <c:v>-9.0772728411408803</c:v>
                </c:pt>
                <c:pt idx="560">
                  <c:v>-9.0772950023605059</c:v>
                </c:pt>
                <c:pt idx="561">
                  <c:v>-9.0773171632228458</c:v>
                </c:pt>
                <c:pt idx="562">
                  <c:v>-9.0773393237278999</c:v>
                </c:pt>
                <c:pt idx="563">
                  <c:v>-9.0773614838756913</c:v>
                </c:pt>
                <c:pt idx="564">
                  <c:v>-9.0773836436662059</c:v>
                </c:pt>
                <c:pt idx="565">
                  <c:v>-9.0774058030994578</c:v>
                </c:pt>
                <c:pt idx="566">
                  <c:v>-9.077427962175447</c:v>
                </c:pt>
                <c:pt idx="567">
                  <c:v>-9.0774501208941771</c:v>
                </c:pt>
                <c:pt idx="568">
                  <c:v>-9.0774722792556606</c:v>
                </c:pt>
                <c:pt idx="569">
                  <c:v>-9.0774944372598956</c:v>
                </c:pt>
                <c:pt idx="570">
                  <c:v>-9.0775165949068839</c:v>
                </c:pt>
                <c:pt idx="571">
                  <c:v>-9.0775387521966362</c:v>
                </c:pt>
                <c:pt idx="572">
                  <c:v>-9.0775609091291507</c:v>
                </c:pt>
                <c:pt idx="573">
                  <c:v>-9.0775830657044345</c:v>
                </c:pt>
                <c:pt idx="574">
                  <c:v>-9.0776052219225001</c:v>
                </c:pt>
                <c:pt idx="575">
                  <c:v>-9.0776273777833332</c:v>
                </c:pt>
                <c:pt idx="576">
                  <c:v>-9.0776495332869551</c:v>
                </c:pt>
                <c:pt idx="577">
                  <c:v>-9.0776716884333606</c:v>
                </c:pt>
                <c:pt idx="578">
                  <c:v>-9.0776938432225691</c:v>
                </c:pt>
                <c:pt idx="579">
                  <c:v>-9.0777159976545647</c:v>
                </c:pt>
                <c:pt idx="580">
                  <c:v>-9.0777381517293598</c:v>
                </c:pt>
                <c:pt idx="581">
                  <c:v>-9.077760305446958</c:v>
                </c:pt>
                <c:pt idx="582">
                  <c:v>-9.0777824588073734</c:v>
                </c:pt>
                <c:pt idx="583">
                  <c:v>-9.0778046118105937</c:v>
                </c:pt>
                <c:pt idx="584">
                  <c:v>-9.0778267644566384</c:v>
                </c:pt>
                <c:pt idx="585">
                  <c:v>-9.0778489167455003</c:v>
                </c:pt>
                <c:pt idx="586">
                  <c:v>-9.0778710686771973</c:v>
                </c:pt>
                <c:pt idx="587">
                  <c:v>-9.0778932202517169</c:v>
                </c:pt>
                <c:pt idx="588">
                  <c:v>-9.0779153714690786</c:v>
                </c:pt>
                <c:pt idx="589">
                  <c:v>-9.0779375223292771</c:v>
                </c:pt>
                <c:pt idx="590">
                  <c:v>-9.077959672832316</c:v>
                </c:pt>
                <c:pt idx="591">
                  <c:v>-9.0779818229782112</c:v>
                </c:pt>
                <c:pt idx="592">
                  <c:v>-9.0780039727669521</c:v>
                </c:pt>
                <c:pt idx="593">
                  <c:v>-9.078026122198553</c:v>
                </c:pt>
                <c:pt idx="594">
                  <c:v>-9.0780482712730191</c:v>
                </c:pt>
                <c:pt idx="595">
                  <c:v>-9.0780704199903468</c:v>
                </c:pt>
                <c:pt idx="596">
                  <c:v>-9.0780925683505451</c:v>
                </c:pt>
                <c:pt idx="597">
                  <c:v>-9.0781147163536193</c:v>
                </c:pt>
                <c:pt idx="598">
                  <c:v>-9.0781368639995819</c:v>
                </c:pt>
                <c:pt idx="599">
                  <c:v>-9.0781590112884167</c:v>
                </c:pt>
                <c:pt idx="600">
                  <c:v>-9.0781811582201453</c:v>
                </c:pt>
                <c:pt idx="601">
                  <c:v>-9.0782033047947621</c:v>
                </c:pt>
                <c:pt idx="602">
                  <c:v>-9.0782254510122815</c:v>
                </c:pt>
                <c:pt idx="603">
                  <c:v>-9.0782475968726963</c:v>
                </c:pt>
                <c:pt idx="604">
                  <c:v>-9.078269742376019</c:v>
                </c:pt>
                <c:pt idx="605">
                  <c:v>-9.0782918875222549</c:v>
                </c:pt>
                <c:pt idx="606">
                  <c:v>-9.0783140323113969</c:v>
                </c:pt>
                <c:pt idx="607">
                  <c:v>-9.0783361767434609</c:v>
                </c:pt>
                <c:pt idx="608">
                  <c:v>-9.0783583208184506</c:v>
                </c:pt>
                <c:pt idx="609">
                  <c:v>-9.0783804645363713</c:v>
                </c:pt>
                <c:pt idx="610">
                  <c:v>-9.0784026078972229</c:v>
                </c:pt>
                <c:pt idx="611">
                  <c:v>-9.078424750901009</c:v>
                </c:pt>
                <c:pt idx="612">
                  <c:v>-9.0784468935477349</c:v>
                </c:pt>
                <c:pt idx="613">
                  <c:v>-9.0784690358374043</c:v>
                </c:pt>
                <c:pt idx="614">
                  <c:v>-9.0784911777700277</c:v>
                </c:pt>
                <c:pt idx="615">
                  <c:v>-9.0785133193456016</c:v>
                </c:pt>
                <c:pt idx="616">
                  <c:v>-9.0785354605641366</c:v>
                </c:pt>
                <c:pt idx="617">
                  <c:v>-9.0785576014256311</c:v>
                </c:pt>
                <c:pt idx="618">
                  <c:v>-9.0785797419300955</c:v>
                </c:pt>
                <c:pt idx="619">
                  <c:v>-9.0786018820775318</c:v>
                </c:pt>
                <c:pt idx="620">
                  <c:v>-9.0786240218679417</c:v>
                </c:pt>
                <c:pt idx="621">
                  <c:v>-9.0786461613013305</c:v>
                </c:pt>
                <c:pt idx="622">
                  <c:v>-9.0786683003777071</c:v>
                </c:pt>
                <c:pt idx="623">
                  <c:v>-9.0786904390970733</c:v>
                </c:pt>
                <c:pt idx="624">
                  <c:v>-9.0787125774594255</c:v>
                </c:pt>
                <c:pt idx="625">
                  <c:v>-9.0787347154647851</c:v>
                </c:pt>
                <c:pt idx="626">
                  <c:v>-9.0787568531131413</c:v>
                </c:pt>
                <c:pt idx="627">
                  <c:v>-9.0787789904045066</c:v>
                </c:pt>
                <c:pt idx="628">
                  <c:v>-9.0788011273388864</c:v>
                </c:pt>
                <c:pt idx="629">
                  <c:v>-9.0788232639162736</c:v>
                </c:pt>
                <c:pt idx="630">
                  <c:v>-9.0788454001366858</c:v>
                </c:pt>
                <c:pt idx="631">
                  <c:v>-9.0788675360001214</c:v>
                </c:pt>
                <c:pt idx="632">
                  <c:v>-9.0788896715065857</c:v>
                </c:pt>
                <c:pt idx="633">
                  <c:v>-9.0789118066560803</c:v>
                </c:pt>
                <c:pt idx="634">
                  <c:v>-9.0789339414486108</c:v>
                </c:pt>
                <c:pt idx="635">
                  <c:v>-9.0789560758841894</c:v>
                </c:pt>
                <c:pt idx="636">
                  <c:v>-9.0789782099628056</c:v>
                </c:pt>
                <c:pt idx="637">
                  <c:v>-9.0790003436844788</c:v>
                </c:pt>
                <c:pt idx="638">
                  <c:v>-9.0790224770492021</c:v>
                </c:pt>
                <c:pt idx="639">
                  <c:v>-9.0790446100569895</c:v>
                </c:pt>
                <c:pt idx="640">
                  <c:v>-9.0790667427078322</c:v>
                </c:pt>
                <c:pt idx="641">
                  <c:v>-9.079088875001748</c:v>
                </c:pt>
                <c:pt idx="642">
                  <c:v>-9.0791110069387368</c:v>
                </c:pt>
                <c:pt idx="643">
                  <c:v>-9.0791331385188094</c:v>
                </c:pt>
                <c:pt idx="644">
                  <c:v>-9.0791552697419515</c:v>
                </c:pt>
                <c:pt idx="645">
                  <c:v>-9.0791774006081845</c:v>
                </c:pt>
                <c:pt idx="646">
                  <c:v>-9.0791995311175064</c:v>
                </c:pt>
                <c:pt idx="647">
                  <c:v>-9.0792216612699246</c:v>
                </c:pt>
                <c:pt idx="648">
                  <c:v>-9.0792437910654407</c:v>
                </c:pt>
                <c:pt idx="649">
                  <c:v>-9.07926592050406</c:v>
                </c:pt>
                <c:pt idx="650">
                  <c:v>-9.0792880495857844</c:v>
                </c:pt>
                <c:pt idx="651">
                  <c:v>-9.0793101783106263</c:v>
                </c:pt>
                <c:pt idx="652">
                  <c:v>-9.0793323066785767</c:v>
                </c:pt>
                <c:pt idx="653">
                  <c:v>-9.07935443468965</c:v>
                </c:pt>
                <c:pt idx="654">
                  <c:v>-9.0793765623438496</c:v>
                </c:pt>
                <c:pt idx="655">
                  <c:v>-9.0793986896411774</c:v>
                </c:pt>
                <c:pt idx="656">
                  <c:v>-9.0794208165816386</c:v>
                </c:pt>
                <c:pt idx="657">
                  <c:v>-9.079442943165235</c:v>
                </c:pt>
                <c:pt idx="658">
                  <c:v>-9.0794650693919774</c:v>
                </c:pt>
                <c:pt idx="659">
                  <c:v>-9.0794871952618728</c:v>
                </c:pt>
                <c:pt idx="660">
                  <c:v>-9.0795093207749087</c:v>
                </c:pt>
                <c:pt idx="661">
                  <c:v>-9.0795314459311065</c:v>
                </c:pt>
                <c:pt idx="662">
                  <c:v>-9.0795535707304573</c:v>
                </c:pt>
                <c:pt idx="663">
                  <c:v>-9.0795756951729807</c:v>
                </c:pt>
                <c:pt idx="664">
                  <c:v>-9.0795978192586713</c:v>
                </c:pt>
                <c:pt idx="665">
                  <c:v>-9.0796199429875344</c:v>
                </c:pt>
                <c:pt idx="666">
                  <c:v>-9.0796420663595718</c:v>
                </c:pt>
                <c:pt idx="667">
                  <c:v>-9.0796641893747942</c:v>
                </c:pt>
                <c:pt idx="668">
                  <c:v>-9.0796863120332016</c:v>
                </c:pt>
                <c:pt idx="669">
                  <c:v>-9.0797084343347993</c:v>
                </c:pt>
                <c:pt idx="670">
                  <c:v>-9.0797305562795945</c:v>
                </c:pt>
                <c:pt idx="671">
                  <c:v>-9.0797526778675923</c:v>
                </c:pt>
                <c:pt idx="672">
                  <c:v>-9.0797747990987947</c:v>
                </c:pt>
                <c:pt idx="673">
                  <c:v>-9.0797969199731927</c:v>
                </c:pt>
                <c:pt idx="674">
                  <c:v>-9.0798190404908148</c:v>
                </c:pt>
                <c:pt idx="675">
                  <c:v>-9.0798411606516467</c:v>
                </c:pt>
                <c:pt idx="676">
                  <c:v>-9.0798632804557062</c:v>
                </c:pt>
                <c:pt idx="677">
                  <c:v>-9.0798853999029898</c:v>
                </c:pt>
                <c:pt idx="678">
                  <c:v>-9.079907518993501</c:v>
                </c:pt>
                <c:pt idx="679">
                  <c:v>-9.0799296377272487</c:v>
                </c:pt>
                <c:pt idx="680">
                  <c:v>-9.0799517561042382</c:v>
                </c:pt>
                <c:pt idx="681">
                  <c:v>-9.079973874124466</c:v>
                </c:pt>
                <c:pt idx="682">
                  <c:v>-9.0799959917879498</c:v>
                </c:pt>
                <c:pt idx="683">
                  <c:v>-9.0800181090946701</c:v>
                </c:pt>
                <c:pt idx="684">
                  <c:v>-9.0800402260446607</c:v>
                </c:pt>
                <c:pt idx="685">
                  <c:v>-9.0800623426379072</c:v>
                </c:pt>
                <c:pt idx="686">
                  <c:v>-9.0800844588744223</c:v>
                </c:pt>
                <c:pt idx="687">
                  <c:v>-9.0801065747542058</c:v>
                </c:pt>
                <c:pt idx="688">
                  <c:v>-9.080128690277256</c:v>
                </c:pt>
                <c:pt idx="689">
                  <c:v>-9.0801508054435907</c:v>
                </c:pt>
                <c:pt idx="690">
                  <c:v>-9.0801729202532115</c:v>
                </c:pt>
                <c:pt idx="691">
                  <c:v>-9.080195034706108</c:v>
                </c:pt>
                <c:pt idx="692">
                  <c:v>-9.0802171488023085</c:v>
                </c:pt>
                <c:pt idx="693">
                  <c:v>-9.0802392625418005</c:v>
                </c:pt>
                <c:pt idx="694">
                  <c:v>-9.0802613759245929</c:v>
                </c:pt>
                <c:pt idx="695">
                  <c:v>-9.0802834889506876</c:v>
                </c:pt>
                <c:pt idx="696">
                  <c:v>-9.0803056016200969</c:v>
                </c:pt>
                <c:pt idx="697">
                  <c:v>-9.0803277139328156</c:v>
                </c:pt>
                <c:pt idx="698">
                  <c:v>-9.0803498258888524</c:v>
                </c:pt>
                <c:pt idx="699">
                  <c:v>-9.0803719374882057</c:v>
                </c:pt>
                <c:pt idx="700">
                  <c:v>-9.0803940487309003</c:v>
                </c:pt>
                <c:pt idx="701">
                  <c:v>-9.0804161596169184</c:v>
                </c:pt>
                <c:pt idx="702">
                  <c:v>-9.0804382701462671</c:v>
                </c:pt>
                <c:pt idx="703">
                  <c:v>-9.080460380318959</c:v>
                </c:pt>
                <c:pt idx="704">
                  <c:v>-9.0804824901349974</c:v>
                </c:pt>
                <c:pt idx="705">
                  <c:v>-9.0805045995943843</c:v>
                </c:pt>
                <c:pt idx="706">
                  <c:v>-9.0805267086971213</c:v>
                </c:pt>
                <c:pt idx="707">
                  <c:v>-9.0805488174432192</c:v>
                </c:pt>
                <c:pt idx="708">
                  <c:v>-9.0805709258326743</c:v>
                </c:pt>
                <c:pt idx="709">
                  <c:v>-9.0805930338654974</c:v>
                </c:pt>
                <c:pt idx="710">
                  <c:v>-9.0806151415416902</c:v>
                </c:pt>
                <c:pt idx="711">
                  <c:v>-9.0806372488612563</c:v>
                </c:pt>
                <c:pt idx="712">
                  <c:v>-9.0806593558242099</c:v>
                </c:pt>
                <c:pt idx="713">
                  <c:v>-9.0806814624305403</c:v>
                </c:pt>
                <c:pt idx="714">
                  <c:v>-9.0807035686802635</c:v>
                </c:pt>
                <c:pt idx="715">
                  <c:v>-9.080725674573376</c:v>
                </c:pt>
                <c:pt idx="716">
                  <c:v>-9.0807477801098795</c:v>
                </c:pt>
                <c:pt idx="717">
                  <c:v>-9.0807698852897936</c:v>
                </c:pt>
                <c:pt idx="718">
                  <c:v>-9.0807919901131093</c:v>
                </c:pt>
                <c:pt idx="719">
                  <c:v>-9.0808140945798375</c:v>
                </c:pt>
                <c:pt idx="720">
                  <c:v>-9.0808361986899762</c:v>
                </c:pt>
                <c:pt idx="721">
                  <c:v>-9.0808583024435308</c:v>
                </c:pt>
                <c:pt idx="722">
                  <c:v>-9.0808804058405173</c:v>
                </c:pt>
                <c:pt idx="723">
                  <c:v>-9.0809025088809214</c:v>
                </c:pt>
                <c:pt idx="724">
                  <c:v>-9.0809246115647611</c:v>
                </c:pt>
                <c:pt idx="725">
                  <c:v>-9.0809467138920414</c:v>
                </c:pt>
                <c:pt idx="726">
                  <c:v>-9.0809688158627608</c:v>
                </c:pt>
                <c:pt idx="727">
                  <c:v>-9.0809909174769228</c:v>
                </c:pt>
                <c:pt idx="728">
                  <c:v>-9.0810130187345361</c:v>
                </c:pt>
                <c:pt idx="729">
                  <c:v>-9.0810351196356045</c:v>
                </c:pt>
                <c:pt idx="730">
                  <c:v>-9.0810572201801278</c:v>
                </c:pt>
                <c:pt idx="731">
                  <c:v>-9.081079320368115</c:v>
                </c:pt>
                <c:pt idx="732">
                  <c:v>-9.0811014201995661</c:v>
                </c:pt>
                <c:pt idx="733">
                  <c:v>-9.0811235196744882</c:v>
                </c:pt>
                <c:pt idx="734">
                  <c:v>-9.0811456187928918</c:v>
                </c:pt>
                <c:pt idx="735">
                  <c:v>-9.08116771755477</c:v>
                </c:pt>
                <c:pt idx="736">
                  <c:v>-9.0811898159601387</c:v>
                </c:pt>
                <c:pt idx="737">
                  <c:v>-9.0812119140089909</c:v>
                </c:pt>
                <c:pt idx="738">
                  <c:v>-9.0812340117013388</c:v>
                </c:pt>
                <c:pt idx="739">
                  <c:v>-9.0812561090371844</c:v>
                </c:pt>
                <c:pt idx="740">
                  <c:v>-9.0812782060165311</c:v>
                </c:pt>
                <c:pt idx="741">
                  <c:v>-9.0813003026393861</c:v>
                </c:pt>
                <c:pt idx="742">
                  <c:v>-9.0813223989057512</c:v>
                </c:pt>
                <c:pt idx="743">
                  <c:v>-9.0813444948156281</c:v>
                </c:pt>
                <c:pt idx="744">
                  <c:v>-9.0813665903690293</c:v>
                </c:pt>
                <c:pt idx="745">
                  <c:v>-9.0813886855659511</c:v>
                </c:pt>
                <c:pt idx="746">
                  <c:v>-9.0814107804064044</c:v>
                </c:pt>
                <c:pt idx="747">
                  <c:v>-9.0814328748903836</c:v>
                </c:pt>
                <c:pt idx="748">
                  <c:v>-9.0814549690179014</c:v>
                </c:pt>
                <c:pt idx="749">
                  <c:v>-9.0814770627889683</c:v>
                </c:pt>
                <c:pt idx="750">
                  <c:v>-9.0814991562035701</c:v>
                </c:pt>
                <c:pt idx="751">
                  <c:v>-9.0815212492617334</c:v>
                </c:pt>
                <c:pt idx="752">
                  <c:v>-9.0815433419634441</c:v>
                </c:pt>
                <c:pt idx="753">
                  <c:v>-9.0815654343087182</c:v>
                </c:pt>
                <c:pt idx="754">
                  <c:v>-9.0815875262975503</c:v>
                </c:pt>
                <c:pt idx="755">
                  <c:v>-9.081609617929951</c:v>
                </c:pt>
                <c:pt idx="756">
                  <c:v>-9.0816317092059258</c:v>
                </c:pt>
                <c:pt idx="757">
                  <c:v>-9.0816538001254798</c:v>
                </c:pt>
                <c:pt idx="758">
                  <c:v>-9.0816758906886097</c:v>
                </c:pt>
                <c:pt idx="759">
                  <c:v>-9.0816979808953295</c:v>
                </c:pt>
                <c:pt idx="760">
                  <c:v>-9.0817200707456358</c:v>
                </c:pt>
                <c:pt idx="761">
                  <c:v>-9.0817421602395338</c:v>
                </c:pt>
                <c:pt idx="762">
                  <c:v>-9.0817642493770379</c:v>
                </c:pt>
                <c:pt idx="763">
                  <c:v>-9.0817863381581354</c:v>
                </c:pt>
                <c:pt idx="764">
                  <c:v>-9.081808426582846</c:v>
                </c:pt>
                <c:pt idx="765">
                  <c:v>-9.081830514651168</c:v>
                </c:pt>
                <c:pt idx="766">
                  <c:v>-9.081852602363103</c:v>
                </c:pt>
                <c:pt idx="767">
                  <c:v>-9.0818746897186653</c:v>
                </c:pt>
                <c:pt idx="768">
                  <c:v>-9.0818967767178496</c:v>
                </c:pt>
                <c:pt idx="769">
                  <c:v>-9.0819188633606593</c:v>
                </c:pt>
                <c:pt idx="770">
                  <c:v>-9.0819409496471</c:v>
                </c:pt>
                <c:pt idx="771">
                  <c:v>-9.0819630355771857</c:v>
                </c:pt>
                <c:pt idx="772">
                  <c:v>-9.0819851211509075</c:v>
                </c:pt>
                <c:pt idx="773">
                  <c:v>-9.082007206368278</c:v>
                </c:pt>
                <c:pt idx="774">
                  <c:v>-9.0820292912293041</c:v>
                </c:pt>
                <c:pt idx="775">
                  <c:v>-9.0820513757339842</c:v>
                </c:pt>
                <c:pt idx="776">
                  <c:v>-9.0820734598823183</c:v>
                </c:pt>
                <c:pt idx="777">
                  <c:v>-9.0820955436743205</c:v>
                </c:pt>
                <c:pt idx="778">
                  <c:v>-9.0821176271099926</c:v>
                </c:pt>
                <c:pt idx="779">
                  <c:v>-9.0821397101893364</c:v>
                </c:pt>
                <c:pt idx="780">
                  <c:v>-9.0821617929123573</c:v>
                </c:pt>
                <c:pt idx="781">
                  <c:v>-9.082183875279064</c:v>
                </c:pt>
                <c:pt idx="782">
                  <c:v>-9.0822059572894496</c:v>
                </c:pt>
                <c:pt idx="783">
                  <c:v>-9.0822280389435299</c:v>
                </c:pt>
                <c:pt idx="784">
                  <c:v>-9.0822501202413033</c:v>
                </c:pt>
                <c:pt idx="785">
                  <c:v>-9.0822722011827786</c:v>
                </c:pt>
                <c:pt idx="786">
                  <c:v>-9.0822942817679557</c:v>
                </c:pt>
                <c:pt idx="787">
                  <c:v>-9.0823163619968472</c:v>
                </c:pt>
                <c:pt idx="788">
                  <c:v>-9.0823384418694388</c:v>
                </c:pt>
                <c:pt idx="789">
                  <c:v>-9.0823605213857537</c:v>
                </c:pt>
                <c:pt idx="790">
                  <c:v>-9.0823826005457935</c:v>
                </c:pt>
                <c:pt idx="791">
                  <c:v>-9.082404679349553</c:v>
                </c:pt>
                <c:pt idx="792">
                  <c:v>-9.0824267577970428</c:v>
                </c:pt>
                <c:pt idx="793">
                  <c:v>-9.0824488358882682</c:v>
                </c:pt>
                <c:pt idx="794">
                  <c:v>-9.0824709136232382</c:v>
                </c:pt>
                <c:pt idx="795">
                  <c:v>-9.0824929910019438</c:v>
                </c:pt>
                <c:pt idx="796">
                  <c:v>-9.0825150680243993</c:v>
                </c:pt>
                <c:pt idx="797">
                  <c:v>-9.0825371446906029</c:v>
                </c:pt>
                <c:pt idx="798">
                  <c:v>-9.0825592210005652</c:v>
                </c:pt>
                <c:pt idx="799">
                  <c:v>-9.0825812969542863</c:v>
                </c:pt>
                <c:pt idx="800">
                  <c:v>-9.0826033725517803</c:v>
                </c:pt>
                <c:pt idx="801">
                  <c:v>-9.0826254477930348</c:v>
                </c:pt>
                <c:pt idx="802">
                  <c:v>-9.0826475226780641</c:v>
                </c:pt>
                <c:pt idx="803">
                  <c:v>-9.0826695972068752</c:v>
                </c:pt>
                <c:pt idx="804">
                  <c:v>-9.0826916713794699</c:v>
                </c:pt>
                <c:pt idx="805">
                  <c:v>-9.0827137451958464</c:v>
                </c:pt>
                <c:pt idx="806">
                  <c:v>-9.0827358186560208</c:v>
                </c:pt>
                <c:pt idx="807">
                  <c:v>-9.0827578917599858</c:v>
                </c:pt>
                <c:pt idx="808">
                  <c:v>-9.0827799645077487</c:v>
                </c:pt>
                <c:pt idx="809">
                  <c:v>-9.0828020368993236</c:v>
                </c:pt>
                <c:pt idx="810">
                  <c:v>-9.0828241089346999</c:v>
                </c:pt>
                <c:pt idx="811">
                  <c:v>-9.0828461806138936</c:v>
                </c:pt>
                <c:pt idx="812">
                  <c:v>-9.0828682519369011</c:v>
                </c:pt>
                <c:pt idx="813">
                  <c:v>-9.0828903229037365</c:v>
                </c:pt>
                <c:pt idx="814">
                  <c:v>-9.0829123935143965</c:v>
                </c:pt>
                <c:pt idx="815">
                  <c:v>-9.0829344637688862</c:v>
                </c:pt>
                <c:pt idx="816">
                  <c:v>-9.0829565336672093</c:v>
                </c:pt>
                <c:pt idx="817">
                  <c:v>-9.0829786032093764</c:v>
                </c:pt>
                <c:pt idx="818">
                  <c:v>-9.0830006723953858</c:v>
                </c:pt>
                <c:pt idx="819">
                  <c:v>-9.0830227412252373</c:v>
                </c:pt>
                <c:pt idx="820">
                  <c:v>-9.0830448096989453</c:v>
                </c:pt>
                <c:pt idx="821">
                  <c:v>-9.0830668778165116</c:v>
                </c:pt>
                <c:pt idx="822">
                  <c:v>-9.0830889455779378</c:v>
                </c:pt>
                <c:pt idx="823">
                  <c:v>-9.0831110129832293</c:v>
                </c:pt>
                <c:pt idx="824">
                  <c:v>-9.0831330800323933</c:v>
                </c:pt>
                <c:pt idx="825">
                  <c:v>-9.0831551467254315</c:v>
                </c:pt>
                <c:pt idx="826">
                  <c:v>-9.0831772130623474</c:v>
                </c:pt>
                <c:pt idx="827">
                  <c:v>-9.0831992790431517</c:v>
                </c:pt>
                <c:pt idx="828">
                  <c:v>-9.0832213446678374</c:v>
                </c:pt>
                <c:pt idx="829">
                  <c:v>-9.0832434099364203</c:v>
                </c:pt>
                <c:pt idx="830">
                  <c:v>-9.083265474848897</c:v>
                </c:pt>
                <c:pt idx="831">
                  <c:v>-9.0832875394052746</c:v>
                </c:pt>
                <c:pt idx="832">
                  <c:v>-9.0833096036055547</c:v>
                </c:pt>
                <c:pt idx="833">
                  <c:v>-9.08333166744975</c:v>
                </c:pt>
                <c:pt idx="834">
                  <c:v>-9.0833537309378567</c:v>
                </c:pt>
                <c:pt idx="835">
                  <c:v>-9.0833757940698767</c:v>
                </c:pt>
                <c:pt idx="836">
                  <c:v>-9.0833978568458242</c:v>
                </c:pt>
                <c:pt idx="837">
                  <c:v>-9.0834199192656992</c:v>
                </c:pt>
                <c:pt idx="838">
                  <c:v>-9.0834419813295018</c:v>
                </c:pt>
                <c:pt idx="839">
                  <c:v>-9.0834640430372495</c:v>
                </c:pt>
                <c:pt idx="840">
                  <c:v>-9.0834861043889266</c:v>
                </c:pt>
                <c:pt idx="841">
                  <c:v>-9.0835081653845577</c:v>
                </c:pt>
                <c:pt idx="842">
                  <c:v>-9.0835302260241324</c:v>
                </c:pt>
                <c:pt idx="843">
                  <c:v>-9.0835522863076612</c:v>
                </c:pt>
                <c:pt idx="844">
                  <c:v>-9.0835743462351495</c:v>
                </c:pt>
                <c:pt idx="845">
                  <c:v>-9.0835964058066025</c:v>
                </c:pt>
                <c:pt idx="846">
                  <c:v>-9.0836184650220186</c:v>
                </c:pt>
                <c:pt idx="847">
                  <c:v>-9.0836405238814049</c:v>
                </c:pt>
                <c:pt idx="848">
                  <c:v>-9.0836625823847683</c:v>
                </c:pt>
                <c:pt idx="849">
                  <c:v>-9.083684640532109</c:v>
                </c:pt>
                <c:pt idx="850">
                  <c:v>-9.0837066983234376</c:v>
                </c:pt>
                <c:pt idx="851">
                  <c:v>-9.0837287557587469</c:v>
                </c:pt>
                <c:pt idx="852">
                  <c:v>-9.0837508128380531</c:v>
                </c:pt>
                <c:pt idx="853">
                  <c:v>-9.0837728695613666</c:v>
                </c:pt>
                <c:pt idx="854">
                  <c:v>-9.0837949259286699</c:v>
                </c:pt>
                <c:pt idx="855">
                  <c:v>-9.0838169819399859</c:v>
                </c:pt>
                <c:pt idx="856">
                  <c:v>-9.0838390375953093</c:v>
                </c:pt>
                <c:pt idx="857">
                  <c:v>-9.0838610928946473</c:v>
                </c:pt>
                <c:pt idx="858">
                  <c:v>-9.0838831478380069</c:v>
                </c:pt>
                <c:pt idx="859">
                  <c:v>-9.0839052024253846</c:v>
                </c:pt>
                <c:pt idx="860">
                  <c:v>-9.083927256656791</c:v>
                </c:pt>
                <c:pt idx="861">
                  <c:v>-9.0839493105322351</c:v>
                </c:pt>
                <c:pt idx="862">
                  <c:v>-9.0839713640517132</c:v>
                </c:pt>
                <c:pt idx="863">
                  <c:v>-9.0839934172152308</c:v>
                </c:pt>
                <c:pt idx="864">
                  <c:v>-9.0840154700227931</c:v>
                </c:pt>
                <c:pt idx="865">
                  <c:v>-9.0840375224744108</c:v>
                </c:pt>
                <c:pt idx="866">
                  <c:v>-9.0840595745700803</c:v>
                </c:pt>
                <c:pt idx="867">
                  <c:v>-9.0840816263098052</c:v>
                </c:pt>
                <c:pt idx="868">
                  <c:v>-9.0841036776935944</c:v>
                </c:pt>
                <c:pt idx="869">
                  <c:v>-9.0841257287214532</c:v>
                </c:pt>
                <c:pt idx="870">
                  <c:v>-9.0841477793933834</c:v>
                </c:pt>
                <c:pt idx="871">
                  <c:v>-9.0841698297093902</c:v>
                </c:pt>
                <c:pt idx="872">
                  <c:v>-9.0841918796694774</c:v>
                </c:pt>
                <c:pt idx="873">
                  <c:v>-9.0842139292736483</c:v>
                </c:pt>
                <c:pt idx="874">
                  <c:v>-9.0842359785219102</c:v>
                </c:pt>
                <c:pt idx="875">
                  <c:v>-9.084258027414263</c:v>
                </c:pt>
                <c:pt idx="876">
                  <c:v>-9.0842800759507174</c:v>
                </c:pt>
                <c:pt idx="877">
                  <c:v>-9.0843021241312716</c:v>
                </c:pt>
                <c:pt idx="878">
                  <c:v>-9.0843241719559309</c:v>
                </c:pt>
                <c:pt idx="879">
                  <c:v>-9.0843462194247007</c:v>
                </c:pt>
                <c:pt idx="880">
                  <c:v>-9.0843682665375916</c:v>
                </c:pt>
                <c:pt idx="881">
                  <c:v>-9.0843903132946018</c:v>
                </c:pt>
                <c:pt idx="882">
                  <c:v>-9.0844123596957349</c:v>
                </c:pt>
                <c:pt idx="883">
                  <c:v>-9.0844344057409963</c:v>
                </c:pt>
                <c:pt idx="884">
                  <c:v>-9.0844564514303912</c:v>
                </c:pt>
                <c:pt idx="885">
                  <c:v>-9.0844784967639249</c:v>
                </c:pt>
                <c:pt idx="886">
                  <c:v>-9.0845005417415976</c:v>
                </c:pt>
                <c:pt idx="887">
                  <c:v>-9.0845225863634163</c:v>
                </c:pt>
                <c:pt idx="888">
                  <c:v>-9.0845446306293862</c:v>
                </c:pt>
                <c:pt idx="889">
                  <c:v>-9.0845666745395128</c:v>
                </c:pt>
                <c:pt idx="890">
                  <c:v>-9.0845887180937996</c:v>
                </c:pt>
                <c:pt idx="891">
                  <c:v>-9.0846107612922449</c:v>
                </c:pt>
                <c:pt idx="892">
                  <c:v>-9.0846328041348627</c:v>
                </c:pt>
                <c:pt idx="893">
                  <c:v>-9.084654846621655</c:v>
                </c:pt>
                <c:pt idx="894">
                  <c:v>-9.0846768887526217</c:v>
                </c:pt>
                <c:pt idx="895">
                  <c:v>-9.0846989305277699</c:v>
                </c:pt>
                <c:pt idx="896">
                  <c:v>-9.0847209719471032</c:v>
                </c:pt>
                <c:pt idx="897">
                  <c:v>-9.084743013010625</c:v>
                </c:pt>
                <c:pt idx="898">
                  <c:v>-9.0847650537183444</c:v>
                </c:pt>
                <c:pt idx="899">
                  <c:v>-9.0847870940702578</c:v>
                </c:pt>
                <c:pt idx="900">
                  <c:v>-9.0848091340663792</c:v>
                </c:pt>
                <c:pt idx="901">
                  <c:v>-9.0848311737067071</c:v>
                </c:pt>
                <c:pt idx="902">
                  <c:v>-9.0848532129912485</c:v>
                </c:pt>
                <c:pt idx="903">
                  <c:v>-9.0848752519200033</c:v>
                </c:pt>
                <c:pt idx="904">
                  <c:v>-9.0848972904929806</c:v>
                </c:pt>
                <c:pt idx="905">
                  <c:v>-9.0849193287101784</c:v>
                </c:pt>
                <c:pt idx="906">
                  <c:v>-9.0849413665716146</c:v>
                </c:pt>
                <c:pt idx="907">
                  <c:v>-9.0849634040772749</c:v>
                </c:pt>
                <c:pt idx="908">
                  <c:v>-9.0849854412271842</c:v>
                </c:pt>
                <c:pt idx="909">
                  <c:v>-9.0850074780213301</c:v>
                </c:pt>
                <c:pt idx="910">
                  <c:v>-9.0850295144597233</c:v>
                </c:pt>
                <c:pt idx="911">
                  <c:v>-9.0850515505423672</c:v>
                </c:pt>
                <c:pt idx="912">
                  <c:v>-9.0850735862692709</c:v>
                </c:pt>
                <c:pt idx="913">
                  <c:v>-9.0850956216404342</c:v>
                </c:pt>
                <c:pt idx="914">
                  <c:v>-9.0851176566558554</c:v>
                </c:pt>
                <c:pt idx="915">
                  <c:v>-9.0851396913155522</c:v>
                </c:pt>
                <c:pt idx="916">
                  <c:v>-9.0851617256195176</c:v>
                </c:pt>
                <c:pt idx="917">
                  <c:v>-9.0851837595677623</c:v>
                </c:pt>
                <c:pt idx="918">
                  <c:v>-9.085205793160295</c:v>
                </c:pt>
                <c:pt idx="919">
                  <c:v>-9.0852278263971069</c:v>
                </c:pt>
                <c:pt idx="920">
                  <c:v>-9.0852498592782123</c:v>
                </c:pt>
                <c:pt idx="921">
                  <c:v>-9.0852718918036146</c:v>
                </c:pt>
                <c:pt idx="922">
                  <c:v>-9.0852939239733139</c:v>
                </c:pt>
                <c:pt idx="923">
                  <c:v>-9.0853159557873191</c:v>
                </c:pt>
                <c:pt idx="924">
                  <c:v>-9.0853379872456337</c:v>
                </c:pt>
                <c:pt idx="925">
                  <c:v>-9.0853600183482559</c:v>
                </c:pt>
                <c:pt idx="926">
                  <c:v>-9.0853820490951964</c:v>
                </c:pt>
                <c:pt idx="927">
                  <c:v>-9.0854040794864588</c:v>
                </c:pt>
                <c:pt idx="928">
                  <c:v>-9.0854261095220537</c:v>
                </c:pt>
                <c:pt idx="929">
                  <c:v>-9.0854481392019704</c:v>
                </c:pt>
                <c:pt idx="930">
                  <c:v>-9.0854701685262285</c:v>
                </c:pt>
                <c:pt idx="931">
                  <c:v>-9.0854921974948208</c:v>
                </c:pt>
                <c:pt idx="932">
                  <c:v>-9.0855142261077599</c:v>
                </c:pt>
                <c:pt idx="933">
                  <c:v>-9.085536254365044</c:v>
                </c:pt>
                <c:pt idx="934">
                  <c:v>-9.0855582822666836</c:v>
                </c:pt>
                <c:pt idx="935">
                  <c:v>-9.0855803098126735</c:v>
                </c:pt>
                <c:pt idx="936">
                  <c:v>-9.0856023370030332</c:v>
                </c:pt>
                <c:pt idx="937">
                  <c:v>-9.0856243638377467</c:v>
                </c:pt>
                <c:pt idx="938">
                  <c:v>-9.085646390316839</c:v>
                </c:pt>
                <c:pt idx="939">
                  <c:v>-9.0856684164403028</c:v>
                </c:pt>
                <c:pt idx="940">
                  <c:v>-9.0856904422081453</c:v>
                </c:pt>
                <c:pt idx="941">
                  <c:v>-9.0857124676203735</c:v>
                </c:pt>
                <c:pt idx="942">
                  <c:v>-9.0857344926769841</c:v>
                </c:pt>
                <c:pt idx="943">
                  <c:v>-9.0857565173779875</c:v>
                </c:pt>
                <c:pt idx="944">
                  <c:v>-9.0857785417233856</c:v>
                </c:pt>
                <c:pt idx="945">
                  <c:v>-9.0858005657131908</c:v>
                </c:pt>
                <c:pt idx="946">
                  <c:v>-9.0858225893473943</c:v>
                </c:pt>
                <c:pt idx="947">
                  <c:v>-9.0858446126260102</c:v>
                </c:pt>
                <c:pt idx="948">
                  <c:v>-9.0858666355490385</c:v>
                </c:pt>
                <c:pt idx="949">
                  <c:v>-9.0858886581164793</c:v>
                </c:pt>
                <c:pt idx="950">
                  <c:v>-9.0859106803283503</c:v>
                </c:pt>
                <c:pt idx="951">
                  <c:v>-9.0859327021846426</c:v>
                </c:pt>
                <c:pt idx="952">
                  <c:v>-9.0859547236853739</c:v>
                </c:pt>
                <c:pt idx="953">
                  <c:v>-9.085976744830532</c:v>
                </c:pt>
                <c:pt idx="954">
                  <c:v>-9.0859987656201344</c:v>
                </c:pt>
                <c:pt idx="955">
                  <c:v>-9.086020786054176</c:v>
                </c:pt>
                <c:pt idx="956">
                  <c:v>-9.0860428061326708</c:v>
                </c:pt>
                <c:pt idx="957">
                  <c:v>-9.0860648258556154</c:v>
                </c:pt>
                <c:pt idx="958">
                  <c:v>-9.0860868452230203</c:v>
                </c:pt>
                <c:pt idx="959">
                  <c:v>-9.0861088642348875</c:v>
                </c:pt>
                <c:pt idx="960">
                  <c:v>-9.0861308828912204</c:v>
                </c:pt>
                <c:pt idx="961">
                  <c:v>-9.0861529011920243</c:v>
                </c:pt>
                <c:pt idx="962">
                  <c:v>-9.0861749191372994</c:v>
                </c:pt>
                <c:pt idx="963">
                  <c:v>-9.0861969367270632</c:v>
                </c:pt>
                <c:pt idx="964">
                  <c:v>-9.0862189539612963</c:v>
                </c:pt>
                <c:pt idx="965">
                  <c:v>-9.0862409708400271</c:v>
                </c:pt>
                <c:pt idx="966">
                  <c:v>-9.0862629873632503</c:v>
                </c:pt>
                <c:pt idx="967">
                  <c:v>-9.0862850035309695</c:v>
                </c:pt>
                <c:pt idx="968">
                  <c:v>-9.0863070193431881</c:v>
                </c:pt>
                <c:pt idx="969">
                  <c:v>-9.0863290347999115</c:v>
                </c:pt>
                <c:pt idx="970">
                  <c:v>-9.0863510499011468</c:v>
                </c:pt>
                <c:pt idx="971">
                  <c:v>-9.0863730646468923</c:v>
                </c:pt>
                <c:pt idx="972">
                  <c:v>-9.0863950790371639</c:v>
                </c:pt>
                <c:pt idx="973">
                  <c:v>-9.0864170930719546</c:v>
                </c:pt>
                <c:pt idx="974">
                  <c:v>-9.0864391067512731</c:v>
                </c:pt>
                <c:pt idx="975">
                  <c:v>-9.0864611200751177</c:v>
                </c:pt>
                <c:pt idx="976">
                  <c:v>-9.0864831330435081</c:v>
                </c:pt>
                <c:pt idx="977">
                  <c:v>-9.0865051456564316</c:v>
                </c:pt>
                <c:pt idx="978">
                  <c:v>-9.0865271579138955</c:v>
                </c:pt>
                <c:pt idx="979">
                  <c:v>-9.0865491698159246</c:v>
                </c:pt>
                <c:pt idx="980">
                  <c:v>-9.0865711813624941</c:v>
                </c:pt>
                <c:pt idx="981">
                  <c:v>-9.0865931925536287</c:v>
                </c:pt>
                <c:pt idx="982">
                  <c:v>-9.0866152033893179</c:v>
                </c:pt>
                <c:pt idx="983">
                  <c:v>-9.086637213869583</c:v>
                </c:pt>
                <c:pt idx="984">
                  <c:v>-9.0866592239944133</c:v>
                </c:pt>
                <c:pt idx="985">
                  <c:v>-9.0866812337638212</c:v>
                </c:pt>
                <c:pt idx="986">
                  <c:v>-9.0867032431778139</c:v>
                </c:pt>
                <c:pt idx="987">
                  <c:v>-9.0867252522363877</c:v>
                </c:pt>
                <c:pt idx="988">
                  <c:v>-9.0867472609395481</c:v>
                </c:pt>
                <c:pt idx="989">
                  <c:v>-9.0867692692872986</c:v>
                </c:pt>
                <c:pt idx="990">
                  <c:v>-9.0867912772796533</c:v>
                </c:pt>
                <c:pt idx="991">
                  <c:v>-9.0868132849166088</c:v>
                </c:pt>
                <c:pt idx="992">
                  <c:v>-9.0868352921981703</c:v>
                </c:pt>
                <c:pt idx="993">
                  <c:v>-9.0868572991243397</c:v>
                </c:pt>
                <c:pt idx="994">
                  <c:v>-9.0868793056951258</c:v>
                </c:pt>
                <c:pt idx="995">
                  <c:v>-9.0869013119105357</c:v>
                </c:pt>
                <c:pt idx="996">
                  <c:v>-9.0869233177705606</c:v>
                </c:pt>
                <c:pt idx="997">
                  <c:v>-9.0869453232752164</c:v>
                </c:pt>
                <c:pt idx="998">
                  <c:v>-9.0869673284245085</c:v>
                </c:pt>
                <c:pt idx="999">
                  <c:v>-9.086989333218435</c:v>
                </c:pt>
                <c:pt idx="1000">
                  <c:v>-9.0870113376570014</c:v>
                </c:pt>
              </c:numCache>
            </c:numRef>
          </c:yVal>
          <c:smooth val="0"/>
          <c:extLst>
            <c:ext xmlns:c16="http://schemas.microsoft.com/office/drawing/2014/chart" uri="{C3380CC4-5D6E-409C-BE32-E72D297353CC}">
              <c16:uniqueId val="{00000001-BDD6-4E9B-9AFA-2396233049A9}"/>
            </c:ext>
          </c:extLst>
        </c:ser>
        <c:dLbls>
          <c:showLegendKey val="0"/>
          <c:showVal val="0"/>
          <c:showCatName val="0"/>
          <c:showSerName val="0"/>
          <c:showPercent val="0"/>
          <c:showBubbleSize val="0"/>
        </c:dLbls>
        <c:axId val="149575168"/>
        <c:axId val="149577088"/>
      </c:scatterChart>
      <c:valAx>
        <c:axId val="149575168"/>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1"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577088"/>
        <c:crosses val="autoZero"/>
        <c:crossBetween val="midCat"/>
      </c:valAx>
      <c:valAx>
        <c:axId val="149577088"/>
        <c:scaling>
          <c:orientation val="minMax"/>
        </c:scaling>
        <c:delete val="0"/>
        <c:axPos val="l"/>
        <c:majorGridlines>
          <c:spPr>
            <a:ln w="3175">
              <a:solidFill>
                <a:srgbClr val="000000"/>
              </a:solidFill>
              <a:prstDash val="sysDash"/>
            </a:ln>
          </c:spPr>
        </c:majorGridlines>
        <c:title>
          <c:tx>
            <c:rich>
              <a:bodyPr/>
              <a:lstStyle/>
              <a:p>
                <a:pPr>
                  <a:defRPr sz="1000" b="1" i="0" u="none" strike="noStrike" baseline="0">
                    <a:solidFill>
                      <a:srgbClr val="000000"/>
                    </a:solidFill>
                    <a:latin typeface="Arial"/>
                    <a:ea typeface="Arial"/>
                    <a:cs typeface="Arial"/>
                  </a:defRPr>
                </a:pPr>
                <a:r>
                  <a:rPr lang="fr-FR"/>
                  <a:t>Accélérations [m/s²]_</a:t>
                </a:r>
              </a:p>
            </c:rich>
          </c:tx>
          <c:layout>
            <c:manualLayout>
              <c:xMode val="edge"/>
              <c:yMode val="edge"/>
              <c:x val="2.712264150943397E-2"/>
              <c:y val="0.297386526684164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575168"/>
        <c:crosses val="autoZero"/>
        <c:crossBetween val="midCat"/>
      </c:valAx>
      <c:spPr>
        <a:noFill/>
        <a:ln w="12700">
          <a:solidFill>
            <a:srgbClr val="808080"/>
          </a:solidFill>
          <a:prstDash val="solid"/>
        </a:ln>
      </c:spPr>
    </c:plotArea>
    <c:legend>
      <c:legendPos val="r"/>
      <c:layout>
        <c:manualLayout>
          <c:xMode val="edge"/>
          <c:yMode val="edge"/>
          <c:x val="0.66195018075570744"/>
          <c:y val="0.25777777777777783"/>
          <c:w val="0.30974867528351424"/>
          <c:h val="0.15777777777777779"/>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orientation="landscape" horizontalDpi="1200" verticalDpi="1200"/>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Positions</a:t>
            </a:r>
          </a:p>
        </c:rich>
      </c:tx>
      <c:overlay val="1"/>
    </c:title>
    <c:autoTitleDeleted val="0"/>
    <c:plotArea>
      <c:layout>
        <c:manualLayout>
          <c:layoutTarget val="inner"/>
          <c:xMode val="edge"/>
          <c:yMode val="edge"/>
          <c:x val="0.11674528301886802"/>
          <c:y val="9.4771544282144501E-2"/>
          <c:w val="0.86438679245283023"/>
          <c:h val="0.73856444854360881"/>
        </c:manualLayout>
      </c:layout>
      <c:scatterChart>
        <c:scatterStyle val="lineMarker"/>
        <c:varyColors val="0"/>
        <c:ser>
          <c:idx val="0"/>
          <c:order val="0"/>
          <c:tx>
            <c:strRef>
              <c:f>Courbes!$B$144</c:f>
              <c:strCache>
                <c:ptCount val="1"/>
                <c:pt idx="0">
                  <c:v>Portée</c:v>
                </c:pt>
              </c:strCache>
            </c:strRef>
          </c:tx>
          <c:spPr>
            <a:ln w="25400">
              <a:solidFill>
                <a:srgbClr val="800000"/>
              </a:solidFill>
              <a:prstDash val="solid"/>
            </a:ln>
          </c:spPr>
          <c:marker>
            <c:symbol val="none"/>
          </c:marker>
          <c:xVal>
            <c:numRef>
              <c:f>Calculs!$B$4:$B$1004</c:f>
              <c:numCache>
                <c:formatCode>0.00</c:formatCode>
                <c:ptCount val="1001"/>
                <c:pt idx="0">
                  <c:v>3.2</c:v>
                </c:pt>
                <c:pt idx="1">
                  <c:v>3.21</c:v>
                </c:pt>
                <c:pt idx="2">
                  <c:v>3.2199999999999998</c:v>
                </c:pt>
                <c:pt idx="3">
                  <c:v>3.2299999999999995</c:v>
                </c:pt>
                <c:pt idx="4">
                  <c:v>3.2399999999999993</c:v>
                </c:pt>
                <c:pt idx="5">
                  <c:v>3.2499999999999991</c:v>
                </c:pt>
                <c:pt idx="6">
                  <c:v>3.2599999999999989</c:v>
                </c:pt>
                <c:pt idx="7">
                  <c:v>3.2699999999999987</c:v>
                </c:pt>
                <c:pt idx="8">
                  <c:v>3.2799999999999985</c:v>
                </c:pt>
                <c:pt idx="9">
                  <c:v>3.2899999999999983</c:v>
                </c:pt>
                <c:pt idx="10">
                  <c:v>3.299999999999998</c:v>
                </c:pt>
                <c:pt idx="11">
                  <c:v>3.3099999999999978</c:v>
                </c:pt>
                <c:pt idx="12">
                  <c:v>3.3199999999999976</c:v>
                </c:pt>
                <c:pt idx="13">
                  <c:v>3.3299999999999974</c:v>
                </c:pt>
                <c:pt idx="14">
                  <c:v>3.3399999999999972</c:v>
                </c:pt>
                <c:pt idx="15">
                  <c:v>3.349999999999997</c:v>
                </c:pt>
                <c:pt idx="16">
                  <c:v>3.3599999999999968</c:v>
                </c:pt>
                <c:pt idx="17">
                  <c:v>3.3699999999999966</c:v>
                </c:pt>
                <c:pt idx="18">
                  <c:v>3.3799999999999963</c:v>
                </c:pt>
                <c:pt idx="19">
                  <c:v>3.3899999999999961</c:v>
                </c:pt>
                <c:pt idx="20">
                  <c:v>3.3999999999999959</c:v>
                </c:pt>
                <c:pt idx="21">
                  <c:v>3.4099999999999957</c:v>
                </c:pt>
                <c:pt idx="22">
                  <c:v>3.4199999999999955</c:v>
                </c:pt>
                <c:pt idx="23">
                  <c:v>3.4299999999999953</c:v>
                </c:pt>
                <c:pt idx="24">
                  <c:v>3.4399999999999951</c:v>
                </c:pt>
                <c:pt idx="25">
                  <c:v>3.4499999999999948</c:v>
                </c:pt>
                <c:pt idx="26">
                  <c:v>3.4599999999999946</c:v>
                </c:pt>
                <c:pt idx="27">
                  <c:v>3.4699999999999944</c:v>
                </c:pt>
                <c:pt idx="28">
                  <c:v>3.4799999999999942</c:v>
                </c:pt>
                <c:pt idx="29">
                  <c:v>3.489999999999994</c:v>
                </c:pt>
                <c:pt idx="30">
                  <c:v>3.4999999999999938</c:v>
                </c:pt>
                <c:pt idx="31">
                  <c:v>3.5099999999999936</c:v>
                </c:pt>
                <c:pt idx="32">
                  <c:v>3.5199999999999934</c:v>
                </c:pt>
                <c:pt idx="33">
                  <c:v>3.5299999999999931</c:v>
                </c:pt>
                <c:pt idx="34">
                  <c:v>3.5399999999999929</c:v>
                </c:pt>
                <c:pt idx="35">
                  <c:v>3.5499999999999927</c:v>
                </c:pt>
                <c:pt idx="36">
                  <c:v>3.5599999999999925</c:v>
                </c:pt>
                <c:pt idx="37">
                  <c:v>3.5699999999999923</c:v>
                </c:pt>
                <c:pt idx="38">
                  <c:v>3.5799999999999921</c:v>
                </c:pt>
                <c:pt idx="39">
                  <c:v>3.5899999999999919</c:v>
                </c:pt>
                <c:pt idx="40">
                  <c:v>3.5999999999999917</c:v>
                </c:pt>
                <c:pt idx="41">
                  <c:v>3.6099999999999914</c:v>
                </c:pt>
                <c:pt idx="42">
                  <c:v>3.6199999999999912</c:v>
                </c:pt>
                <c:pt idx="43">
                  <c:v>3.629999999999991</c:v>
                </c:pt>
                <c:pt idx="44">
                  <c:v>3.6399999999999908</c:v>
                </c:pt>
                <c:pt idx="45">
                  <c:v>3.6499999999999906</c:v>
                </c:pt>
                <c:pt idx="46">
                  <c:v>3.6599999999999904</c:v>
                </c:pt>
                <c:pt idx="47">
                  <c:v>3.6699999999999902</c:v>
                </c:pt>
                <c:pt idx="48">
                  <c:v>3.6799999999999899</c:v>
                </c:pt>
                <c:pt idx="49">
                  <c:v>3.6899999999999897</c:v>
                </c:pt>
                <c:pt idx="50">
                  <c:v>3.6999999999999895</c:v>
                </c:pt>
                <c:pt idx="51">
                  <c:v>3.7099999999999893</c:v>
                </c:pt>
                <c:pt idx="52">
                  <c:v>3.7199999999999891</c:v>
                </c:pt>
                <c:pt idx="53">
                  <c:v>3.7299999999999889</c:v>
                </c:pt>
                <c:pt idx="54">
                  <c:v>3.7399999999999887</c:v>
                </c:pt>
                <c:pt idx="55">
                  <c:v>3.7499999999999885</c:v>
                </c:pt>
                <c:pt idx="56">
                  <c:v>3.7599999999999882</c:v>
                </c:pt>
                <c:pt idx="57">
                  <c:v>3.769999999999988</c:v>
                </c:pt>
                <c:pt idx="58">
                  <c:v>3.7799999999999878</c:v>
                </c:pt>
                <c:pt idx="59">
                  <c:v>3.7899999999999876</c:v>
                </c:pt>
                <c:pt idx="60">
                  <c:v>3.7999999999999874</c:v>
                </c:pt>
                <c:pt idx="61">
                  <c:v>3.8099999999999872</c:v>
                </c:pt>
                <c:pt idx="62">
                  <c:v>3.819999999999987</c:v>
                </c:pt>
                <c:pt idx="63">
                  <c:v>3.8299999999999867</c:v>
                </c:pt>
                <c:pt idx="64">
                  <c:v>3.8399999999999865</c:v>
                </c:pt>
                <c:pt idx="65">
                  <c:v>3.8499999999999863</c:v>
                </c:pt>
                <c:pt idx="66">
                  <c:v>3.8599999999999861</c:v>
                </c:pt>
                <c:pt idx="67">
                  <c:v>3.8699999999999859</c:v>
                </c:pt>
                <c:pt idx="68">
                  <c:v>3.8799999999999857</c:v>
                </c:pt>
                <c:pt idx="69">
                  <c:v>3.8899999999999855</c:v>
                </c:pt>
                <c:pt idx="70">
                  <c:v>3.8999999999999853</c:v>
                </c:pt>
                <c:pt idx="71">
                  <c:v>3.909999999999985</c:v>
                </c:pt>
                <c:pt idx="72">
                  <c:v>3.9199999999999848</c:v>
                </c:pt>
                <c:pt idx="73">
                  <c:v>3.9299999999999846</c:v>
                </c:pt>
                <c:pt idx="74">
                  <c:v>3.9399999999999844</c:v>
                </c:pt>
                <c:pt idx="75">
                  <c:v>3.9499999999999842</c:v>
                </c:pt>
                <c:pt idx="76">
                  <c:v>3.959999999999984</c:v>
                </c:pt>
                <c:pt idx="77">
                  <c:v>3.9699999999999838</c:v>
                </c:pt>
                <c:pt idx="78">
                  <c:v>3.9799999999999836</c:v>
                </c:pt>
                <c:pt idx="79">
                  <c:v>3.9899999999999833</c:v>
                </c:pt>
                <c:pt idx="80">
                  <c:v>3.9999999999999831</c:v>
                </c:pt>
                <c:pt idx="81">
                  <c:v>4.0099999999999829</c:v>
                </c:pt>
                <c:pt idx="82">
                  <c:v>4.0199999999999827</c:v>
                </c:pt>
                <c:pt idx="83">
                  <c:v>4.0299999999999825</c:v>
                </c:pt>
                <c:pt idx="84">
                  <c:v>4.0399999999999823</c:v>
                </c:pt>
                <c:pt idx="85">
                  <c:v>4.0499999999999821</c:v>
                </c:pt>
                <c:pt idx="86">
                  <c:v>4.0599999999999818</c:v>
                </c:pt>
                <c:pt idx="87">
                  <c:v>4.0699999999999816</c:v>
                </c:pt>
                <c:pt idx="88">
                  <c:v>4.0799999999999814</c:v>
                </c:pt>
                <c:pt idx="89">
                  <c:v>4.0899999999999812</c:v>
                </c:pt>
                <c:pt idx="90">
                  <c:v>4.099999999999981</c:v>
                </c:pt>
                <c:pt idx="91">
                  <c:v>4.1099999999999808</c:v>
                </c:pt>
                <c:pt idx="92">
                  <c:v>4.1199999999999806</c:v>
                </c:pt>
                <c:pt idx="93">
                  <c:v>4.1299999999999804</c:v>
                </c:pt>
                <c:pt idx="94">
                  <c:v>4.1399999999999801</c:v>
                </c:pt>
                <c:pt idx="95">
                  <c:v>4.1499999999999799</c:v>
                </c:pt>
                <c:pt idx="96">
                  <c:v>4.1599999999999797</c:v>
                </c:pt>
                <c:pt idx="97">
                  <c:v>4.1699999999999795</c:v>
                </c:pt>
                <c:pt idx="98">
                  <c:v>4.1799999999999793</c:v>
                </c:pt>
                <c:pt idx="99">
                  <c:v>4.1899999999999791</c:v>
                </c:pt>
                <c:pt idx="100">
                  <c:v>4.1999999999999789</c:v>
                </c:pt>
                <c:pt idx="101">
                  <c:v>4.2999999999999785</c:v>
                </c:pt>
                <c:pt idx="102">
                  <c:v>4.3999999999999782</c:v>
                </c:pt>
                <c:pt idx="103">
                  <c:v>4.4999999999999778</c:v>
                </c:pt>
                <c:pt idx="104">
                  <c:v>4.5999999999999774</c:v>
                </c:pt>
                <c:pt idx="105">
                  <c:v>4.6999999999999771</c:v>
                </c:pt>
                <c:pt idx="106">
                  <c:v>4.7999999999999767</c:v>
                </c:pt>
                <c:pt idx="107">
                  <c:v>4.8999999999999764</c:v>
                </c:pt>
                <c:pt idx="108">
                  <c:v>4.999999999999976</c:v>
                </c:pt>
                <c:pt idx="109">
                  <c:v>5.0999999999999757</c:v>
                </c:pt>
                <c:pt idx="110">
                  <c:v>5.1999999999999753</c:v>
                </c:pt>
                <c:pt idx="111">
                  <c:v>5.299999999999975</c:v>
                </c:pt>
                <c:pt idx="112">
                  <c:v>5.3999999999999746</c:v>
                </c:pt>
                <c:pt idx="113">
                  <c:v>5.4999999999999742</c:v>
                </c:pt>
                <c:pt idx="114">
                  <c:v>5.5999999999999739</c:v>
                </c:pt>
                <c:pt idx="115">
                  <c:v>5.6999999999999735</c:v>
                </c:pt>
                <c:pt idx="116">
                  <c:v>5.7999999999999732</c:v>
                </c:pt>
                <c:pt idx="117">
                  <c:v>5.8999999999999728</c:v>
                </c:pt>
                <c:pt idx="118">
                  <c:v>5.9999999999999725</c:v>
                </c:pt>
                <c:pt idx="119">
                  <c:v>6.0999999999999721</c:v>
                </c:pt>
                <c:pt idx="120">
                  <c:v>6.1999999999999718</c:v>
                </c:pt>
                <c:pt idx="121">
                  <c:v>6.2999999999999714</c:v>
                </c:pt>
                <c:pt idx="122">
                  <c:v>6.399999999999971</c:v>
                </c:pt>
                <c:pt idx="123">
                  <c:v>6.4999999999999707</c:v>
                </c:pt>
                <c:pt idx="124">
                  <c:v>6.5999999999999703</c:v>
                </c:pt>
                <c:pt idx="125">
                  <c:v>6.69999999999997</c:v>
                </c:pt>
                <c:pt idx="126">
                  <c:v>6.7999999999999696</c:v>
                </c:pt>
                <c:pt idx="127">
                  <c:v>6.8999999999999693</c:v>
                </c:pt>
                <c:pt idx="128">
                  <c:v>6.9999999999999689</c:v>
                </c:pt>
                <c:pt idx="129">
                  <c:v>7.0999999999999686</c:v>
                </c:pt>
                <c:pt idx="130">
                  <c:v>7.1999999999999682</c:v>
                </c:pt>
                <c:pt idx="131">
                  <c:v>7.2999999999999678</c:v>
                </c:pt>
                <c:pt idx="132">
                  <c:v>7.3999999999999675</c:v>
                </c:pt>
                <c:pt idx="133">
                  <c:v>7.4999999999999671</c:v>
                </c:pt>
                <c:pt idx="134">
                  <c:v>7.5999999999999668</c:v>
                </c:pt>
                <c:pt idx="135">
                  <c:v>7.6999999999999664</c:v>
                </c:pt>
                <c:pt idx="136">
                  <c:v>7.7999999999999661</c:v>
                </c:pt>
                <c:pt idx="137">
                  <c:v>7.8999999999999657</c:v>
                </c:pt>
                <c:pt idx="138">
                  <c:v>7.9999999999999654</c:v>
                </c:pt>
                <c:pt idx="139">
                  <c:v>8.0999999999999659</c:v>
                </c:pt>
                <c:pt idx="140">
                  <c:v>8.1999999999999655</c:v>
                </c:pt>
                <c:pt idx="141">
                  <c:v>8.2999999999999652</c:v>
                </c:pt>
                <c:pt idx="142">
                  <c:v>8.3999999999999648</c:v>
                </c:pt>
                <c:pt idx="143">
                  <c:v>8.4999999999999645</c:v>
                </c:pt>
                <c:pt idx="144">
                  <c:v>8.5999999999999641</c:v>
                </c:pt>
                <c:pt idx="145">
                  <c:v>8.6999999999999638</c:v>
                </c:pt>
                <c:pt idx="146">
                  <c:v>8.7999999999999634</c:v>
                </c:pt>
                <c:pt idx="147">
                  <c:v>8.8999999999999631</c:v>
                </c:pt>
                <c:pt idx="148">
                  <c:v>8.9999999999999627</c:v>
                </c:pt>
                <c:pt idx="149">
                  <c:v>9.0999999999999623</c:v>
                </c:pt>
                <c:pt idx="150">
                  <c:v>9.199999999999962</c:v>
                </c:pt>
                <c:pt idx="151">
                  <c:v>9.2999999999999616</c:v>
                </c:pt>
                <c:pt idx="152">
                  <c:v>9.3999999999999613</c:v>
                </c:pt>
                <c:pt idx="153">
                  <c:v>9.4999999999999609</c:v>
                </c:pt>
                <c:pt idx="154">
                  <c:v>9.5999999999999606</c:v>
                </c:pt>
                <c:pt idx="155">
                  <c:v>9.6999999999999602</c:v>
                </c:pt>
                <c:pt idx="156">
                  <c:v>9.7999999999999599</c:v>
                </c:pt>
                <c:pt idx="157">
                  <c:v>9.8999999999999595</c:v>
                </c:pt>
                <c:pt idx="158">
                  <c:v>9.9999999999999591</c:v>
                </c:pt>
                <c:pt idx="159">
                  <c:v>10.099999999999959</c:v>
                </c:pt>
                <c:pt idx="160">
                  <c:v>10.199999999999958</c:v>
                </c:pt>
                <c:pt idx="161">
                  <c:v>10.299999999999958</c:v>
                </c:pt>
                <c:pt idx="162">
                  <c:v>10.399999999999958</c:v>
                </c:pt>
                <c:pt idx="163">
                  <c:v>10.499999999999957</c:v>
                </c:pt>
                <c:pt idx="164">
                  <c:v>10.599999999999957</c:v>
                </c:pt>
                <c:pt idx="165">
                  <c:v>10.699999999999957</c:v>
                </c:pt>
                <c:pt idx="166">
                  <c:v>10.799999999999956</c:v>
                </c:pt>
                <c:pt idx="167">
                  <c:v>10.899999999999956</c:v>
                </c:pt>
                <c:pt idx="168">
                  <c:v>10.999999999999956</c:v>
                </c:pt>
                <c:pt idx="169">
                  <c:v>11.099999999999955</c:v>
                </c:pt>
                <c:pt idx="170">
                  <c:v>11.199999999999955</c:v>
                </c:pt>
                <c:pt idx="171">
                  <c:v>11.299999999999955</c:v>
                </c:pt>
                <c:pt idx="172">
                  <c:v>11.399999999999954</c:v>
                </c:pt>
                <c:pt idx="173">
                  <c:v>11.499999999999954</c:v>
                </c:pt>
                <c:pt idx="174">
                  <c:v>11.599999999999953</c:v>
                </c:pt>
                <c:pt idx="175">
                  <c:v>11.699999999999953</c:v>
                </c:pt>
                <c:pt idx="176">
                  <c:v>11.799999999999953</c:v>
                </c:pt>
                <c:pt idx="177">
                  <c:v>11.899999999999952</c:v>
                </c:pt>
                <c:pt idx="178">
                  <c:v>11.999999999999952</c:v>
                </c:pt>
                <c:pt idx="179">
                  <c:v>12.099999999999952</c:v>
                </c:pt>
                <c:pt idx="180">
                  <c:v>12.199999999999951</c:v>
                </c:pt>
                <c:pt idx="181">
                  <c:v>12.299999999999951</c:v>
                </c:pt>
                <c:pt idx="182">
                  <c:v>12.399999999999951</c:v>
                </c:pt>
                <c:pt idx="183">
                  <c:v>12.49999999999995</c:v>
                </c:pt>
                <c:pt idx="184">
                  <c:v>12.59999999999995</c:v>
                </c:pt>
                <c:pt idx="185">
                  <c:v>12.69999999999995</c:v>
                </c:pt>
                <c:pt idx="186">
                  <c:v>12.799999999999949</c:v>
                </c:pt>
                <c:pt idx="187">
                  <c:v>12.899999999999949</c:v>
                </c:pt>
                <c:pt idx="188">
                  <c:v>12.999999999999948</c:v>
                </c:pt>
                <c:pt idx="189">
                  <c:v>13.099999999999948</c:v>
                </c:pt>
                <c:pt idx="190">
                  <c:v>13.199999999999948</c:v>
                </c:pt>
                <c:pt idx="191">
                  <c:v>13.299999999999947</c:v>
                </c:pt>
                <c:pt idx="192">
                  <c:v>13.399999999999947</c:v>
                </c:pt>
                <c:pt idx="193">
                  <c:v>13.499999999999947</c:v>
                </c:pt>
                <c:pt idx="194">
                  <c:v>13.599999999999946</c:v>
                </c:pt>
                <c:pt idx="195">
                  <c:v>13.699999999999946</c:v>
                </c:pt>
                <c:pt idx="196">
                  <c:v>13.799999999999946</c:v>
                </c:pt>
                <c:pt idx="197">
                  <c:v>13.899999999999945</c:v>
                </c:pt>
                <c:pt idx="198">
                  <c:v>13.999999999999945</c:v>
                </c:pt>
                <c:pt idx="199">
                  <c:v>14.099999999999945</c:v>
                </c:pt>
                <c:pt idx="200">
                  <c:v>14.199999999999944</c:v>
                </c:pt>
                <c:pt idx="201">
                  <c:v>14.299999999999944</c:v>
                </c:pt>
                <c:pt idx="202">
                  <c:v>14.399999999999944</c:v>
                </c:pt>
                <c:pt idx="203">
                  <c:v>14.499999999999943</c:v>
                </c:pt>
                <c:pt idx="204">
                  <c:v>14.599999999999943</c:v>
                </c:pt>
                <c:pt idx="205">
                  <c:v>14.699999999999942</c:v>
                </c:pt>
                <c:pt idx="206">
                  <c:v>14.799999999999942</c:v>
                </c:pt>
                <c:pt idx="207">
                  <c:v>14.899999999999942</c:v>
                </c:pt>
                <c:pt idx="208">
                  <c:v>14.999999999999941</c:v>
                </c:pt>
                <c:pt idx="209">
                  <c:v>15.099999999999941</c:v>
                </c:pt>
                <c:pt idx="210">
                  <c:v>15.199999999999941</c:v>
                </c:pt>
                <c:pt idx="211">
                  <c:v>15.29999999999994</c:v>
                </c:pt>
                <c:pt idx="212">
                  <c:v>15.39999999999994</c:v>
                </c:pt>
                <c:pt idx="213">
                  <c:v>15.49999999999994</c:v>
                </c:pt>
                <c:pt idx="214">
                  <c:v>15.599999999999939</c:v>
                </c:pt>
                <c:pt idx="215">
                  <c:v>15.699999999999939</c:v>
                </c:pt>
                <c:pt idx="216">
                  <c:v>15.799999999999939</c:v>
                </c:pt>
                <c:pt idx="217">
                  <c:v>15.899999999999938</c:v>
                </c:pt>
                <c:pt idx="218">
                  <c:v>15.999999999999938</c:v>
                </c:pt>
                <c:pt idx="219">
                  <c:v>16.099999999999937</c:v>
                </c:pt>
                <c:pt idx="220">
                  <c:v>16.199999999999939</c:v>
                </c:pt>
                <c:pt idx="221">
                  <c:v>16.29999999999994</c:v>
                </c:pt>
                <c:pt idx="222">
                  <c:v>16.399999999999942</c:v>
                </c:pt>
                <c:pt idx="223">
                  <c:v>16.499999999999943</c:v>
                </c:pt>
                <c:pt idx="224">
                  <c:v>16.599999999999945</c:v>
                </c:pt>
                <c:pt idx="225">
                  <c:v>16.699999999999946</c:v>
                </c:pt>
                <c:pt idx="226">
                  <c:v>16.799999999999947</c:v>
                </c:pt>
                <c:pt idx="227">
                  <c:v>16.899999999999949</c:v>
                </c:pt>
                <c:pt idx="228">
                  <c:v>16.99999999999995</c:v>
                </c:pt>
                <c:pt idx="229">
                  <c:v>17.099999999999952</c:v>
                </c:pt>
                <c:pt idx="230">
                  <c:v>17.199999999999953</c:v>
                </c:pt>
                <c:pt idx="231">
                  <c:v>17.299999999999955</c:v>
                </c:pt>
                <c:pt idx="232">
                  <c:v>17.399999999999956</c:v>
                </c:pt>
                <c:pt idx="233">
                  <c:v>17.499999999999957</c:v>
                </c:pt>
                <c:pt idx="234">
                  <c:v>17.599999999999959</c:v>
                </c:pt>
                <c:pt idx="235">
                  <c:v>17.69999999999996</c:v>
                </c:pt>
                <c:pt idx="236">
                  <c:v>17.799999999999962</c:v>
                </c:pt>
                <c:pt idx="237">
                  <c:v>17.899999999999963</c:v>
                </c:pt>
                <c:pt idx="238">
                  <c:v>17.999999999999964</c:v>
                </c:pt>
                <c:pt idx="239">
                  <c:v>18.099999999999966</c:v>
                </c:pt>
                <c:pt idx="240">
                  <c:v>18.199999999999967</c:v>
                </c:pt>
                <c:pt idx="241">
                  <c:v>18.299999999999969</c:v>
                </c:pt>
                <c:pt idx="242">
                  <c:v>18.39999999999997</c:v>
                </c:pt>
                <c:pt idx="243">
                  <c:v>18.499999999999972</c:v>
                </c:pt>
                <c:pt idx="244">
                  <c:v>18.599999999999973</c:v>
                </c:pt>
                <c:pt idx="245">
                  <c:v>18.699999999999974</c:v>
                </c:pt>
                <c:pt idx="246">
                  <c:v>18.799999999999976</c:v>
                </c:pt>
                <c:pt idx="247">
                  <c:v>18.899999999999977</c:v>
                </c:pt>
                <c:pt idx="248">
                  <c:v>18.999999999999979</c:v>
                </c:pt>
                <c:pt idx="249">
                  <c:v>19.09999999999998</c:v>
                </c:pt>
                <c:pt idx="250">
                  <c:v>19.199999999999982</c:v>
                </c:pt>
                <c:pt idx="251">
                  <c:v>19.299999999999983</c:v>
                </c:pt>
                <c:pt idx="252">
                  <c:v>19.399999999999984</c:v>
                </c:pt>
                <c:pt idx="253">
                  <c:v>19.499999999999986</c:v>
                </c:pt>
                <c:pt idx="254">
                  <c:v>19.599999999999987</c:v>
                </c:pt>
                <c:pt idx="255">
                  <c:v>19.699999999999989</c:v>
                </c:pt>
                <c:pt idx="256">
                  <c:v>19.79999999999999</c:v>
                </c:pt>
                <c:pt idx="257">
                  <c:v>19.899999999999991</c:v>
                </c:pt>
                <c:pt idx="258">
                  <c:v>19.999999999999993</c:v>
                </c:pt>
                <c:pt idx="259">
                  <c:v>20.099999999999994</c:v>
                </c:pt>
                <c:pt idx="260">
                  <c:v>20.199999999999996</c:v>
                </c:pt>
                <c:pt idx="261">
                  <c:v>20.299999999999997</c:v>
                </c:pt>
                <c:pt idx="262">
                  <c:v>20.399999999999999</c:v>
                </c:pt>
                <c:pt idx="263">
                  <c:v>20.5</c:v>
                </c:pt>
                <c:pt idx="264">
                  <c:v>20.6</c:v>
                </c:pt>
                <c:pt idx="265">
                  <c:v>20.700000000000003</c:v>
                </c:pt>
                <c:pt idx="266">
                  <c:v>20.800000000000004</c:v>
                </c:pt>
                <c:pt idx="267">
                  <c:v>20.900000000000006</c:v>
                </c:pt>
                <c:pt idx="268">
                  <c:v>21.000000000000007</c:v>
                </c:pt>
                <c:pt idx="269">
                  <c:v>21.100000000000009</c:v>
                </c:pt>
                <c:pt idx="270">
                  <c:v>21.20000000000001</c:v>
                </c:pt>
                <c:pt idx="271">
                  <c:v>21.300000000000011</c:v>
                </c:pt>
                <c:pt idx="272">
                  <c:v>21.400000000000013</c:v>
                </c:pt>
                <c:pt idx="273">
                  <c:v>21.500000000000014</c:v>
                </c:pt>
                <c:pt idx="274">
                  <c:v>21.600000000000016</c:v>
                </c:pt>
                <c:pt idx="275">
                  <c:v>21.700000000000017</c:v>
                </c:pt>
                <c:pt idx="276">
                  <c:v>21.800000000000018</c:v>
                </c:pt>
                <c:pt idx="277">
                  <c:v>21.90000000000002</c:v>
                </c:pt>
                <c:pt idx="278">
                  <c:v>22.000000000000021</c:v>
                </c:pt>
                <c:pt idx="279">
                  <c:v>22.100000000000023</c:v>
                </c:pt>
                <c:pt idx="280">
                  <c:v>22.200000000000024</c:v>
                </c:pt>
                <c:pt idx="281">
                  <c:v>22.300000000000026</c:v>
                </c:pt>
                <c:pt idx="282">
                  <c:v>22.400000000000027</c:v>
                </c:pt>
                <c:pt idx="283">
                  <c:v>22.500000000000028</c:v>
                </c:pt>
                <c:pt idx="284">
                  <c:v>22.60000000000003</c:v>
                </c:pt>
                <c:pt idx="285">
                  <c:v>22.700000000000031</c:v>
                </c:pt>
                <c:pt idx="286">
                  <c:v>22.800000000000033</c:v>
                </c:pt>
                <c:pt idx="287">
                  <c:v>22.900000000000034</c:v>
                </c:pt>
                <c:pt idx="288">
                  <c:v>23.000000000000036</c:v>
                </c:pt>
                <c:pt idx="289">
                  <c:v>23.100000000000037</c:v>
                </c:pt>
                <c:pt idx="290">
                  <c:v>23.200000000000038</c:v>
                </c:pt>
                <c:pt idx="291">
                  <c:v>23.30000000000004</c:v>
                </c:pt>
                <c:pt idx="292">
                  <c:v>23.400000000000041</c:v>
                </c:pt>
                <c:pt idx="293">
                  <c:v>23.500000000000043</c:v>
                </c:pt>
                <c:pt idx="294">
                  <c:v>23.600000000000044</c:v>
                </c:pt>
                <c:pt idx="295">
                  <c:v>23.700000000000045</c:v>
                </c:pt>
                <c:pt idx="296">
                  <c:v>23.800000000000047</c:v>
                </c:pt>
                <c:pt idx="297">
                  <c:v>23.900000000000048</c:v>
                </c:pt>
                <c:pt idx="298">
                  <c:v>24.00000000000005</c:v>
                </c:pt>
                <c:pt idx="299">
                  <c:v>24.100000000000051</c:v>
                </c:pt>
                <c:pt idx="300">
                  <c:v>24.200000000000053</c:v>
                </c:pt>
                <c:pt idx="301">
                  <c:v>24.300000000000054</c:v>
                </c:pt>
                <c:pt idx="302">
                  <c:v>24.400000000000055</c:v>
                </c:pt>
                <c:pt idx="303">
                  <c:v>24.500000000000057</c:v>
                </c:pt>
                <c:pt idx="304">
                  <c:v>24.600000000000058</c:v>
                </c:pt>
                <c:pt idx="305">
                  <c:v>24.70000000000006</c:v>
                </c:pt>
                <c:pt idx="306">
                  <c:v>24.800000000000061</c:v>
                </c:pt>
                <c:pt idx="307">
                  <c:v>24.900000000000063</c:v>
                </c:pt>
                <c:pt idx="308">
                  <c:v>25.000000000000064</c:v>
                </c:pt>
                <c:pt idx="309">
                  <c:v>25.100000000000065</c:v>
                </c:pt>
                <c:pt idx="310">
                  <c:v>25.200000000000067</c:v>
                </c:pt>
                <c:pt idx="311">
                  <c:v>25.300000000000068</c:v>
                </c:pt>
                <c:pt idx="312">
                  <c:v>25.40000000000007</c:v>
                </c:pt>
                <c:pt idx="313">
                  <c:v>25.500000000000071</c:v>
                </c:pt>
                <c:pt idx="314">
                  <c:v>25.600000000000072</c:v>
                </c:pt>
                <c:pt idx="315">
                  <c:v>25.700000000000074</c:v>
                </c:pt>
                <c:pt idx="316">
                  <c:v>25.800000000000075</c:v>
                </c:pt>
                <c:pt idx="317">
                  <c:v>25.900000000000077</c:v>
                </c:pt>
                <c:pt idx="318">
                  <c:v>26.000000000000078</c:v>
                </c:pt>
                <c:pt idx="319">
                  <c:v>26.10000000000008</c:v>
                </c:pt>
                <c:pt idx="320">
                  <c:v>26.200000000000081</c:v>
                </c:pt>
                <c:pt idx="321">
                  <c:v>26.300000000000082</c:v>
                </c:pt>
                <c:pt idx="322">
                  <c:v>26.400000000000084</c:v>
                </c:pt>
                <c:pt idx="323">
                  <c:v>26.500000000000085</c:v>
                </c:pt>
                <c:pt idx="324">
                  <c:v>26.600000000000087</c:v>
                </c:pt>
                <c:pt idx="325">
                  <c:v>26.700000000000088</c:v>
                </c:pt>
                <c:pt idx="326">
                  <c:v>26.80000000000009</c:v>
                </c:pt>
                <c:pt idx="327">
                  <c:v>26.900000000000091</c:v>
                </c:pt>
                <c:pt idx="328">
                  <c:v>27.000000000000092</c:v>
                </c:pt>
                <c:pt idx="329">
                  <c:v>27.100000000000094</c:v>
                </c:pt>
                <c:pt idx="330">
                  <c:v>27.200000000000095</c:v>
                </c:pt>
                <c:pt idx="331">
                  <c:v>27.300000000000097</c:v>
                </c:pt>
                <c:pt idx="332">
                  <c:v>27.400000000000098</c:v>
                </c:pt>
                <c:pt idx="333">
                  <c:v>27.500000000000099</c:v>
                </c:pt>
                <c:pt idx="334">
                  <c:v>27.600000000000101</c:v>
                </c:pt>
                <c:pt idx="335">
                  <c:v>27.700000000000102</c:v>
                </c:pt>
                <c:pt idx="336">
                  <c:v>27.800000000000104</c:v>
                </c:pt>
                <c:pt idx="337">
                  <c:v>27.900000000000105</c:v>
                </c:pt>
                <c:pt idx="338">
                  <c:v>28.000000000000107</c:v>
                </c:pt>
                <c:pt idx="339">
                  <c:v>28.100000000000108</c:v>
                </c:pt>
                <c:pt idx="340">
                  <c:v>28.200000000000109</c:v>
                </c:pt>
                <c:pt idx="341">
                  <c:v>28.300000000000111</c:v>
                </c:pt>
                <c:pt idx="342">
                  <c:v>28.400000000000112</c:v>
                </c:pt>
                <c:pt idx="343">
                  <c:v>28.500000000000114</c:v>
                </c:pt>
                <c:pt idx="344">
                  <c:v>28.600000000000115</c:v>
                </c:pt>
                <c:pt idx="345">
                  <c:v>28.700000000000117</c:v>
                </c:pt>
                <c:pt idx="346">
                  <c:v>28.800000000000118</c:v>
                </c:pt>
                <c:pt idx="347">
                  <c:v>28.900000000000119</c:v>
                </c:pt>
                <c:pt idx="348">
                  <c:v>29.000000000000121</c:v>
                </c:pt>
                <c:pt idx="349">
                  <c:v>29.100000000000122</c:v>
                </c:pt>
                <c:pt idx="350">
                  <c:v>29.200000000000124</c:v>
                </c:pt>
                <c:pt idx="351">
                  <c:v>29.300000000000125</c:v>
                </c:pt>
                <c:pt idx="352">
                  <c:v>29.400000000000126</c:v>
                </c:pt>
                <c:pt idx="353">
                  <c:v>29.500000000000128</c:v>
                </c:pt>
                <c:pt idx="354">
                  <c:v>29.600000000000129</c:v>
                </c:pt>
                <c:pt idx="355">
                  <c:v>29.700000000000131</c:v>
                </c:pt>
                <c:pt idx="356">
                  <c:v>29.800000000000132</c:v>
                </c:pt>
                <c:pt idx="357">
                  <c:v>29.900000000000134</c:v>
                </c:pt>
                <c:pt idx="358">
                  <c:v>30.000000000000135</c:v>
                </c:pt>
                <c:pt idx="359">
                  <c:v>30.100000000000136</c:v>
                </c:pt>
                <c:pt idx="360">
                  <c:v>30.200000000000138</c:v>
                </c:pt>
                <c:pt idx="361">
                  <c:v>30.300000000000139</c:v>
                </c:pt>
                <c:pt idx="362">
                  <c:v>30.400000000000141</c:v>
                </c:pt>
                <c:pt idx="363">
                  <c:v>30.500000000000142</c:v>
                </c:pt>
                <c:pt idx="364">
                  <c:v>30.600000000000144</c:v>
                </c:pt>
                <c:pt idx="365">
                  <c:v>30.700000000000145</c:v>
                </c:pt>
                <c:pt idx="366">
                  <c:v>30.800000000000146</c:v>
                </c:pt>
                <c:pt idx="367">
                  <c:v>30.900000000000148</c:v>
                </c:pt>
                <c:pt idx="368">
                  <c:v>31.000000000000149</c:v>
                </c:pt>
                <c:pt idx="369">
                  <c:v>31.100000000000151</c:v>
                </c:pt>
                <c:pt idx="370">
                  <c:v>31.200000000000152</c:v>
                </c:pt>
                <c:pt idx="371">
                  <c:v>31.300000000000153</c:v>
                </c:pt>
                <c:pt idx="372">
                  <c:v>31.400000000000155</c:v>
                </c:pt>
                <c:pt idx="373">
                  <c:v>31.500000000000156</c:v>
                </c:pt>
                <c:pt idx="374">
                  <c:v>31.600000000000158</c:v>
                </c:pt>
                <c:pt idx="375">
                  <c:v>31.700000000000159</c:v>
                </c:pt>
                <c:pt idx="376">
                  <c:v>31.800000000000161</c:v>
                </c:pt>
                <c:pt idx="377">
                  <c:v>31.900000000000162</c:v>
                </c:pt>
                <c:pt idx="378">
                  <c:v>32.000000000000163</c:v>
                </c:pt>
                <c:pt idx="379">
                  <c:v>32.100000000000165</c:v>
                </c:pt>
                <c:pt idx="380">
                  <c:v>32.200000000000166</c:v>
                </c:pt>
                <c:pt idx="381">
                  <c:v>32.300000000000168</c:v>
                </c:pt>
                <c:pt idx="382">
                  <c:v>32.400000000000169</c:v>
                </c:pt>
                <c:pt idx="383">
                  <c:v>32.500000000000171</c:v>
                </c:pt>
                <c:pt idx="384">
                  <c:v>32.500100000000174</c:v>
                </c:pt>
                <c:pt idx="385">
                  <c:v>32.500200000000177</c:v>
                </c:pt>
                <c:pt idx="386">
                  <c:v>32.50030000000018</c:v>
                </c:pt>
                <c:pt idx="387">
                  <c:v>32.500400000000184</c:v>
                </c:pt>
                <c:pt idx="388">
                  <c:v>32.500500000000187</c:v>
                </c:pt>
                <c:pt idx="389">
                  <c:v>32.50060000000019</c:v>
                </c:pt>
                <c:pt idx="390">
                  <c:v>32.500700000000194</c:v>
                </c:pt>
                <c:pt idx="391">
                  <c:v>32.500800000000197</c:v>
                </c:pt>
                <c:pt idx="392">
                  <c:v>32.5009000000002</c:v>
                </c:pt>
                <c:pt idx="393">
                  <c:v>32.501000000000204</c:v>
                </c:pt>
                <c:pt idx="394">
                  <c:v>32.501100000000207</c:v>
                </c:pt>
                <c:pt idx="395">
                  <c:v>32.50120000000021</c:v>
                </c:pt>
                <c:pt idx="396">
                  <c:v>32.501300000000214</c:v>
                </c:pt>
                <c:pt idx="397">
                  <c:v>32.501400000000217</c:v>
                </c:pt>
                <c:pt idx="398">
                  <c:v>32.50150000000022</c:v>
                </c:pt>
                <c:pt idx="399">
                  <c:v>32.501600000000224</c:v>
                </c:pt>
                <c:pt idx="400">
                  <c:v>32.501700000000227</c:v>
                </c:pt>
                <c:pt idx="401">
                  <c:v>32.50180000000023</c:v>
                </c:pt>
                <c:pt idx="402">
                  <c:v>32.501900000000234</c:v>
                </c:pt>
                <c:pt idx="403">
                  <c:v>32.502000000000237</c:v>
                </c:pt>
                <c:pt idx="404">
                  <c:v>32.50210000000024</c:v>
                </c:pt>
                <c:pt idx="405">
                  <c:v>32.502200000000244</c:v>
                </c:pt>
                <c:pt idx="406">
                  <c:v>32.502300000000247</c:v>
                </c:pt>
                <c:pt idx="407">
                  <c:v>32.50240000000025</c:v>
                </c:pt>
                <c:pt idx="408">
                  <c:v>32.502500000000254</c:v>
                </c:pt>
                <c:pt idx="409">
                  <c:v>32.502600000000257</c:v>
                </c:pt>
                <c:pt idx="410">
                  <c:v>32.50270000000026</c:v>
                </c:pt>
                <c:pt idx="411">
                  <c:v>32.502800000000263</c:v>
                </c:pt>
                <c:pt idx="412">
                  <c:v>32.502900000000267</c:v>
                </c:pt>
                <c:pt idx="413">
                  <c:v>32.50300000000027</c:v>
                </c:pt>
                <c:pt idx="414">
                  <c:v>32.503100000000273</c:v>
                </c:pt>
                <c:pt idx="415">
                  <c:v>32.503200000000277</c:v>
                </c:pt>
                <c:pt idx="416">
                  <c:v>32.50330000000028</c:v>
                </c:pt>
                <c:pt idx="417">
                  <c:v>32.503400000000283</c:v>
                </c:pt>
                <c:pt idx="418">
                  <c:v>32.503500000000287</c:v>
                </c:pt>
                <c:pt idx="419">
                  <c:v>32.50360000000029</c:v>
                </c:pt>
                <c:pt idx="420">
                  <c:v>32.503700000000293</c:v>
                </c:pt>
                <c:pt idx="421">
                  <c:v>32.503800000000297</c:v>
                </c:pt>
                <c:pt idx="422">
                  <c:v>32.5039000000003</c:v>
                </c:pt>
                <c:pt idx="423">
                  <c:v>32.504000000000303</c:v>
                </c:pt>
                <c:pt idx="424">
                  <c:v>32.504100000000307</c:v>
                </c:pt>
                <c:pt idx="425">
                  <c:v>32.50420000000031</c:v>
                </c:pt>
                <c:pt idx="426">
                  <c:v>32.504300000000313</c:v>
                </c:pt>
                <c:pt idx="427">
                  <c:v>32.504400000000317</c:v>
                </c:pt>
                <c:pt idx="428">
                  <c:v>32.50450000000032</c:v>
                </c:pt>
                <c:pt idx="429">
                  <c:v>32.504600000000323</c:v>
                </c:pt>
                <c:pt idx="430">
                  <c:v>32.504700000000327</c:v>
                </c:pt>
                <c:pt idx="431">
                  <c:v>32.50480000000033</c:v>
                </c:pt>
                <c:pt idx="432">
                  <c:v>32.504900000000333</c:v>
                </c:pt>
                <c:pt idx="433">
                  <c:v>32.505000000000337</c:v>
                </c:pt>
                <c:pt idx="434">
                  <c:v>32.50510000000034</c:v>
                </c:pt>
                <c:pt idx="435">
                  <c:v>32.505200000000343</c:v>
                </c:pt>
                <c:pt idx="436">
                  <c:v>32.505300000000346</c:v>
                </c:pt>
                <c:pt idx="437">
                  <c:v>32.50540000000035</c:v>
                </c:pt>
                <c:pt idx="438">
                  <c:v>32.505500000000353</c:v>
                </c:pt>
                <c:pt idx="439">
                  <c:v>32.505600000000356</c:v>
                </c:pt>
                <c:pt idx="440">
                  <c:v>32.50570000000036</c:v>
                </c:pt>
                <c:pt idx="441">
                  <c:v>32.505800000000363</c:v>
                </c:pt>
                <c:pt idx="442">
                  <c:v>32.505900000000366</c:v>
                </c:pt>
                <c:pt idx="443">
                  <c:v>32.50600000000037</c:v>
                </c:pt>
                <c:pt idx="444">
                  <c:v>32.506100000000373</c:v>
                </c:pt>
                <c:pt idx="445">
                  <c:v>32.506200000000376</c:v>
                </c:pt>
                <c:pt idx="446">
                  <c:v>32.50630000000038</c:v>
                </c:pt>
                <c:pt idx="447">
                  <c:v>32.506400000000383</c:v>
                </c:pt>
                <c:pt idx="448">
                  <c:v>32.506500000000386</c:v>
                </c:pt>
                <c:pt idx="449">
                  <c:v>32.50660000000039</c:v>
                </c:pt>
                <c:pt idx="450">
                  <c:v>32.506700000000393</c:v>
                </c:pt>
                <c:pt idx="451">
                  <c:v>32.506800000000396</c:v>
                </c:pt>
                <c:pt idx="452">
                  <c:v>32.5069000000004</c:v>
                </c:pt>
                <c:pt idx="453">
                  <c:v>32.507000000000403</c:v>
                </c:pt>
                <c:pt idx="454">
                  <c:v>32.507100000000406</c:v>
                </c:pt>
                <c:pt idx="455">
                  <c:v>32.50720000000041</c:v>
                </c:pt>
                <c:pt idx="456">
                  <c:v>32.507300000000413</c:v>
                </c:pt>
                <c:pt idx="457">
                  <c:v>32.507400000000416</c:v>
                </c:pt>
                <c:pt idx="458">
                  <c:v>32.50750000000042</c:v>
                </c:pt>
                <c:pt idx="459">
                  <c:v>32.507600000000423</c:v>
                </c:pt>
                <c:pt idx="460">
                  <c:v>32.507700000000426</c:v>
                </c:pt>
                <c:pt idx="461">
                  <c:v>32.507800000000429</c:v>
                </c:pt>
                <c:pt idx="462">
                  <c:v>32.507900000000433</c:v>
                </c:pt>
                <c:pt idx="463">
                  <c:v>32.508000000000436</c:v>
                </c:pt>
                <c:pt idx="464">
                  <c:v>32.508100000000439</c:v>
                </c:pt>
                <c:pt idx="465">
                  <c:v>32.508200000000443</c:v>
                </c:pt>
                <c:pt idx="466">
                  <c:v>32.508300000000446</c:v>
                </c:pt>
                <c:pt idx="467">
                  <c:v>32.508400000000449</c:v>
                </c:pt>
                <c:pt idx="468">
                  <c:v>32.508500000000453</c:v>
                </c:pt>
                <c:pt idx="469">
                  <c:v>32.508600000000456</c:v>
                </c:pt>
                <c:pt idx="470">
                  <c:v>32.508700000000459</c:v>
                </c:pt>
                <c:pt idx="471">
                  <c:v>32.508800000000463</c:v>
                </c:pt>
                <c:pt idx="472">
                  <c:v>32.508900000000466</c:v>
                </c:pt>
                <c:pt idx="473">
                  <c:v>32.509000000000469</c:v>
                </c:pt>
                <c:pt idx="474">
                  <c:v>32.509100000000473</c:v>
                </c:pt>
                <c:pt idx="475">
                  <c:v>32.509200000000476</c:v>
                </c:pt>
                <c:pt idx="476">
                  <c:v>32.509300000000479</c:v>
                </c:pt>
                <c:pt idx="477">
                  <c:v>32.509400000000483</c:v>
                </c:pt>
                <c:pt idx="478">
                  <c:v>32.509500000000486</c:v>
                </c:pt>
                <c:pt idx="479">
                  <c:v>32.509600000000489</c:v>
                </c:pt>
                <c:pt idx="480">
                  <c:v>32.509700000000493</c:v>
                </c:pt>
                <c:pt idx="481">
                  <c:v>32.509800000000496</c:v>
                </c:pt>
                <c:pt idx="482">
                  <c:v>32.509900000000499</c:v>
                </c:pt>
                <c:pt idx="483">
                  <c:v>32.510000000000502</c:v>
                </c:pt>
                <c:pt idx="484">
                  <c:v>32.510100000000506</c:v>
                </c:pt>
                <c:pt idx="485">
                  <c:v>32.510200000000509</c:v>
                </c:pt>
                <c:pt idx="486">
                  <c:v>32.510300000000512</c:v>
                </c:pt>
                <c:pt idx="487">
                  <c:v>32.510400000000516</c:v>
                </c:pt>
                <c:pt idx="488">
                  <c:v>32.510500000000519</c:v>
                </c:pt>
                <c:pt idx="489">
                  <c:v>32.510600000000522</c:v>
                </c:pt>
                <c:pt idx="490">
                  <c:v>32.510700000000526</c:v>
                </c:pt>
                <c:pt idx="491">
                  <c:v>32.510800000000529</c:v>
                </c:pt>
                <c:pt idx="492">
                  <c:v>32.510900000000532</c:v>
                </c:pt>
                <c:pt idx="493">
                  <c:v>32.511000000000536</c:v>
                </c:pt>
                <c:pt idx="494">
                  <c:v>32.511100000000539</c:v>
                </c:pt>
                <c:pt idx="495">
                  <c:v>32.511200000000542</c:v>
                </c:pt>
                <c:pt idx="496">
                  <c:v>32.511300000000546</c:v>
                </c:pt>
                <c:pt idx="497">
                  <c:v>32.511400000000549</c:v>
                </c:pt>
                <c:pt idx="498">
                  <c:v>32.511500000000552</c:v>
                </c:pt>
                <c:pt idx="499">
                  <c:v>32.511600000000556</c:v>
                </c:pt>
                <c:pt idx="500">
                  <c:v>32.511700000000559</c:v>
                </c:pt>
                <c:pt idx="501">
                  <c:v>32.511800000000562</c:v>
                </c:pt>
                <c:pt idx="502">
                  <c:v>32.511900000000566</c:v>
                </c:pt>
                <c:pt idx="503">
                  <c:v>32.512000000000569</c:v>
                </c:pt>
                <c:pt idx="504">
                  <c:v>32.512100000000572</c:v>
                </c:pt>
                <c:pt idx="505">
                  <c:v>32.512200000000576</c:v>
                </c:pt>
                <c:pt idx="506">
                  <c:v>32.512300000000579</c:v>
                </c:pt>
                <c:pt idx="507">
                  <c:v>32.512400000000582</c:v>
                </c:pt>
                <c:pt idx="508">
                  <c:v>32.512500000000585</c:v>
                </c:pt>
                <c:pt idx="509">
                  <c:v>32.512600000000589</c:v>
                </c:pt>
                <c:pt idx="510">
                  <c:v>32.512700000000592</c:v>
                </c:pt>
                <c:pt idx="511">
                  <c:v>32.512800000000595</c:v>
                </c:pt>
                <c:pt idx="512">
                  <c:v>32.512900000000599</c:v>
                </c:pt>
                <c:pt idx="513">
                  <c:v>32.513000000000602</c:v>
                </c:pt>
                <c:pt idx="514">
                  <c:v>32.513100000000605</c:v>
                </c:pt>
                <c:pt idx="515">
                  <c:v>32.513200000000609</c:v>
                </c:pt>
                <c:pt idx="516">
                  <c:v>32.513300000000612</c:v>
                </c:pt>
                <c:pt idx="517">
                  <c:v>32.513400000000615</c:v>
                </c:pt>
                <c:pt idx="518">
                  <c:v>32.513500000000619</c:v>
                </c:pt>
                <c:pt idx="519">
                  <c:v>32.513600000000622</c:v>
                </c:pt>
                <c:pt idx="520">
                  <c:v>32.513700000000625</c:v>
                </c:pt>
                <c:pt idx="521">
                  <c:v>32.513800000000629</c:v>
                </c:pt>
                <c:pt idx="522">
                  <c:v>32.513900000000632</c:v>
                </c:pt>
                <c:pt idx="523">
                  <c:v>32.514000000000635</c:v>
                </c:pt>
                <c:pt idx="524">
                  <c:v>32.514100000000639</c:v>
                </c:pt>
                <c:pt idx="525">
                  <c:v>32.514200000000642</c:v>
                </c:pt>
                <c:pt idx="526">
                  <c:v>32.514300000000645</c:v>
                </c:pt>
                <c:pt idx="527">
                  <c:v>32.514400000000649</c:v>
                </c:pt>
                <c:pt idx="528">
                  <c:v>32.514500000000652</c:v>
                </c:pt>
                <c:pt idx="529">
                  <c:v>32.514600000000655</c:v>
                </c:pt>
                <c:pt idx="530">
                  <c:v>32.514700000000659</c:v>
                </c:pt>
                <c:pt idx="531">
                  <c:v>32.514800000000662</c:v>
                </c:pt>
                <c:pt idx="532">
                  <c:v>32.514900000000665</c:v>
                </c:pt>
                <c:pt idx="533">
                  <c:v>32.515000000000668</c:v>
                </c:pt>
                <c:pt idx="534">
                  <c:v>32.515100000000672</c:v>
                </c:pt>
                <c:pt idx="535">
                  <c:v>32.515200000000675</c:v>
                </c:pt>
                <c:pt idx="536">
                  <c:v>32.515300000000678</c:v>
                </c:pt>
                <c:pt idx="537">
                  <c:v>32.515400000000682</c:v>
                </c:pt>
                <c:pt idx="538">
                  <c:v>32.515500000000685</c:v>
                </c:pt>
                <c:pt idx="539">
                  <c:v>32.515600000000688</c:v>
                </c:pt>
                <c:pt idx="540">
                  <c:v>32.515700000000692</c:v>
                </c:pt>
                <c:pt idx="541">
                  <c:v>32.515800000000695</c:v>
                </c:pt>
                <c:pt idx="542">
                  <c:v>32.515900000000698</c:v>
                </c:pt>
                <c:pt idx="543">
                  <c:v>32.516000000000702</c:v>
                </c:pt>
                <c:pt idx="544">
                  <c:v>32.516100000000705</c:v>
                </c:pt>
                <c:pt idx="545">
                  <c:v>32.516200000000708</c:v>
                </c:pt>
                <c:pt idx="546">
                  <c:v>32.516300000000712</c:v>
                </c:pt>
                <c:pt idx="547">
                  <c:v>32.516400000000715</c:v>
                </c:pt>
                <c:pt idx="548">
                  <c:v>32.516500000000718</c:v>
                </c:pt>
                <c:pt idx="549">
                  <c:v>32.516600000000722</c:v>
                </c:pt>
                <c:pt idx="550">
                  <c:v>32.516700000000725</c:v>
                </c:pt>
                <c:pt idx="551">
                  <c:v>32.516800000000728</c:v>
                </c:pt>
                <c:pt idx="552">
                  <c:v>32.516900000000732</c:v>
                </c:pt>
                <c:pt idx="553">
                  <c:v>32.517000000000735</c:v>
                </c:pt>
                <c:pt idx="554">
                  <c:v>32.517100000000738</c:v>
                </c:pt>
                <c:pt idx="555">
                  <c:v>32.517200000000742</c:v>
                </c:pt>
                <c:pt idx="556">
                  <c:v>32.517300000000745</c:v>
                </c:pt>
                <c:pt idx="557">
                  <c:v>32.517400000000748</c:v>
                </c:pt>
                <c:pt idx="558">
                  <c:v>32.517500000000751</c:v>
                </c:pt>
                <c:pt idx="559">
                  <c:v>32.517600000000755</c:v>
                </c:pt>
                <c:pt idx="560">
                  <c:v>32.517700000000758</c:v>
                </c:pt>
                <c:pt idx="561">
                  <c:v>32.517800000000761</c:v>
                </c:pt>
                <c:pt idx="562">
                  <c:v>32.517900000000765</c:v>
                </c:pt>
                <c:pt idx="563">
                  <c:v>32.518000000000768</c:v>
                </c:pt>
                <c:pt idx="564">
                  <c:v>32.518100000000771</c:v>
                </c:pt>
                <c:pt idx="565">
                  <c:v>32.518200000000775</c:v>
                </c:pt>
                <c:pt idx="566">
                  <c:v>32.518300000000778</c:v>
                </c:pt>
                <c:pt idx="567">
                  <c:v>32.518400000000781</c:v>
                </c:pt>
                <c:pt idx="568">
                  <c:v>32.518500000000785</c:v>
                </c:pt>
                <c:pt idx="569">
                  <c:v>32.518600000000788</c:v>
                </c:pt>
                <c:pt idx="570">
                  <c:v>32.518700000000791</c:v>
                </c:pt>
                <c:pt idx="571">
                  <c:v>32.518800000000795</c:v>
                </c:pt>
                <c:pt idx="572">
                  <c:v>32.518900000000798</c:v>
                </c:pt>
                <c:pt idx="573">
                  <c:v>32.519000000000801</c:v>
                </c:pt>
                <c:pt idx="574">
                  <c:v>32.519100000000805</c:v>
                </c:pt>
                <c:pt idx="575">
                  <c:v>32.519200000000808</c:v>
                </c:pt>
                <c:pt idx="576">
                  <c:v>32.519300000000811</c:v>
                </c:pt>
                <c:pt idx="577">
                  <c:v>32.519400000000815</c:v>
                </c:pt>
                <c:pt idx="578">
                  <c:v>32.519500000000818</c:v>
                </c:pt>
                <c:pt idx="579">
                  <c:v>32.519600000000821</c:v>
                </c:pt>
                <c:pt idx="580">
                  <c:v>32.519700000000825</c:v>
                </c:pt>
                <c:pt idx="581">
                  <c:v>32.519800000000828</c:v>
                </c:pt>
                <c:pt idx="582">
                  <c:v>32.519900000000831</c:v>
                </c:pt>
                <c:pt idx="583">
                  <c:v>32.520000000000834</c:v>
                </c:pt>
                <c:pt idx="584">
                  <c:v>32.520100000000838</c:v>
                </c:pt>
                <c:pt idx="585">
                  <c:v>32.520200000000841</c:v>
                </c:pt>
                <c:pt idx="586">
                  <c:v>32.520300000000844</c:v>
                </c:pt>
                <c:pt idx="587">
                  <c:v>32.520400000000848</c:v>
                </c:pt>
                <c:pt idx="588">
                  <c:v>32.520500000000851</c:v>
                </c:pt>
                <c:pt idx="589">
                  <c:v>32.520600000000854</c:v>
                </c:pt>
                <c:pt idx="590">
                  <c:v>32.520700000000858</c:v>
                </c:pt>
                <c:pt idx="591">
                  <c:v>32.520800000000861</c:v>
                </c:pt>
                <c:pt idx="592">
                  <c:v>32.520900000000864</c:v>
                </c:pt>
                <c:pt idx="593">
                  <c:v>32.521000000000868</c:v>
                </c:pt>
                <c:pt idx="594">
                  <c:v>32.521100000000871</c:v>
                </c:pt>
                <c:pt idx="595">
                  <c:v>32.521200000000874</c:v>
                </c:pt>
                <c:pt idx="596">
                  <c:v>32.521300000000878</c:v>
                </c:pt>
                <c:pt idx="597">
                  <c:v>32.521400000000881</c:v>
                </c:pt>
                <c:pt idx="598">
                  <c:v>32.521500000000884</c:v>
                </c:pt>
                <c:pt idx="599">
                  <c:v>32.521600000000888</c:v>
                </c:pt>
                <c:pt idx="600">
                  <c:v>32.521700000000891</c:v>
                </c:pt>
                <c:pt idx="601">
                  <c:v>32.521800000000894</c:v>
                </c:pt>
                <c:pt idx="602">
                  <c:v>32.521900000000898</c:v>
                </c:pt>
                <c:pt idx="603">
                  <c:v>32.522000000000901</c:v>
                </c:pt>
                <c:pt idx="604">
                  <c:v>32.522100000000904</c:v>
                </c:pt>
                <c:pt idx="605">
                  <c:v>32.522200000000907</c:v>
                </c:pt>
                <c:pt idx="606">
                  <c:v>32.522300000000911</c:v>
                </c:pt>
                <c:pt idx="607">
                  <c:v>32.522400000000914</c:v>
                </c:pt>
                <c:pt idx="608">
                  <c:v>32.522500000000917</c:v>
                </c:pt>
                <c:pt idx="609">
                  <c:v>32.522600000000921</c:v>
                </c:pt>
                <c:pt idx="610">
                  <c:v>32.522700000000924</c:v>
                </c:pt>
                <c:pt idx="611">
                  <c:v>32.522800000000927</c:v>
                </c:pt>
                <c:pt idx="612">
                  <c:v>32.522900000000931</c:v>
                </c:pt>
                <c:pt idx="613">
                  <c:v>32.523000000000934</c:v>
                </c:pt>
                <c:pt idx="614">
                  <c:v>32.523100000000937</c:v>
                </c:pt>
                <c:pt idx="615">
                  <c:v>32.523200000000941</c:v>
                </c:pt>
                <c:pt idx="616">
                  <c:v>32.523300000000944</c:v>
                </c:pt>
                <c:pt idx="617">
                  <c:v>32.523400000000947</c:v>
                </c:pt>
                <c:pt idx="618">
                  <c:v>32.523500000000951</c:v>
                </c:pt>
                <c:pt idx="619">
                  <c:v>32.523600000000954</c:v>
                </c:pt>
                <c:pt idx="620">
                  <c:v>32.523700000000957</c:v>
                </c:pt>
                <c:pt idx="621">
                  <c:v>32.523800000000961</c:v>
                </c:pt>
                <c:pt idx="622">
                  <c:v>32.523900000000964</c:v>
                </c:pt>
                <c:pt idx="623">
                  <c:v>32.524000000000967</c:v>
                </c:pt>
                <c:pt idx="624">
                  <c:v>32.524100000000971</c:v>
                </c:pt>
                <c:pt idx="625">
                  <c:v>32.524200000000974</c:v>
                </c:pt>
                <c:pt idx="626">
                  <c:v>32.524300000000977</c:v>
                </c:pt>
                <c:pt idx="627">
                  <c:v>32.524400000000981</c:v>
                </c:pt>
                <c:pt idx="628">
                  <c:v>32.524500000000984</c:v>
                </c:pt>
                <c:pt idx="629">
                  <c:v>32.524600000000987</c:v>
                </c:pt>
                <c:pt idx="630">
                  <c:v>32.52470000000099</c:v>
                </c:pt>
                <c:pt idx="631">
                  <c:v>32.524800000000994</c:v>
                </c:pt>
                <c:pt idx="632">
                  <c:v>32.524900000000997</c:v>
                </c:pt>
                <c:pt idx="633">
                  <c:v>32.525000000001</c:v>
                </c:pt>
                <c:pt idx="634">
                  <c:v>32.525100000001004</c:v>
                </c:pt>
                <c:pt idx="635">
                  <c:v>32.525200000001007</c:v>
                </c:pt>
                <c:pt idx="636">
                  <c:v>32.52530000000101</c:v>
                </c:pt>
                <c:pt idx="637">
                  <c:v>32.525400000001014</c:v>
                </c:pt>
                <c:pt idx="638">
                  <c:v>32.525500000001017</c:v>
                </c:pt>
                <c:pt idx="639">
                  <c:v>32.52560000000102</c:v>
                </c:pt>
                <c:pt idx="640">
                  <c:v>32.525700000001024</c:v>
                </c:pt>
                <c:pt idx="641">
                  <c:v>32.525800000001027</c:v>
                </c:pt>
                <c:pt idx="642">
                  <c:v>32.52590000000103</c:v>
                </c:pt>
                <c:pt idx="643">
                  <c:v>32.526000000001034</c:v>
                </c:pt>
                <c:pt idx="644">
                  <c:v>32.526100000001037</c:v>
                </c:pt>
                <c:pt idx="645">
                  <c:v>32.52620000000104</c:v>
                </c:pt>
                <c:pt idx="646">
                  <c:v>32.526300000001044</c:v>
                </c:pt>
                <c:pt idx="647">
                  <c:v>32.526400000001047</c:v>
                </c:pt>
                <c:pt idx="648">
                  <c:v>32.52650000000105</c:v>
                </c:pt>
                <c:pt idx="649">
                  <c:v>32.526600000001054</c:v>
                </c:pt>
                <c:pt idx="650">
                  <c:v>32.526700000001057</c:v>
                </c:pt>
                <c:pt idx="651">
                  <c:v>32.52680000000106</c:v>
                </c:pt>
                <c:pt idx="652">
                  <c:v>32.526900000001064</c:v>
                </c:pt>
                <c:pt idx="653">
                  <c:v>32.527000000001067</c:v>
                </c:pt>
                <c:pt idx="654">
                  <c:v>32.52710000000107</c:v>
                </c:pt>
                <c:pt idx="655">
                  <c:v>32.527200000001073</c:v>
                </c:pt>
                <c:pt idx="656">
                  <c:v>32.527300000001077</c:v>
                </c:pt>
                <c:pt idx="657">
                  <c:v>32.52740000000108</c:v>
                </c:pt>
                <c:pt idx="658">
                  <c:v>32.527500000001083</c:v>
                </c:pt>
                <c:pt idx="659">
                  <c:v>32.527600000001087</c:v>
                </c:pt>
                <c:pt idx="660">
                  <c:v>32.52770000000109</c:v>
                </c:pt>
                <c:pt idx="661">
                  <c:v>32.527800000001093</c:v>
                </c:pt>
                <c:pt idx="662">
                  <c:v>32.527900000001097</c:v>
                </c:pt>
                <c:pt idx="663">
                  <c:v>32.5280000000011</c:v>
                </c:pt>
                <c:pt idx="664">
                  <c:v>32.528100000001103</c:v>
                </c:pt>
                <c:pt idx="665">
                  <c:v>32.528200000001107</c:v>
                </c:pt>
                <c:pt idx="666">
                  <c:v>32.52830000000111</c:v>
                </c:pt>
                <c:pt idx="667">
                  <c:v>32.528400000001113</c:v>
                </c:pt>
                <c:pt idx="668">
                  <c:v>32.528500000001117</c:v>
                </c:pt>
                <c:pt idx="669">
                  <c:v>32.52860000000112</c:v>
                </c:pt>
                <c:pt idx="670">
                  <c:v>32.528700000001123</c:v>
                </c:pt>
                <c:pt idx="671">
                  <c:v>32.528800000001127</c:v>
                </c:pt>
                <c:pt idx="672">
                  <c:v>32.52890000000113</c:v>
                </c:pt>
                <c:pt idx="673">
                  <c:v>32.529000000001133</c:v>
                </c:pt>
                <c:pt idx="674">
                  <c:v>32.529100000001137</c:v>
                </c:pt>
                <c:pt idx="675">
                  <c:v>32.52920000000114</c:v>
                </c:pt>
                <c:pt idx="676">
                  <c:v>32.529300000001143</c:v>
                </c:pt>
                <c:pt idx="677">
                  <c:v>32.529400000001147</c:v>
                </c:pt>
                <c:pt idx="678">
                  <c:v>32.52950000000115</c:v>
                </c:pt>
                <c:pt idx="679">
                  <c:v>32.529600000001153</c:v>
                </c:pt>
                <c:pt idx="680">
                  <c:v>32.529700000001156</c:v>
                </c:pt>
                <c:pt idx="681">
                  <c:v>32.52980000000116</c:v>
                </c:pt>
                <c:pt idx="682">
                  <c:v>32.529900000001163</c:v>
                </c:pt>
                <c:pt idx="683">
                  <c:v>32.530000000001166</c:v>
                </c:pt>
                <c:pt idx="684">
                  <c:v>32.53010000000117</c:v>
                </c:pt>
                <c:pt idx="685">
                  <c:v>32.530200000001173</c:v>
                </c:pt>
                <c:pt idx="686">
                  <c:v>32.530300000001176</c:v>
                </c:pt>
                <c:pt idx="687">
                  <c:v>32.53040000000118</c:v>
                </c:pt>
                <c:pt idx="688">
                  <c:v>32.530500000001183</c:v>
                </c:pt>
                <c:pt idx="689">
                  <c:v>32.530600000001186</c:v>
                </c:pt>
                <c:pt idx="690">
                  <c:v>32.53070000000119</c:v>
                </c:pt>
                <c:pt idx="691">
                  <c:v>32.530800000001193</c:v>
                </c:pt>
                <c:pt idx="692">
                  <c:v>32.530900000001196</c:v>
                </c:pt>
                <c:pt idx="693">
                  <c:v>32.5310000000012</c:v>
                </c:pt>
                <c:pt idx="694">
                  <c:v>32.531100000001203</c:v>
                </c:pt>
                <c:pt idx="695">
                  <c:v>32.531200000001206</c:v>
                </c:pt>
                <c:pt idx="696">
                  <c:v>32.53130000000121</c:v>
                </c:pt>
                <c:pt idx="697">
                  <c:v>32.531400000001213</c:v>
                </c:pt>
                <c:pt idx="698">
                  <c:v>32.531500000001216</c:v>
                </c:pt>
                <c:pt idx="699">
                  <c:v>32.53160000000122</c:v>
                </c:pt>
                <c:pt idx="700">
                  <c:v>32.531700000001223</c:v>
                </c:pt>
                <c:pt idx="701">
                  <c:v>32.531800000001226</c:v>
                </c:pt>
                <c:pt idx="702">
                  <c:v>32.53190000000123</c:v>
                </c:pt>
                <c:pt idx="703">
                  <c:v>32.532000000001233</c:v>
                </c:pt>
                <c:pt idx="704">
                  <c:v>32.532100000001236</c:v>
                </c:pt>
                <c:pt idx="705">
                  <c:v>32.532200000001239</c:v>
                </c:pt>
                <c:pt idx="706">
                  <c:v>32.532300000001243</c:v>
                </c:pt>
                <c:pt idx="707">
                  <c:v>32.532400000001246</c:v>
                </c:pt>
                <c:pt idx="708">
                  <c:v>32.532500000001249</c:v>
                </c:pt>
                <c:pt idx="709">
                  <c:v>32.532600000001253</c:v>
                </c:pt>
                <c:pt idx="710">
                  <c:v>32.532700000001256</c:v>
                </c:pt>
                <c:pt idx="711">
                  <c:v>32.532800000001259</c:v>
                </c:pt>
                <c:pt idx="712">
                  <c:v>32.532900000001263</c:v>
                </c:pt>
                <c:pt idx="713">
                  <c:v>32.533000000001266</c:v>
                </c:pt>
                <c:pt idx="714">
                  <c:v>32.533100000001269</c:v>
                </c:pt>
                <c:pt idx="715">
                  <c:v>32.533200000001273</c:v>
                </c:pt>
                <c:pt idx="716">
                  <c:v>32.533300000001276</c:v>
                </c:pt>
                <c:pt idx="717">
                  <c:v>32.533400000001279</c:v>
                </c:pt>
                <c:pt idx="718">
                  <c:v>32.533500000001283</c:v>
                </c:pt>
                <c:pt idx="719">
                  <c:v>32.533600000001286</c:v>
                </c:pt>
                <c:pt idx="720">
                  <c:v>32.533700000001289</c:v>
                </c:pt>
                <c:pt idx="721">
                  <c:v>32.533800000001293</c:v>
                </c:pt>
                <c:pt idx="722">
                  <c:v>32.533900000001296</c:v>
                </c:pt>
                <c:pt idx="723">
                  <c:v>32.534000000001299</c:v>
                </c:pt>
                <c:pt idx="724">
                  <c:v>32.534100000001303</c:v>
                </c:pt>
                <c:pt idx="725">
                  <c:v>32.534200000001306</c:v>
                </c:pt>
                <c:pt idx="726">
                  <c:v>32.534300000001309</c:v>
                </c:pt>
                <c:pt idx="727">
                  <c:v>32.534400000001312</c:v>
                </c:pt>
                <c:pt idx="728">
                  <c:v>32.534500000001316</c:v>
                </c:pt>
                <c:pt idx="729">
                  <c:v>32.534600000001319</c:v>
                </c:pt>
                <c:pt idx="730">
                  <c:v>32.534700000001322</c:v>
                </c:pt>
                <c:pt idx="731">
                  <c:v>32.534800000001326</c:v>
                </c:pt>
                <c:pt idx="732">
                  <c:v>32.534900000001329</c:v>
                </c:pt>
                <c:pt idx="733">
                  <c:v>32.535000000001332</c:v>
                </c:pt>
                <c:pt idx="734">
                  <c:v>32.535100000001336</c:v>
                </c:pt>
                <c:pt idx="735">
                  <c:v>32.535200000001339</c:v>
                </c:pt>
                <c:pt idx="736">
                  <c:v>32.535300000001342</c:v>
                </c:pt>
                <c:pt idx="737">
                  <c:v>32.535400000001346</c:v>
                </c:pt>
                <c:pt idx="738">
                  <c:v>32.535500000001349</c:v>
                </c:pt>
                <c:pt idx="739">
                  <c:v>32.535600000001352</c:v>
                </c:pt>
                <c:pt idx="740">
                  <c:v>32.535700000001356</c:v>
                </c:pt>
                <c:pt idx="741">
                  <c:v>32.535800000001359</c:v>
                </c:pt>
                <c:pt idx="742">
                  <c:v>32.535900000001362</c:v>
                </c:pt>
                <c:pt idx="743">
                  <c:v>32.536000000001366</c:v>
                </c:pt>
                <c:pt idx="744">
                  <c:v>32.536100000001369</c:v>
                </c:pt>
                <c:pt idx="745">
                  <c:v>32.536200000001372</c:v>
                </c:pt>
                <c:pt idx="746">
                  <c:v>32.536300000001376</c:v>
                </c:pt>
                <c:pt idx="747">
                  <c:v>32.536400000001379</c:v>
                </c:pt>
                <c:pt idx="748">
                  <c:v>32.536500000001382</c:v>
                </c:pt>
                <c:pt idx="749">
                  <c:v>32.536600000001386</c:v>
                </c:pt>
                <c:pt idx="750">
                  <c:v>32.536700000001389</c:v>
                </c:pt>
                <c:pt idx="751">
                  <c:v>32.536800000001392</c:v>
                </c:pt>
                <c:pt idx="752">
                  <c:v>32.536900000001395</c:v>
                </c:pt>
                <c:pt idx="753">
                  <c:v>32.537000000001399</c:v>
                </c:pt>
                <c:pt idx="754">
                  <c:v>32.537100000001402</c:v>
                </c:pt>
                <c:pt idx="755">
                  <c:v>32.537200000001405</c:v>
                </c:pt>
                <c:pt idx="756">
                  <c:v>32.537300000001409</c:v>
                </c:pt>
                <c:pt idx="757">
                  <c:v>32.537400000001412</c:v>
                </c:pt>
                <c:pt idx="758">
                  <c:v>32.537500000001415</c:v>
                </c:pt>
                <c:pt idx="759">
                  <c:v>32.537600000001419</c:v>
                </c:pt>
                <c:pt idx="760">
                  <c:v>32.537700000001422</c:v>
                </c:pt>
                <c:pt idx="761">
                  <c:v>32.537800000001425</c:v>
                </c:pt>
                <c:pt idx="762">
                  <c:v>32.537900000001429</c:v>
                </c:pt>
                <c:pt idx="763">
                  <c:v>32.538000000001432</c:v>
                </c:pt>
                <c:pt idx="764">
                  <c:v>32.538100000001435</c:v>
                </c:pt>
                <c:pt idx="765">
                  <c:v>32.538200000001439</c:v>
                </c:pt>
                <c:pt idx="766">
                  <c:v>32.538300000001442</c:v>
                </c:pt>
                <c:pt idx="767">
                  <c:v>32.538400000001445</c:v>
                </c:pt>
                <c:pt idx="768">
                  <c:v>32.538500000001449</c:v>
                </c:pt>
                <c:pt idx="769">
                  <c:v>32.538600000001452</c:v>
                </c:pt>
                <c:pt idx="770">
                  <c:v>32.538700000001455</c:v>
                </c:pt>
                <c:pt idx="771">
                  <c:v>32.538800000001459</c:v>
                </c:pt>
                <c:pt idx="772">
                  <c:v>32.538900000001462</c:v>
                </c:pt>
                <c:pt idx="773">
                  <c:v>32.539000000001465</c:v>
                </c:pt>
                <c:pt idx="774">
                  <c:v>32.539100000001469</c:v>
                </c:pt>
                <c:pt idx="775">
                  <c:v>32.539200000001472</c:v>
                </c:pt>
                <c:pt idx="776">
                  <c:v>32.539300000001475</c:v>
                </c:pt>
                <c:pt idx="777">
                  <c:v>32.539400000001478</c:v>
                </c:pt>
                <c:pt idx="778">
                  <c:v>32.539500000001482</c:v>
                </c:pt>
                <c:pt idx="779">
                  <c:v>32.539600000001485</c:v>
                </c:pt>
                <c:pt idx="780">
                  <c:v>32.539700000001488</c:v>
                </c:pt>
                <c:pt idx="781">
                  <c:v>32.539800000001492</c:v>
                </c:pt>
                <c:pt idx="782">
                  <c:v>32.539900000001495</c:v>
                </c:pt>
                <c:pt idx="783">
                  <c:v>32.540000000001498</c:v>
                </c:pt>
                <c:pt idx="784">
                  <c:v>32.540100000001502</c:v>
                </c:pt>
                <c:pt idx="785">
                  <c:v>32.540200000001505</c:v>
                </c:pt>
                <c:pt idx="786">
                  <c:v>32.540300000001508</c:v>
                </c:pt>
                <c:pt idx="787">
                  <c:v>32.540400000001512</c:v>
                </c:pt>
                <c:pt idx="788">
                  <c:v>32.540500000001515</c:v>
                </c:pt>
                <c:pt idx="789">
                  <c:v>32.540600000001518</c:v>
                </c:pt>
                <c:pt idx="790">
                  <c:v>32.540700000001522</c:v>
                </c:pt>
                <c:pt idx="791">
                  <c:v>32.540800000001525</c:v>
                </c:pt>
                <c:pt idx="792">
                  <c:v>32.540900000001528</c:v>
                </c:pt>
                <c:pt idx="793">
                  <c:v>32.541000000001532</c:v>
                </c:pt>
                <c:pt idx="794">
                  <c:v>32.541100000001535</c:v>
                </c:pt>
                <c:pt idx="795">
                  <c:v>32.541200000001538</c:v>
                </c:pt>
                <c:pt idx="796">
                  <c:v>32.541300000001542</c:v>
                </c:pt>
                <c:pt idx="797">
                  <c:v>32.541400000001545</c:v>
                </c:pt>
                <c:pt idx="798">
                  <c:v>32.541500000001548</c:v>
                </c:pt>
                <c:pt idx="799">
                  <c:v>32.541600000001552</c:v>
                </c:pt>
                <c:pt idx="800">
                  <c:v>32.541700000001555</c:v>
                </c:pt>
                <c:pt idx="801">
                  <c:v>32.541800000001558</c:v>
                </c:pt>
                <c:pt idx="802">
                  <c:v>32.541900000001561</c:v>
                </c:pt>
                <c:pt idx="803">
                  <c:v>32.542000000001565</c:v>
                </c:pt>
                <c:pt idx="804">
                  <c:v>32.542100000001568</c:v>
                </c:pt>
                <c:pt idx="805">
                  <c:v>32.542200000001571</c:v>
                </c:pt>
                <c:pt idx="806">
                  <c:v>32.542300000001575</c:v>
                </c:pt>
                <c:pt idx="807">
                  <c:v>32.542400000001578</c:v>
                </c:pt>
                <c:pt idx="808">
                  <c:v>32.542500000001581</c:v>
                </c:pt>
                <c:pt idx="809">
                  <c:v>32.542600000001585</c:v>
                </c:pt>
                <c:pt idx="810">
                  <c:v>32.542700000001588</c:v>
                </c:pt>
                <c:pt idx="811">
                  <c:v>32.542800000001591</c:v>
                </c:pt>
                <c:pt idx="812">
                  <c:v>32.542900000001595</c:v>
                </c:pt>
                <c:pt idx="813">
                  <c:v>32.543000000001598</c:v>
                </c:pt>
                <c:pt idx="814">
                  <c:v>32.543100000001601</c:v>
                </c:pt>
                <c:pt idx="815">
                  <c:v>32.543200000001605</c:v>
                </c:pt>
                <c:pt idx="816">
                  <c:v>32.543300000001608</c:v>
                </c:pt>
                <c:pt idx="817">
                  <c:v>32.543400000001611</c:v>
                </c:pt>
                <c:pt idx="818">
                  <c:v>32.543500000001615</c:v>
                </c:pt>
                <c:pt idx="819">
                  <c:v>32.543600000001618</c:v>
                </c:pt>
                <c:pt idx="820">
                  <c:v>32.543700000001621</c:v>
                </c:pt>
                <c:pt idx="821">
                  <c:v>32.543800000001625</c:v>
                </c:pt>
                <c:pt idx="822">
                  <c:v>32.543900000001628</c:v>
                </c:pt>
                <c:pt idx="823">
                  <c:v>32.544000000001631</c:v>
                </c:pt>
                <c:pt idx="824">
                  <c:v>32.544100000001634</c:v>
                </c:pt>
                <c:pt idx="825">
                  <c:v>32.544200000001638</c:v>
                </c:pt>
                <c:pt idx="826">
                  <c:v>32.544300000001641</c:v>
                </c:pt>
                <c:pt idx="827">
                  <c:v>32.544400000001644</c:v>
                </c:pt>
                <c:pt idx="828">
                  <c:v>32.544500000001648</c:v>
                </c:pt>
                <c:pt idx="829">
                  <c:v>32.544600000001651</c:v>
                </c:pt>
                <c:pt idx="830">
                  <c:v>32.544700000001654</c:v>
                </c:pt>
                <c:pt idx="831">
                  <c:v>32.544800000001658</c:v>
                </c:pt>
                <c:pt idx="832">
                  <c:v>32.544900000001661</c:v>
                </c:pt>
                <c:pt idx="833">
                  <c:v>32.545000000001664</c:v>
                </c:pt>
                <c:pt idx="834">
                  <c:v>32.545100000001668</c:v>
                </c:pt>
                <c:pt idx="835">
                  <c:v>32.545200000001671</c:v>
                </c:pt>
                <c:pt idx="836">
                  <c:v>32.545300000001674</c:v>
                </c:pt>
                <c:pt idx="837">
                  <c:v>32.545400000001678</c:v>
                </c:pt>
                <c:pt idx="838">
                  <c:v>32.545500000001681</c:v>
                </c:pt>
                <c:pt idx="839">
                  <c:v>32.545600000001684</c:v>
                </c:pt>
                <c:pt idx="840">
                  <c:v>32.545700000001688</c:v>
                </c:pt>
                <c:pt idx="841">
                  <c:v>32.545800000001691</c:v>
                </c:pt>
                <c:pt idx="842">
                  <c:v>32.545900000001694</c:v>
                </c:pt>
                <c:pt idx="843">
                  <c:v>32.546000000001698</c:v>
                </c:pt>
                <c:pt idx="844">
                  <c:v>32.546100000001701</c:v>
                </c:pt>
                <c:pt idx="845">
                  <c:v>32.546200000001704</c:v>
                </c:pt>
                <c:pt idx="846">
                  <c:v>32.546300000001708</c:v>
                </c:pt>
                <c:pt idx="847">
                  <c:v>32.546400000001711</c:v>
                </c:pt>
                <c:pt idx="848">
                  <c:v>32.546500000001714</c:v>
                </c:pt>
                <c:pt idx="849">
                  <c:v>32.546600000001717</c:v>
                </c:pt>
                <c:pt idx="850">
                  <c:v>32.546700000001721</c:v>
                </c:pt>
                <c:pt idx="851">
                  <c:v>32.546800000001724</c:v>
                </c:pt>
                <c:pt idx="852">
                  <c:v>32.546900000001727</c:v>
                </c:pt>
                <c:pt idx="853">
                  <c:v>32.547000000001731</c:v>
                </c:pt>
                <c:pt idx="854">
                  <c:v>32.547100000001734</c:v>
                </c:pt>
                <c:pt idx="855">
                  <c:v>32.547200000001737</c:v>
                </c:pt>
                <c:pt idx="856">
                  <c:v>32.547300000001741</c:v>
                </c:pt>
                <c:pt idx="857">
                  <c:v>32.547400000001744</c:v>
                </c:pt>
                <c:pt idx="858">
                  <c:v>32.547500000001747</c:v>
                </c:pt>
                <c:pt idx="859">
                  <c:v>32.547600000001751</c:v>
                </c:pt>
                <c:pt idx="860">
                  <c:v>32.547700000001754</c:v>
                </c:pt>
                <c:pt idx="861">
                  <c:v>32.547800000001757</c:v>
                </c:pt>
                <c:pt idx="862">
                  <c:v>32.547900000001761</c:v>
                </c:pt>
                <c:pt idx="863">
                  <c:v>32.548000000001764</c:v>
                </c:pt>
                <c:pt idx="864">
                  <c:v>32.548100000001767</c:v>
                </c:pt>
                <c:pt idx="865">
                  <c:v>32.548200000001771</c:v>
                </c:pt>
                <c:pt idx="866">
                  <c:v>32.548300000001774</c:v>
                </c:pt>
                <c:pt idx="867">
                  <c:v>32.548400000001777</c:v>
                </c:pt>
                <c:pt idx="868">
                  <c:v>32.548500000001781</c:v>
                </c:pt>
                <c:pt idx="869">
                  <c:v>32.548600000001784</c:v>
                </c:pt>
                <c:pt idx="870">
                  <c:v>32.548700000001787</c:v>
                </c:pt>
                <c:pt idx="871">
                  <c:v>32.548800000001791</c:v>
                </c:pt>
                <c:pt idx="872">
                  <c:v>32.548900000001794</c:v>
                </c:pt>
                <c:pt idx="873">
                  <c:v>32.549000000001797</c:v>
                </c:pt>
                <c:pt idx="874">
                  <c:v>32.5491000000018</c:v>
                </c:pt>
                <c:pt idx="875">
                  <c:v>32.549200000001804</c:v>
                </c:pt>
                <c:pt idx="876">
                  <c:v>32.549300000001807</c:v>
                </c:pt>
                <c:pt idx="877">
                  <c:v>32.54940000000181</c:v>
                </c:pt>
                <c:pt idx="878">
                  <c:v>32.549500000001814</c:v>
                </c:pt>
                <c:pt idx="879">
                  <c:v>32.549600000001817</c:v>
                </c:pt>
                <c:pt idx="880">
                  <c:v>32.54970000000182</c:v>
                </c:pt>
                <c:pt idx="881">
                  <c:v>32.549800000001824</c:v>
                </c:pt>
                <c:pt idx="882">
                  <c:v>32.549900000001827</c:v>
                </c:pt>
                <c:pt idx="883">
                  <c:v>32.55000000000183</c:v>
                </c:pt>
                <c:pt idx="884">
                  <c:v>32.550100000001834</c:v>
                </c:pt>
                <c:pt idx="885">
                  <c:v>32.550200000001837</c:v>
                </c:pt>
                <c:pt idx="886">
                  <c:v>32.55030000000184</c:v>
                </c:pt>
                <c:pt idx="887">
                  <c:v>32.550400000001844</c:v>
                </c:pt>
                <c:pt idx="888">
                  <c:v>32.550500000001847</c:v>
                </c:pt>
                <c:pt idx="889">
                  <c:v>32.55060000000185</c:v>
                </c:pt>
                <c:pt idx="890">
                  <c:v>32.550700000001854</c:v>
                </c:pt>
                <c:pt idx="891">
                  <c:v>32.550800000001857</c:v>
                </c:pt>
                <c:pt idx="892">
                  <c:v>32.55090000000186</c:v>
                </c:pt>
                <c:pt idx="893">
                  <c:v>32.551000000001864</c:v>
                </c:pt>
                <c:pt idx="894">
                  <c:v>32.551100000001867</c:v>
                </c:pt>
                <c:pt idx="895">
                  <c:v>32.55120000000187</c:v>
                </c:pt>
                <c:pt idx="896">
                  <c:v>32.551300000001874</c:v>
                </c:pt>
                <c:pt idx="897">
                  <c:v>32.551400000001877</c:v>
                </c:pt>
                <c:pt idx="898">
                  <c:v>32.55150000000188</c:v>
                </c:pt>
                <c:pt idx="899">
                  <c:v>32.551600000001883</c:v>
                </c:pt>
                <c:pt idx="900">
                  <c:v>32.551700000001887</c:v>
                </c:pt>
                <c:pt idx="901">
                  <c:v>32.55180000000189</c:v>
                </c:pt>
                <c:pt idx="902">
                  <c:v>32.551900000001893</c:v>
                </c:pt>
                <c:pt idx="903">
                  <c:v>32.552000000001897</c:v>
                </c:pt>
                <c:pt idx="904">
                  <c:v>32.5521000000019</c:v>
                </c:pt>
                <c:pt idx="905">
                  <c:v>32.552200000001903</c:v>
                </c:pt>
                <c:pt idx="906">
                  <c:v>32.552300000001907</c:v>
                </c:pt>
                <c:pt idx="907">
                  <c:v>32.55240000000191</c:v>
                </c:pt>
                <c:pt idx="908">
                  <c:v>32.552500000001913</c:v>
                </c:pt>
                <c:pt idx="909">
                  <c:v>32.552600000001917</c:v>
                </c:pt>
                <c:pt idx="910">
                  <c:v>32.55270000000192</c:v>
                </c:pt>
                <c:pt idx="911">
                  <c:v>32.552800000001923</c:v>
                </c:pt>
                <c:pt idx="912">
                  <c:v>32.552900000001927</c:v>
                </c:pt>
                <c:pt idx="913">
                  <c:v>32.55300000000193</c:v>
                </c:pt>
                <c:pt idx="914">
                  <c:v>32.553100000001933</c:v>
                </c:pt>
                <c:pt idx="915">
                  <c:v>32.553200000001937</c:v>
                </c:pt>
                <c:pt idx="916">
                  <c:v>32.55330000000194</c:v>
                </c:pt>
                <c:pt idx="917">
                  <c:v>32.553400000001943</c:v>
                </c:pt>
                <c:pt idx="918">
                  <c:v>32.553500000001947</c:v>
                </c:pt>
                <c:pt idx="919">
                  <c:v>32.55360000000195</c:v>
                </c:pt>
                <c:pt idx="920">
                  <c:v>32.553700000001953</c:v>
                </c:pt>
                <c:pt idx="921">
                  <c:v>32.553800000001957</c:v>
                </c:pt>
                <c:pt idx="922">
                  <c:v>32.55390000000196</c:v>
                </c:pt>
                <c:pt idx="923">
                  <c:v>32.554000000001963</c:v>
                </c:pt>
                <c:pt idx="924">
                  <c:v>32.554100000001966</c:v>
                </c:pt>
                <c:pt idx="925">
                  <c:v>32.55420000000197</c:v>
                </c:pt>
                <c:pt idx="926">
                  <c:v>32.554300000001973</c:v>
                </c:pt>
                <c:pt idx="927">
                  <c:v>32.554400000001976</c:v>
                </c:pt>
                <c:pt idx="928">
                  <c:v>32.55450000000198</c:v>
                </c:pt>
                <c:pt idx="929">
                  <c:v>32.554600000001983</c:v>
                </c:pt>
                <c:pt idx="930">
                  <c:v>32.554700000001986</c:v>
                </c:pt>
                <c:pt idx="931">
                  <c:v>32.55480000000199</c:v>
                </c:pt>
                <c:pt idx="932">
                  <c:v>32.554900000001993</c:v>
                </c:pt>
                <c:pt idx="933">
                  <c:v>32.555000000001996</c:v>
                </c:pt>
                <c:pt idx="934">
                  <c:v>32.555100000002</c:v>
                </c:pt>
                <c:pt idx="935">
                  <c:v>32.555200000002003</c:v>
                </c:pt>
                <c:pt idx="936">
                  <c:v>32.555300000002006</c:v>
                </c:pt>
                <c:pt idx="937">
                  <c:v>32.55540000000201</c:v>
                </c:pt>
                <c:pt idx="938">
                  <c:v>32.555500000002013</c:v>
                </c:pt>
                <c:pt idx="939">
                  <c:v>32.555600000002016</c:v>
                </c:pt>
                <c:pt idx="940">
                  <c:v>32.55570000000202</c:v>
                </c:pt>
                <c:pt idx="941">
                  <c:v>32.555800000002023</c:v>
                </c:pt>
                <c:pt idx="942">
                  <c:v>32.555900000002026</c:v>
                </c:pt>
                <c:pt idx="943">
                  <c:v>32.55600000000203</c:v>
                </c:pt>
                <c:pt idx="944">
                  <c:v>32.556100000002033</c:v>
                </c:pt>
                <c:pt idx="945">
                  <c:v>32.556200000002036</c:v>
                </c:pt>
                <c:pt idx="946">
                  <c:v>32.556300000002039</c:v>
                </c:pt>
                <c:pt idx="947">
                  <c:v>32.556400000002043</c:v>
                </c:pt>
                <c:pt idx="948">
                  <c:v>32.556500000002046</c:v>
                </c:pt>
                <c:pt idx="949">
                  <c:v>32.556600000002049</c:v>
                </c:pt>
                <c:pt idx="950">
                  <c:v>32.556700000002053</c:v>
                </c:pt>
                <c:pt idx="951">
                  <c:v>32.556800000002056</c:v>
                </c:pt>
                <c:pt idx="952">
                  <c:v>32.556900000002059</c:v>
                </c:pt>
                <c:pt idx="953">
                  <c:v>32.557000000002063</c:v>
                </c:pt>
                <c:pt idx="954">
                  <c:v>32.557100000002066</c:v>
                </c:pt>
                <c:pt idx="955">
                  <c:v>32.557200000002069</c:v>
                </c:pt>
                <c:pt idx="956">
                  <c:v>32.557300000002073</c:v>
                </c:pt>
                <c:pt idx="957">
                  <c:v>32.557400000002076</c:v>
                </c:pt>
                <c:pt idx="958">
                  <c:v>32.557500000002079</c:v>
                </c:pt>
                <c:pt idx="959">
                  <c:v>32.557600000002083</c:v>
                </c:pt>
                <c:pt idx="960">
                  <c:v>32.557700000002086</c:v>
                </c:pt>
                <c:pt idx="961">
                  <c:v>32.557800000002089</c:v>
                </c:pt>
                <c:pt idx="962">
                  <c:v>32.557900000002093</c:v>
                </c:pt>
                <c:pt idx="963">
                  <c:v>32.558000000002096</c:v>
                </c:pt>
                <c:pt idx="964">
                  <c:v>32.558100000002099</c:v>
                </c:pt>
                <c:pt idx="965">
                  <c:v>32.558200000002103</c:v>
                </c:pt>
                <c:pt idx="966">
                  <c:v>32.558300000002106</c:v>
                </c:pt>
                <c:pt idx="967">
                  <c:v>32.558400000002109</c:v>
                </c:pt>
                <c:pt idx="968">
                  <c:v>32.558500000002113</c:v>
                </c:pt>
                <c:pt idx="969">
                  <c:v>32.558600000002116</c:v>
                </c:pt>
                <c:pt idx="970">
                  <c:v>32.558700000002119</c:v>
                </c:pt>
                <c:pt idx="971">
                  <c:v>32.558800000002122</c:v>
                </c:pt>
                <c:pt idx="972">
                  <c:v>32.558900000002126</c:v>
                </c:pt>
                <c:pt idx="973">
                  <c:v>32.559000000002129</c:v>
                </c:pt>
                <c:pt idx="974">
                  <c:v>32.559100000002132</c:v>
                </c:pt>
                <c:pt idx="975">
                  <c:v>32.559200000002136</c:v>
                </c:pt>
                <c:pt idx="976">
                  <c:v>32.559300000002139</c:v>
                </c:pt>
                <c:pt idx="977">
                  <c:v>32.559400000002142</c:v>
                </c:pt>
                <c:pt idx="978">
                  <c:v>32.559500000002146</c:v>
                </c:pt>
                <c:pt idx="979">
                  <c:v>32.559600000002149</c:v>
                </c:pt>
                <c:pt idx="980">
                  <c:v>32.559700000002152</c:v>
                </c:pt>
                <c:pt idx="981">
                  <c:v>32.559800000002156</c:v>
                </c:pt>
                <c:pt idx="982">
                  <c:v>32.559900000002159</c:v>
                </c:pt>
                <c:pt idx="983">
                  <c:v>32.560000000002162</c:v>
                </c:pt>
                <c:pt idx="984">
                  <c:v>32.560100000002166</c:v>
                </c:pt>
                <c:pt idx="985">
                  <c:v>32.560200000002169</c:v>
                </c:pt>
                <c:pt idx="986">
                  <c:v>32.560300000002172</c:v>
                </c:pt>
                <c:pt idx="987">
                  <c:v>32.560400000002176</c:v>
                </c:pt>
                <c:pt idx="988">
                  <c:v>32.560500000002179</c:v>
                </c:pt>
                <c:pt idx="989">
                  <c:v>32.560600000002182</c:v>
                </c:pt>
                <c:pt idx="990">
                  <c:v>32.560700000002186</c:v>
                </c:pt>
                <c:pt idx="991">
                  <c:v>32.560800000002189</c:v>
                </c:pt>
                <c:pt idx="992">
                  <c:v>32.560900000002192</c:v>
                </c:pt>
                <c:pt idx="993">
                  <c:v>32.561000000002196</c:v>
                </c:pt>
                <c:pt idx="994">
                  <c:v>32.561100000002199</c:v>
                </c:pt>
                <c:pt idx="995">
                  <c:v>32.561200000002202</c:v>
                </c:pt>
                <c:pt idx="996">
                  <c:v>32.561300000002205</c:v>
                </c:pt>
                <c:pt idx="997">
                  <c:v>32.561400000002209</c:v>
                </c:pt>
                <c:pt idx="998">
                  <c:v>32.561500000002212</c:v>
                </c:pt>
                <c:pt idx="999">
                  <c:v>32.561600000002215</c:v>
                </c:pt>
                <c:pt idx="1000">
                  <c:v>32.561700000002219</c:v>
                </c:pt>
              </c:numCache>
            </c:numRef>
          </c:xVal>
          <c:yVal>
            <c:numRef>
              <c:f>Calculs!$J$4:$J$1004</c:f>
              <c:numCache>
                <c:formatCode>0.00</c:formatCode>
                <c:ptCount val="1001"/>
                <c:pt idx="0">
                  <c:v>98.964688107976272</c:v>
                </c:pt>
                <c:pt idx="1">
                  <c:v>99.334522222300691</c:v>
                </c:pt>
                <c:pt idx="2">
                  <c:v>99.703764247284326</c:v>
                </c:pt>
                <c:pt idx="3">
                  <c:v>100.07241651100099</c:v>
                </c:pt>
                <c:pt idx="4">
                  <c:v>100.44048132829238</c:v>
                </c:pt>
                <c:pt idx="5">
                  <c:v>100.80796100086987</c:v>
                </c:pt>
                <c:pt idx="6">
                  <c:v>101.17485781741556</c:v>
                </c:pt>
                <c:pt idx="7">
                  <c:v>101.54117405368216</c:v>
                </c:pt>
                <c:pt idx="8">
                  <c:v>101.90691197259203</c:v>
                </c:pt>
                <c:pt idx="9">
                  <c:v>102.27207382433525</c:v>
                </c:pt>
                <c:pt idx="10">
                  <c:v>102.63666184646672</c:v>
                </c:pt>
                <c:pt idx="11">
                  <c:v>103.00067825999349</c:v>
                </c:pt>
                <c:pt idx="12">
                  <c:v>103.36412526557487</c:v>
                </c:pt>
                <c:pt idx="13">
                  <c:v>103.72700504785658</c:v>
                </c:pt>
                <c:pt idx="14">
                  <c:v>104.08931977968683</c:v>
                </c:pt>
                <c:pt idx="15">
                  <c:v>104.45107162220215</c:v>
                </c:pt>
                <c:pt idx="16">
                  <c:v>104.81226272491242</c:v>
                </c:pt>
                <c:pt idx="17">
                  <c:v>105.17289522578515</c:v>
                </c:pt>
                <c:pt idx="18">
                  <c:v>105.53297125132904</c:v>
                </c:pt>
                <c:pt idx="19">
                  <c:v>105.89249291667666</c:v>
                </c:pt>
                <c:pt idx="20">
                  <c:v>106.25146232566647</c:v>
                </c:pt>
                <c:pt idx="21">
                  <c:v>106.60988157294238</c:v>
                </c:pt>
                <c:pt idx="22">
                  <c:v>106.96775274599791</c:v>
                </c:pt>
                <c:pt idx="23">
                  <c:v>107.32507792312646</c:v>
                </c:pt>
                <c:pt idx="24">
                  <c:v>107.68185917142733</c:v>
                </c:pt>
                <c:pt idx="25">
                  <c:v>108.03809854688733</c:v>
                </c:pt>
                <c:pt idx="26">
                  <c:v>108.39379809446156</c:v>
                </c:pt>
                <c:pt idx="27">
                  <c:v>108.74895984815356</c:v>
                </c:pt>
                <c:pt idx="28">
                  <c:v>109.10358583109466</c:v>
                </c:pt>
                <c:pt idx="29">
                  <c:v>109.45767805562264</c:v>
                </c:pt>
                <c:pt idx="30">
                  <c:v>109.81123852335966</c:v>
                </c:pt>
                <c:pt idx="31">
                  <c:v>110.16426922528956</c:v>
                </c:pt>
                <c:pt idx="32">
                  <c:v>110.51677214183431</c:v>
                </c:pt>
                <c:pt idx="33">
                  <c:v>110.86874924292995</c:v>
                </c:pt>
                <c:pt idx="34">
                  <c:v>111.22020248810172</c:v>
                </c:pt>
                <c:pt idx="35">
                  <c:v>111.57113382653857</c:v>
                </c:pt>
                <c:pt idx="36">
                  <c:v>111.92154519716701</c:v>
                </c:pt>
                <c:pt idx="37">
                  <c:v>112.27143852872423</c:v>
                </c:pt>
                <c:pt idx="38">
                  <c:v>112.6208157398307</c:v>
                </c:pt>
                <c:pt idx="39">
                  <c:v>112.969678739062</c:v>
                </c:pt>
                <c:pt idx="40">
                  <c:v>113.31802942502007</c:v>
                </c:pt>
                <c:pt idx="41">
                  <c:v>113.66586968640379</c:v>
                </c:pt>
                <c:pt idx="42">
                  <c:v>114.01320140207901</c:v>
                </c:pt>
                <c:pt idx="43">
                  <c:v>114.36002644114785</c:v>
                </c:pt>
                <c:pt idx="44">
                  <c:v>114.70634666301754</c:v>
                </c:pt>
                <c:pt idx="45">
                  <c:v>115.05216391746848</c:v>
                </c:pt>
                <c:pt idx="46">
                  <c:v>115.39748004472183</c:v>
                </c:pt>
                <c:pt idx="47">
                  <c:v>115.74229687550647</c:v>
                </c:pt>
                <c:pt idx="48">
                  <c:v>116.08661623112533</c:v>
                </c:pt>
                <c:pt idx="49">
                  <c:v>116.43043992352123</c:v>
                </c:pt>
                <c:pt idx="50">
                  <c:v>116.77376975534206</c:v>
                </c:pt>
                <c:pt idx="51">
                  <c:v>117.11660752000542</c:v>
                </c:pt>
                <c:pt idx="52">
                  <c:v>117.45895500176273</c:v>
                </c:pt>
                <c:pt idx="53">
                  <c:v>117.80081397576276</c:v>
                </c:pt>
                <c:pt idx="54">
                  <c:v>118.14218620811459</c:v>
                </c:pt>
                <c:pt idx="55">
                  <c:v>118.48307345595003</c:v>
                </c:pt>
                <c:pt idx="56">
                  <c:v>118.82347746748556</c:v>
                </c:pt>
                <c:pt idx="57">
                  <c:v>119.16339998208363</c:v>
                </c:pt>
                <c:pt idx="58">
                  <c:v>119.50284273031356</c:v>
                </c:pt>
                <c:pt idx="59">
                  <c:v>119.8418074340118</c:v>
                </c:pt>
                <c:pt idx="60">
                  <c:v>120.18029580634175</c:v>
                </c:pt>
                <c:pt idx="61">
                  <c:v>120.51830955185302</c:v>
                </c:pt>
                <c:pt idx="62">
                  <c:v>120.85585036654024</c:v>
                </c:pt>
                <c:pt idx="63">
                  <c:v>121.19291993790127</c:v>
                </c:pt>
                <c:pt idx="64">
                  <c:v>121.52951994499506</c:v>
                </c:pt>
                <c:pt idx="65">
                  <c:v>121.86565205849888</c:v>
                </c:pt>
                <c:pt idx="66">
                  <c:v>122.20131794076515</c:v>
                </c:pt>
                <c:pt idx="67">
                  <c:v>122.53651924587773</c:v>
                </c:pt>
                <c:pt idx="68">
                  <c:v>122.87125761970779</c:v>
                </c:pt>
                <c:pt idx="69">
                  <c:v>123.20553469996918</c:v>
                </c:pt>
                <c:pt idx="70">
                  <c:v>123.53935211627332</c:v>
                </c:pt>
                <c:pt idx="71">
                  <c:v>123.87271149018366</c:v>
                </c:pt>
                <c:pt idx="72">
                  <c:v>124.20561443526965</c:v>
                </c:pt>
                <c:pt idx="73">
                  <c:v>124.53806255716032</c:v>
                </c:pt>
                <c:pt idx="74">
                  <c:v>124.87005745359728</c:v>
                </c:pt>
                <c:pt idx="75">
                  <c:v>125.20160071448747</c:v>
                </c:pt>
                <c:pt idx="76">
                  <c:v>125.53269392195526</c:v>
                </c:pt>
                <c:pt idx="77">
                  <c:v>125.8633386503943</c:v>
                </c:pt>
                <c:pt idx="78">
                  <c:v>126.19353646651882</c:v>
                </c:pt>
                <c:pt idx="79">
                  <c:v>126.52328892941455</c:v>
                </c:pt>
                <c:pt idx="80">
                  <c:v>126.85259759058921</c:v>
                </c:pt>
                <c:pt idx="81">
                  <c:v>127.18146399402259</c:v>
                </c:pt>
                <c:pt idx="82">
                  <c:v>127.5098896762162</c:v>
                </c:pt>
                <c:pt idx="83">
                  <c:v>127.83787616624254</c:v>
                </c:pt>
                <c:pt idx="84">
                  <c:v>128.16542498579392</c:v>
                </c:pt>
                <c:pt idx="85">
                  <c:v>128.49253764923094</c:v>
                </c:pt>
                <c:pt idx="86">
                  <c:v>128.81921566363047</c:v>
                </c:pt>
                <c:pt idx="87">
                  <c:v>129.14546052883341</c:v>
                </c:pt>
                <c:pt idx="88">
                  <c:v>129.47127373749188</c:v>
                </c:pt>
                <c:pt idx="89">
                  <c:v>129.79665677511608</c:v>
                </c:pt>
                <c:pt idx="90">
                  <c:v>130.12161112012086</c:v>
                </c:pt>
                <c:pt idx="91">
                  <c:v>130.44613824387179</c:v>
                </c:pt>
                <c:pt idx="92">
                  <c:v>130.7702396107309</c:v>
                </c:pt>
                <c:pt idx="93">
                  <c:v>131.09391667810209</c:v>
                </c:pt>
                <c:pt idx="94">
                  <c:v>131.41717089647611</c:v>
                </c:pt>
                <c:pt idx="95">
                  <c:v>131.74000370947519</c:v>
                </c:pt>
                <c:pt idx="96">
                  <c:v>132.06241655389738</c:v>
                </c:pt>
                <c:pt idx="97">
                  <c:v>132.38441085976044</c:v>
                </c:pt>
                <c:pt idx="98">
                  <c:v>132.70598805034538</c:v>
                </c:pt>
                <c:pt idx="99">
                  <c:v>133.02714954223975</c:v>
                </c:pt>
                <c:pt idx="100">
                  <c:v>133.34789674538047</c:v>
                </c:pt>
                <c:pt idx="101">
                  <c:v>136.53269157921852</c:v>
                </c:pt>
                <c:pt idx="102">
                  <c:v>139.67695883210803</c:v>
                </c:pt>
                <c:pt idx="103">
                  <c:v>142.78204878969362</c:v>
                </c:pt>
                <c:pt idx="104">
                  <c:v>145.84925042247235</c:v>
                </c:pt>
                <c:pt idx="105">
                  <c:v>148.87979514229718</c:v>
                </c:pt>
                <c:pt idx="106">
                  <c:v>151.87486027486506</c:v>
                </c:pt>
                <c:pt idx="107">
                  <c:v>154.83557227369886</c:v>
                </c:pt>
                <c:pt idx="108">
                  <c:v>157.76300969848924</c:v>
                </c:pt>
                <c:pt idx="109">
                  <c:v>160.65820597832757</c:v>
                </c:pt>
                <c:pt idx="110">
                  <c:v>163.52215197829582</c:v>
                </c:pt>
                <c:pt idx="111">
                  <c:v>166.35579838604843</c:v>
                </c:pt>
                <c:pt idx="112">
                  <c:v>169.16005793339585</c:v>
                </c:pt>
                <c:pt idx="113">
                  <c:v>171.93580746645253</c:v>
                </c:pt>
                <c:pt idx="114">
                  <c:v>174.68388987662399</c:v>
                </c:pt>
                <c:pt idx="115">
                  <c:v>177.40511590355632</c:v>
                </c:pt>
                <c:pt idx="116">
                  <c:v>180.10026582014351</c:v>
                </c:pt>
                <c:pt idx="117">
                  <c:v>182.77009100876609</c:v>
                </c:pt>
                <c:pt idx="118">
                  <c:v>185.41531543710866</c:v>
                </c:pt>
                <c:pt idx="119">
                  <c:v>188.03663704116127</c:v>
                </c:pt>
                <c:pt idx="120">
                  <c:v>190.63472902234204</c:v>
                </c:pt>
                <c:pt idx="121">
                  <c:v>193.21024106507673</c:v>
                </c:pt>
                <c:pt idx="122">
                  <c:v>195.76380048062799</c:v>
                </c:pt>
                <c:pt idx="123">
                  <c:v>198.29601328247676</c:v>
                </c:pt>
                <c:pt idx="124">
                  <c:v>200.80746519811473</c:v>
                </c:pt>
                <c:pt idx="125">
                  <c:v>203.29872262170446</c:v>
                </c:pt>
                <c:pt idx="126">
                  <c:v>205.77033351169982</c:v>
                </c:pt>
                <c:pt idx="127">
                  <c:v>208.22282823718777</c:v>
                </c:pt>
                <c:pt idx="128">
                  <c:v>210.65672037641173</c:v>
                </c:pt>
                <c:pt idx="129">
                  <c:v>213.07250747066232</c:v>
                </c:pt>
                <c:pt idx="130">
                  <c:v>215.47067173647179</c:v>
                </c:pt>
                <c:pt idx="131">
                  <c:v>217.85168073881979</c:v>
                </c:pt>
                <c:pt idx="132">
                  <c:v>220.21598802784982</c:v>
                </c:pt>
                <c:pt idx="133">
                  <c:v>222.56403374140476</c:v>
                </c:pt>
                <c:pt idx="134">
                  <c:v>224.89624517551525</c:v>
                </c:pt>
                <c:pt idx="135">
                  <c:v>227.21303732481383</c:v>
                </c:pt>
                <c:pt idx="136">
                  <c:v>229.51481339470064</c:v>
                </c:pt>
                <c:pt idx="137">
                  <c:v>231.80196528695063</c:v>
                </c:pt>
                <c:pt idx="138">
                  <c:v>234.07487406032732</c:v>
                </c:pt>
                <c:pt idx="139">
                  <c:v>236.33391036765275</c:v>
                </c:pt>
                <c:pt idx="140">
                  <c:v>238.57943487067686</c:v>
                </c:pt>
                <c:pt idx="141">
                  <c:v>240.81179863399018</c:v>
                </c:pt>
                <c:pt idx="142">
                  <c:v>243.03134349913284</c:v>
                </c:pt>
                <c:pt idx="143">
                  <c:v>245.23840243996733</c:v>
                </c:pt>
                <c:pt idx="144">
                  <c:v>247.43329990030287</c:v>
                </c:pt>
                <c:pt idx="145">
                  <c:v>249.61635211468572</c:v>
                </c:pt>
                <c:pt idx="146">
                  <c:v>251.78786741319973</c:v>
                </c:pt>
                <c:pt idx="147">
                  <c:v>253.94814651105634</c:v>
                </c:pt>
                <c:pt idx="148">
                  <c:v>256.09748278369182</c:v>
                </c:pt>
                <c:pt idx="149">
                  <c:v>258.23616252803146</c:v>
                </c:pt>
                <c:pt idx="150">
                  <c:v>260.36446521052426</c:v>
                </c:pt>
                <c:pt idx="151">
                  <c:v>262.48266370250008</c:v>
                </c:pt>
                <c:pt idx="152">
                  <c:v>264.59102450334956</c:v>
                </c:pt>
                <c:pt idx="153">
                  <c:v>266.68980795197837</c:v>
                </c:pt>
                <c:pt idx="154">
                  <c:v>268.77926842694018</c:v>
                </c:pt>
                <c:pt idx="155">
                  <c:v>270.8596545356059</c:v>
                </c:pt>
                <c:pt idx="156">
                  <c:v>272.9312092926815</c:v>
                </c:pt>
                <c:pt idx="157">
                  <c:v>274.99417028834102</c:v>
                </c:pt>
                <c:pt idx="158">
                  <c:v>277.04876984619654</c:v>
                </c:pt>
                <c:pt idx="159">
                  <c:v>279.09523517128139</c:v>
                </c:pt>
                <c:pt idx="160">
                  <c:v>281.13378848817683</c:v>
                </c:pt>
                <c:pt idx="161">
                  <c:v>283.16464716936554</c:v>
                </c:pt>
                <c:pt idx="162">
                  <c:v>285.18802385384714</c:v>
                </c:pt>
                <c:pt idx="163">
                  <c:v>287.20412655600114</c:v>
                </c:pt>
                <c:pt idx="164">
                  <c:v>289.21315876463115</c:v>
                </c:pt>
                <c:pt idx="165">
                  <c:v>291.21531953207068</c:v>
                </c:pt>
                <c:pt idx="166">
                  <c:v>293.21080355317366</c:v>
                </c:pt>
                <c:pt idx="167">
                  <c:v>295.19980123395527</c:v>
                </c:pt>
                <c:pt idx="168">
                  <c:v>297.18249874958599</c:v>
                </c:pt>
                <c:pt idx="169">
                  <c:v>299.15907809137809</c:v>
                </c:pt>
                <c:pt idx="170">
                  <c:v>301.12971710233666</c:v>
                </c:pt>
                <c:pt idx="171">
                  <c:v>303.09458950077845</c:v>
                </c:pt>
                <c:pt idx="172">
                  <c:v>305.05386489145189</c:v>
                </c:pt>
                <c:pt idx="173">
                  <c:v>307.00770876352095</c:v>
                </c:pt>
                <c:pt idx="174">
                  <c:v>308.95628247470756</c:v>
                </c:pt>
                <c:pt idx="175">
                  <c:v>310.89974322082338</c:v>
                </c:pt>
                <c:pt idx="176">
                  <c:v>312.83824398986462</c:v>
                </c:pt>
                <c:pt idx="177">
                  <c:v>314.77193349980206</c:v>
                </c:pt>
                <c:pt idx="178">
                  <c:v>316.70095611917264</c:v>
                </c:pt>
                <c:pt idx="179">
                  <c:v>318.62545176958355</c:v>
                </c:pt>
                <c:pt idx="180">
                  <c:v>320.54555580927905</c:v>
                </c:pt>
                <c:pt idx="181">
                  <c:v>322.46139889701254</c:v>
                </c:pt>
                <c:pt idx="182">
                  <c:v>324.37310683562049</c:v>
                </c:pt>
                <c:pt idx="183">
                  <c:v>326.28080039493409</c:v>
                </c:pt>
                <c:pt idx="184">
                  <c:v>328.18459511400226</c:v>
                </c:pt>
                <c:pt idx="185">
                  <c:v>330.0846010830586</c:v>
                </c:pt>
                <c:pt idx="186">
                  <c:v>331.98092270626137</c:v>
                </c:pt>
                <c:pt idx="187">
                  <c:v>333.87365844698127</c:v>
                </c:pt>
                <c:pt idx="188">
                  <c:v>335.76290055831367</c:v>
                </c:pt>
                <c:pt idx="189">
                  <c:v>337.64873480253556</c:v>
                </c:pt>
                <c:pt idx="190">
                  <c:v>339.53124016438824</c:v>
                </c:pt>
                <c:pt idx="191">
                  <c:v>341.41048856428432</c:v>
                </c:pt>
                <c:pt idx="192">
                  <c:v>343.28654457873182</c:v>
                </c:pt>
                <c:pt idx="193">
                  <c:v>345.15946517632494</c:v>
                </c:pt>
                <c:pt idx="194">
                  <c:v>347.02929947843893</c:v>
                </c:pt>
                <c:pt idx="195">
                  <c:v>348.89608855413923</c:v>
                </c:pt>
                <c:pt idx="196">
                  <c:v>350.75986525864886</c:v>
                </c:pt>
                <c:pt idx="197">
                  <c:v>352.62065412391956</c:v>
                </c:pt>
                <c:pt idx="198">
                  <c:v>354.47847130839716</c:v>
                </c:pt>
                <c:pt idx="199">
                  <c:v>356.33332461101747</c:v>
                </c:pt>
                <c:pt idx="200">
                  <c:v>358.18521355195759</c:v>
                </c:pt>
                <c:pt idx="201">
                  <c:v>360.03412951991385</c:v>
                </c:pt>
                <c:pt idx="202">
                  <c:v>361.88005598293637</c:v>
                </c:pt>
                <c:pt idx="203">
                  <c:v>363.7229687573755</c:v>
                </c:pt>
                <c:pt idx="204">
                  <c:v>365.56283632749751</c:v>
                </c:pt>
                <c:pt idx="205">
                  <c:v>367.39962020694549</c:v>
                </c:pt>
                <c:pt idx="206">
                  <c:v>369.23327533250665</c:v>
                </c:pt>
                <c:pt idx="207">
                  <c:v>371.06375048056799</c:v>
                </c:pt>
                <c:pt idx="208">
                  <c:v>372.89098869710108</c:v>
                </c:pt>
                <c:pt idx="209">
                  <c:v>374.71492773288338</c:v>
                </c:pt>
                <c:pt idx="210">
                  <c:v>376.535500476788</c:v>
                </c:pt>
                <c:pt idx="211">
                  <c:v>378.35263538122251</c:v>
                </c:pt>
                <c:pt idx="212">
                  <c:v>380.16625687505837</c:v>
                </c:pt>
                <c:pt idx="213">
                  <c:v>381.97628576057923</c:v>
                </c:pt>
                <c:pt idx="214">
                  <c:v>383.78263959203906</c:v>
                </c:pt>
                <c:pt idx="215">
                  <c:v>385.58523303432855</c:v>
                </c:pt>
                <c:pt idx="216">
                  <c:v>387.38397820099539</c:v>
                </c:pt>
                <c:pt idx="217">
                  <c:v>389.1787849714533</c:v>
                </c:pt>
                <c:pt idx="218">
                  <c:v>390.96956128766641</c:v>
                </c:pt>
                <c:pt idx="219">
                  <c:v>392.75621343092212</c:v>
                </c:pt>
                <c:pt idx="220">
                  <c:v>394.53864627953243</c:v>
                </c:pt>
                <c:pt idx="221">
                  <c:v>396.31676354844967</c:v>
                </c:pt>
                <c:pt idx="222">
                  <c:v>398.09046801186241</c:v>
                </c:pt>
                <c:pt idx="223">
                  <c:v>399.85966170987075</c:v>
                </c:pt>
                <c:pt idx="224">
                  <c:v>401.62424614033631</c:v>
                </c:pt>
                <c:pt idx="225">
                  <c:v>403.38412243697485</c:v>
                </c:pt>
                <c:pt idx="226">
                  <c:v>405.13919153471227</c:v>
                </c:pt>
                <c:pt idx="227">
                  <c:v>406.88935432326991</c:v>
                </c:pt>
                <c:pt idx="228">
                  <c:v>408.63451178988117</c:v>
                </c:pt>
                <c:pt idx="229">
                  <c:v>410.37456515197715</c:v>
                </c:pt>
                <c:pt idx="230">
                  <c:v>412.10941598061311</c:v>
                </c:pt>
                <c:pt idx="231">
                  <c:v>413.83896631534469</c:v>
                </c:pt>
                <c:pt idx="232">
                  <c:v>415.5631187712014</c:v>
                </c:pt>
                <c:pt idx="233">
                  <c:v>417.28177663834805</c:v>
                </c:pt>
                <c:pt idx="234">
                  <c:v>418.99484397497093</c:v>
                </c:pt>
                <c:pt idx="235">
                  <c:v>420.70222569387761</c:v>
                </c:pt>
                <c:pt idx="236">
                  <c:v>422.40382764325221</c:v>
                </c:pt>
                <c:pt idx="237">
                  <c:v>424.09955668196858</c:v>
                </c:pt>
                <c:pt idx="238">
                  <c:v>425.78932074982544</c:v>
                </c:pt>
                <c:pt idx="239">
                  <c:v>427.47302893303402</c:v>
                </c:pt>
                <c:pt idx="240">
                  <c:v>429.15059152525833</c:v>
                </c:pt>
                <c:pt idx="241">
                  <c:v>430.82192008448089</c:v>
                </c:pt>
                <c:pt idx="242">
                  <c:v>432.48692748594135</c:v>
                </c:pt>
                <c:pt idx="243">
                  <c:v>434.14552797137463</c:v>
                </c:pt>
                <c:pt idx="244">
                  <c:v>435.79763719475403</c:v>
                </c:pt>
                <c:pt idx="245">
                  <c:v>437.44317226472833</c:v>
                </c:pt>
                <c:pt idx="246">
                  <c:v>439.08205178392478</c:v>
                </c:pt>
                <c:pt idx="247">
                  <c:v>440.71419588527698</c:v>
                </c:pt>
                <c:pt idx="248">
                  <c:v>442.33952626552292</c:v>
                </c:pt>
                <c:pt idx="249">
                  <c:v>443.95796621600817</c:v>
                </c:pt>
                <c:pt idx="250">
                  <c:v>445.56944065091824</c:v>
                </c:pt>
                <c:pt idx="251">
                  <c:v>447.17387613305533</c:v>
                </c:pt>
                <c:pt idx="252">
                  <c:v>448.77120089726742</c:v>
                </c:pt>
                <c:pt idx="253">
                  <c:v>450.36134487162917</c:v>
                </c:pt>
                <c:pt idx="254">
                  <c:v>451.9442396964688</c:v>
                </c:pt>
                <c:pt idx="255">
                  <c:v>453.51981874132883</c:v>
                </c:pt>
                <c:pt idx="256">
                  <c:v>455.08801711994329</c:v>
                </c:pt>
                <c:pt idx="257">
                  <c:v>456.64877170330971</c:v>
                </c:pt>
                <c:pt idx="258">
                  <c:v>458.20202113093046</c:v>
                </c:pt>
                <c:pt idx="259">
                  <c:v>459.74770582029288</c:v>
                </c:pt>
                <c:pt idx="260">
                  <c:v>461.28576797465621</c:v>
                </c:pt>
                <c:pt idx="261">
                  <c:v>462.81615158920869</c:v>
                </c:pt>
                <c:pt idx="262">
                  <c:v>464.33880245565666</c:v>
                </c:pt>
                <c:pt idx="263">
                  <c:v>465.85366816530421</c:v>
                </c:pt>
                <c:pt idx="264">
                  <c:v>467.36069811068006</c:v>
                </c:pt>
                <c:pt idx="265">
                  <c:v>468.85984348576682</c:v>
                </c:pt>
                <c:pt idx="266">
                  <c:v>470.3510572848848</c:v>
                </c:pt>
                <c:pt idx="267">
                  <c:v>471.83429430028201</c:v>
                </c:pt>
                <c:pt idx="268">
                  <c:v>473.30951111847963</c:v>
                </c:pt>
                <c:pt idx="269">
                  <c:v>474.77666611542145</c:v>
                </c:pt>
                <c:pt idx="270">
                  <c:v>476.23571945047377</c:v>
                </c:pt>
                <c:pt idx="271">
                  <c:v>477.68663305932182</c:v>
                </c:pt>
                <c:pt idx="272">
                  <c:v>479.12937064580683</c:v>
                </c:pt>
                <c:pt idx="273">
                  <c:v>480.56389767274743</c:v>
                </c:pt>
                <c:pt idx="274">
                  <c:v>481.99018135178756</c:v>
                </c:pt>
                <c:pt idx="275">
                  <c:v>483.40819063231254</c:v>
                </c:pt>
                <c:pt idx="276">
                  <c:v>484.81789618947374</c:v>
                </c:pt>
                <c:pt idx="277">
                  <c:v>486.21927041136126</c:v>
                </c:pt>
                <c:pt idx="278">
                  <c:v>487.61228738536397</c:v>
                </c:pt>
                <c:pt idx="279">
                  <c:v>488.99692288375428</c:v>
                </c:pt>
                <c:pt idx="280">
                  <c:v>490.37315434853514</c:v>
                </c:pt>
                <c:pt idx="281">
                  <c:v>491.74096087558542</c:v>
                </c:pt>
                <c:pt idx="282">
                  <c:v>493.10032319813968</c:v>
                </c:pt>
                <c:pt idx="283">
                  <c:v>494.45122366963687</c:v>
                </c:pt>
                <c:pt idx="284">
                  <c:v>495.79364624597213</c:v>
                </c:pt>
                <c:pt idx="285">
                  <c:v>497.12757646718524</c:v>
                </c:pt>
                <c:pt idx="286">
                  <c:v>498.45300143861817</c:v>
                </c:pt>
                <c:pt idx="287">
                  <c:v>499.76990981157411</c:v>
                </c:pt>
                <c:pt idx="288">
                  <c:v>501.07829176350856</c:v>
                </c:pt>
                <c:pt idx="289">
                  <c:v>502.37813897778386</c:v>
                </c:pt>
                <c:pt idx="290">
                  <c:v>503.66944462301615</c:v>
                </c:pt>
                <c:pt idx="291">
                  <c:v>504.95220333204458</c:v>
                </c:pt>
                <c:pt idx="292">
                  <c:v>506.22641118055071</c:v>
                </c:pt>
                <c:pt idx="293">
                  <c:v>507.49206566535605</c:v>
                </c:pt>
                <c:pt idx="294">
                  <c:v>508.74916568242492</c:v>
                </c:pt>
                <c:pt idx="295">
                  <c:v>509.99771150459844</c:v>
                </c:pt>
                <c:pt idx="296">
                  <c:v>511.23770475908606</c:v>
                </c:pt>
                <c:pt idx="297">
                  <c:v>512.4691484047388</c:v>
                </c:pt>
                <c:pt idx="298">
                  <c:v>513.6920467091287</c:v>
                </c:pt>
                <c:pt idx="299">
                  <c:v>514.9064052254588</c:v>
                </c:pt>
                <c:pt idx="300">
                  <c:v>516.11223076932492</c:v>
                </c:pt>
                <c:pt idx="301">
                  <c:v>517.30953139535325</c:v>
                </c:pt>
                <c:pt idx="302">
                  <c:v>518.4983163737337</c:v>
                </c:pt>
                <c:pt idx="303">
                  <c:v>519.67859616667101</c:v>
                </c:pt>
                <c:pt idx="304">
                  <c:v>520.85038240477297</c:v>
                </c:pt>
                <c:pt idx="305">
                  <c:v>522.01368786339594</c:v>
                </c:pt>
                <c:pt idx="306">
                  <c:v>523.16852643896596</c:v>
                </c:pt>
                <c:pt idx="307">
                  <c:v>524.31491312529374</c:v>
                </c:pt>
                <c:pt idx="308">
                  <c:v>525.4528639899014</c:v>
                </c:pt>
                <c:pt idx="309">
                  <c:v>526.58239615037746</c:v>
                </c:pt>
                <c:pt idx="310">
                  <c:v>527.7035277507764</c:v>
                </c:pt>
                <c:pt idx="311">
                  <c:v>528.81627793807854</c:v>
                </c:pt>
                <c:pt idx="312">
                  <c:v>529.92066683872531</c:v>
                </c:pt>
                <c:pt idx="313">
                  <c:v>531.0167155352442</c:v>
                </c:pt>
                <c:pt idx="314">
                  <c:v>532.10444604297663</c:v>
                </c:pt>
                <c:pt idx="315">
                  <c:v>533.18388128692322</c:v>
                </c:pt>
                <c:pt idx="316">
                  <c:v>534.25504507871779</c:v>
                </c:pt>
                <c:pt idx="317">
                  <c:v>535.31796209374261</c:v>
                </c:pt>
                <c:pt idx="318">
                  <c:v>536.37265784839633</c:v>
                </c:pt>
                <c:pt idx="319">
                  <c:v>537.41915867752607</c:v>
                </c:pt>
                <c:pt idx="320">
                  <c:v>538.45749171203272</c:v>
                </c:pt>
                <c:pt idx="321">
                  <c:v>539.48768485666028</c:v>
                </c:pt>
                <c:pt idx="322">
                  <c:v>540.50976676797848</c:v>
                </c:pt>
                <c:pt idx="323">
                  <c:v>541.52376683256693</c:v>
                </c:pt>
                <c:pt idx="324">
                  <c:v>542.52971514540991</c:v>
                </c:pt>
                <c:pt idx="325">
                  <c:v>543.52764248850838</c:v>
                </c:pt>
                <c:pt idx="326">
                  <c:v>544.51758030971757</c:v>
                </c:pt>
                <c:pt idx="327">
                  <c:v>545.49956070181702</c:v>
                </c:pt>
                <c:pt idx="328">
                  <c:v>546.47361638181849</c:v>
                </c:pt>
                <c:pt idx="329">
                  <c:v>547.43978067051842</c:v>
                </c:pt>
                <c:pt idx="330">
                  <c:v>548.39808747230052</c:v>
                </c:pt>
                <c:pt idx="331">
                  <c:v>549.34857125519341</c:v>
                </c:pt>
                <c:pt idx="332">
                  <c:v>550.29126703118754</c:v>
                </c:pt>
                <c:pt idx="333">
                  <c:v>551.22621033681651</c:v>
                </c:pt>
                <c:pt idx="334">
                  <c:v>552.1534372140062</c:v>
                </c:pt>
                <c:pt idx="335">
                  <c:v>553.07298419119513</c:v>
                </c:pt>
                <c:pt idx="336">
                  <c:v>553.98488826472976</c:v>
                </c:pt>
                <c:pt idx="337">
                  <c:v>554.88918688053673</c:v>
                </c:pt>
                <c:pt idx="338">
                  <c:v>555.78591791607573</c:v>
                </c:pt>
                <c:pt idx="339">
                  <c:v>556.67511966257371</c:v>
                </c:pt>
                <c:pt idx="340">
                  <c:v>557.55683080754352</c:v>
                </c:pt>
                <c:pt idx="341">
                  <c:v>558.43109041758771</c:v>
                </c:pt>
                <c:pt idx="342">
                  <c:v>559.29793792148939</c:v>
                </c:pt>
                <c:pt idx="343">
                  <c:v>560.15741309359032</c:v>
                </c:pt>
                <c:pt idx="344">
                  <c:v>561.00955603745808</c:v>
                </c:pt>
                <c:pt idx="345">
                  <c:v>561.85440716984158</c:v>
                </c:pt>
                <c:pt idx="346">
                  <c:v>562.6920072049154</c:v>
                </c:pt>
                <c:pt idx="347">
                  <c:v>563.5223971388142</c:v>
                </c:pt>
                <c:pt idx="348">
                  <c:v>564.34561823445449</c:v>
                </c:pt>
                <c:pt idx="349">
                  <c:v>565.16171200664587</c:v>
                </c:pt>
                <c:pt idx="350">
                  <c:v>565.97072020748919</c:v>
                </c:pt>
                <c:pt idx="351">
                  <c:v>566.77268481206147</c:v>
                </c:pt>
                <c:pt idx="352">
                  <c:v>567.56764800438657</c:v>
                </c:pt>
                <c:pt idx="353">
                  <c:v>568.35565216369002</c:v>
                </c:pt>
                <c:pt idx="354">
                  <c:v>569.13673985093715</c:v>
                </c:pt>
                <c:pt idx="355">
                  <c:v>569.91095379565184</c:v>
                </c:pt>
                <c:pt idx="356">
                  <c:v>570.6783368830155</c:v>
                </c:pt>
                <c:pt idx="357">
                  <c:v>571.43893214124364</c:v>
                </c:pt>
                <c:pt idx="358">
                  <c:v>572.19278272923771</c:v>
                </c:pt>
                <c:pt idx="359">
                  <c:v>572.93993192451069</c:v>
                </c:pt>
                <c:pt idx="360">
                  <c:v>573.6804231113839</c:v>
                </c:pt>
                <c:pt idx="361">
                  <c:v>574.4142997694529</c:v>
                </c:pt>
                <c:pt idx="362">
                  <c:v>575.14160546231892</c:v>
                </c:pt>
                <c:pt idx="363">
                  <c:v>575.86238382658485</c:v>
                </c:pt>
                <c:pt idx="364">
                  <c:v>576.57667856111186</c:v>
                </c:pt>
                <c:pt idx="365">
                  <c:v>577.28453341653449</c:v>
                </c:pt>
                <c:pt idx="366">
                  <c:v>577.9859921850308</c:v>
                </c:pt>
                <c:pt idx="367">
                  <c:v>578.68109869034504</c:v>
                </c:pt>
                <c:pt idx="368">
                  <c:v>579.36989677806025</c:v>
                </c:pt>
                <c:pt idx="369">
                  <c:v>580.05243030611655</c:v>
                </c:pt>
                <c:pt idx="370">
                  <c:v>580.7287431355735</c:v>
                </c:pt>
                <c:pt idx="371">
                  <c:v>581.39887912161146</c:v>
                </c:pt>
                <c:pt idx="372">
                  <c:v>582.06288210477112</c:v>
                </c:pt>
                <c:pt idx="373">
                  <c:v>582.72079590242549</c:v>
                </c:pt>
                <c:pt idx="374">
                  <c:v>583.37266430048317</c:v>
                </c:pt>
                <c:pt idx="375">
                  <c:v>584.01853104531767</c:v>
                </c:pt>
                <c:pt idx="376">
                  <c:v>584.65843983592117</c:v>
                </c:pt>
                <c:pt idx="377">
                  <c:v>585.2924343162781</c:v>
                </c:pt>
                <c:pt idx="378">
                  <c:v>585.92055806795577</c:v>
                </c:pt>
                <c:pt idx="379">
                  <c:v>586.54285460290816</c:v>
                </c:pt>
                <c:pt idx="380">
                  <c:v>587.15936735649007</c:v>
                </c:pt>
                <c:pt idx="381">
                  <c:v>587.77013968067752</c:v>
                </c:pt>
                <c:pt idx="382">
                  <c:v>588.37521483749151</c:v>
                </c:pt>
                <c:pt idx="383">
                  <c:v>588.9746359926213</c:v>
                </c:pt>
                <c:pt idx="384">
                  <c:v>588.9746359926213</c:v>
                </c:pt>
                <c:pt idx="385">
                  <c:v>588.9746359926213</c:v>
                </c:pt>
                <c:pt idx="386">
                  <c:v>588.9746359926213</c:v>
                </c:pt>
                <c:pt idx="387">
                  <c:v>588.9746359926213</c:v>
                </c:pt>
                <c:pt idx="388">
                  <c:v>588.9746359926213</c:v>
                </c:pt>
                <c:pt idx="389">
                  <c:v>588.9746359926213</c:v>
                </c:pt>
                <c:pt idx="390">
                  <c:v>588.9746359926213</c:v>
                </c:pt>
                <c:pt idx="391">
                  <c:v>588.9746359926213</c:v>
                </c:pt>
                <c:pt idx="392">
                  <c:v>588.9746359926213</c:v>
                </c:pt>
                <c:pt idx="393">
                  <c:v>588.9746359926213</c:v>
                </c:pt>
                <c:pt idx="394">
                  <c:v>588.9746359926213</c:v>
                </c:pt>
                <c:pt idx="395">
                  <c:v>588.9746359926213</c:v>
                </c:pt>
                <c:pt idx="396">
                  <c:v>588.9746359926213</c:v>
                </c:pt>
                <c:pt idx="397">
                  <c:v>588.9746359926213</c:v>
                </c:pt>
                <c:pt idx="398">
                  <c:v>588.9746359926213</c:v>
                </c:pt>
                <c:pt idx="399">
                  <c:v>588.9746359926213</c:v>
                </c:pt>
                <c:pt idx="400">
                  <c:v>588.9746359926213</c:v>
                </c:pt>
                <c:pt idx="401">
                  <c:v>588.9746359926213</c:v>
                </c:pt>
                <c:pt idx="402">
                  <c:v>588.9746359926213</c:v>
                </c:pt>
                <c:pt idx="403">
                  <c:v>588.9746359926213</c:v>
                </c:pt>
                <c:pt idx="404">
                  <c:v>588.9746359926213</c:v>
                </c:pt>
                <c:pt idx="405">
                  <c:v>588.9746359926213</c:v>
                </c:pt>
                <c:pt idx="406">
                  <c:v>588.9746359926213</c:v>
                </c:pt>
                <c:pt idx="407">
                  <c:v>588.9746359926213</c:v>
                </c:pt>
                <c:pt idx="408">
                  <c:v>588.9746359926213</c:v>
                </c:pt>
                <c:pt idx="409">
                  <c:v>588.9746359926213</c:v>
                </c:pt>
                <c:pt idx="410">
                  <c:v>588.9746359926213</c:v>
                </c:pt>
                <c:pt idx="411">
                  <c:v>588.9746359926213</c:v>
                </c:pt>
                <c:pt idx="412">
                  <c:v>588.9746359926213</c:v>
                </c:pt>
                <c:pt idx="413">
                  <c:v>588.9746359926213</c:v>
                </c:pt>
                <c:pt idx="414">
                  <c:v>588.9746359926213</c:v>
                </c:pt>
                <c:pt idx="415">
                  <c:v>588.9746359926213</c:v>
                </c:pt>
                <c:pt idx="416">
                  <c:v>588.9746359926213</c:v>
                </c:pt>
                <c:pt idx="417">
                  <c:v>588.9746359926213</c:v>
                </c:pt>
                <c:pt idx="418">
                  <c:v>588.9746359926213</c:v>
                </c:pt>
                <c:pt idx="419">
                  <c:v>588.9746359926213</c:v>
                </c:pt>
                <c:pt idx="420">
                  <c:v>588.9746359926213</c:v>
                </c:pt>
                <c:pt idx="421">
                  <c:v>588.9746359926213</c:v>
                </c:pt>
                <c:pt idx="422">
                  <c:v>588.9746359926213</c:v>
                </c:pt>
                <c:pt idx="423">
                  <c:v>588.9746359926213</c:v>
                </c:pt>
                <c:pt idx="424">
                  <c:v>588.9746359926213</c:v>
                </c:pt>
                <c:pt idx="425">
                  <c:v>588.9746359926213</c:v>
                </c:pt>
                <c:pt idx="426">
                  <c:v>588.9746359926213</c:v>
                </c:pt>
                <c:pt idx="427">
                  <c:v>588.9746359926213</c:v>
                </c:pt>
                <c:pt idx="428">
                  <c:v>588.9746359926213</c:v>
                </c:pt>
                <c:pt idx="429">
                  <c:v>588.9746359926213</c:v>
                </c:pt>
                <c:pt idx="430">
                  <c:v>588.9746359926213</c:v>
                </c:pt>
                <c:pt idx="431">
                  <c:v>588.9746359926213</c:v>
                </c:pt>
                <c:pt idx="432">
                  <c:v>588.9746359926213</c:v>
                </c:pt>
                <c:pt idx="433">
                  <c:v>588.9746359926213</c:v>
                </c:pt>
                <c:pt idx="434">
                  <c:v>588.9746359926213</c:v>
                </c:pt>
                <c:pt idx="435">
                  <c:v>588.9746359926213</c:v>
                </c:pt>
                <c:pt idx="436">
                  <c:v>588.9746359926213</c:v>
                </c:pt>
                <c:pt idx="437">
                  <c:v>588.9746359926213</c:v>
                </c:pt>
                <c:pt idx="438">
                  <c:v>588.9746359926213</c:v>
                </c:pt>
                <c:pt idx="439">
                  <c:v>588.9746359926213</c:v>
                </c:pt>
                <c:pt idx="440">
                  <c:v>588.9746359926213</c:v>
                </c:pt>
                <c:pt idx="441">
                  <c:v>588.9746359926213</c:v>
                </c:pt>
                <c:pt idx="442">
                  <c:v>588.9746359926213</c:v>
                </c:pt>
                <c:pt idx="443">
                  <c:v>588.9746359926213</c:v>
                </c:pt>
                <c:pt idx="444">
                  <c:v>588.9746359926213</c:v>
                </c:pt>
                <c:pt idx="445">
                  <c:v>588.9746359926213</c:v>
                </c:pt>
                <c:pt idx="446">
                  <c:v>588.9746359926213</c:v>
                </c:pt>
                <c:pt idx="447">
                  <c:v>588.9746359926213</c:v>
                </c:pt>
                <c:pt idx="448">
                  <c:v>588.9746359926213</c:v>
                </c:pt>
                <c:pt idx="449">
                  <c:v>588.9746359926213</c:v>
                </c:pt>
                <c:pt idx="450">
                  <c:v>588.9746359926213</c:v>
                </c:pt>
                <c:pt idx="451">
                  <c:v>588.9746359926213</c:v>
                </c:pt>
                <c:pt idx="452">
                  <c:v>588.9746359926213</c:v>
                </c:pt>
                <c:pt idx="453">
                  <c:v>588.9746359926213</c:v>
                </c:pt>
                <c:pt idx="454">
                  <c:v>588.9746359926213</c:v>
                </c:pt>
                <c:pt idx="455">
                  <c:v>588.9746359926213</c:v>
                </c:pt>
                <c:pt idx="456">
                  <c:v>588.9746359926213</c:v>
                </c:pt>
                <c:pt idx="457">
                  <c:v>588.9746359926213</c:v>
                </c:pt>
                <c:pt idx="458">
                  <c:v>588.9746359926213</c:v>
                </c:pt>
                <c:pt idx="459">
                  <c:v>588.9746359926213</c:v>
                </c:pt>
                <c:pt idx="460">
                  <c:v>588.9746359926213</c:v>
                </c:pt>
                <c:pt idx="461">
                  <c:v>588.9746359926213</c:v>
                </c:pt>
                <c:pt idx="462">
                  <c:v>588.9746359926213</c:v>
                </c:pt>
                <c:pt idx="463">
                  <c:v>588.9746359926213</c:v>
                </c:pt>
                <c:pt idx="464">
                  <c:v>588.9746359926213</c:v>
                </c:pt>
                <c:pt idx="465">
                  <c:v>588.9746359926213</c:v>
                </c:pt>
                <c:pt idx="466">
                  <c:v>588.9746359926213</c:v>
                </c:pt>
                <c:pt idx="467">
                  <c:v>588.9746359926213</c:v>
                </c:pt>
                <c:pt idx="468">
                  <c:v>588.9746359926213</c:v>
                </c:pt>
                <c:pt idx="469">
                  <c:v>588.9746359926213</c:v>
                </c:pt>
                <c:pt idx="470">
                  <c:v>588.9746359926213</c:v>
                </c:pt>
                <c:pt idx="471">
                  <c:v>588.9746359926213</c:v>
                </c:pt>
                <c:pt idx="472">
                  <c:v>588.9746359926213</c:v>
                </c:pt>
                <c:pt idx="473">
                  <c:v>588.9746359926213</c:v>
                </c:pt>
                <c:pt idx="474">
                  <c:v>588.9746359926213</c:v>
                </c:pt>
                <c:pt idx="475">
                  <c:v>588.9746359926213</c:v>
                </c:pt>
                <c:pt idx="476">
                  <c:v>588.9746359926213</c:v>
                </c:pt>
                <c:pt idx="477">
                  <c:v>588.9746359926213</c:v>
                </c:pt>
                <c:pt idx="478">
                  <c:v>588.9746359926213</c:v>
                </c:pt>
                <c:pt idx="479">
                  <c:v>588.9746359926213</c:v>
                </c:pt>
                <c:pt idx="480">
                  <c:v>588.9746359926213</c:v>
                </c:pt>
                <c:pt idx="481">
                  <c:v>588.9746359926213</c:v>
                </c:pt>
                <c:pt idx="482">
                  <c:v>588.9746359926213</c:v>
                </c:pt>
                <c:pt idx="483">
                  <c:v>588.9746359926213</c:v>
                </c:pt>
                <c:pt idx="484">
                  <c:v>588.9746359926213</c:v>
                </c:pt>
                <c:pt idx="485">
                  <c:v>588.9746359926213</c:v>
                </c:pt>
                <c:pt idx="486">
                  <c:v>588.9746359926213</c:v>
                </c:pt>
                <c:pt idx="487">
                  <c:v>588.9746359926213</c:v>
                </c:pt>
                <c:pt idx="488">
                  <c:v>588.9746359926213</c:v>
                </c:pt>
                <c:pt idx="489">
                  <c:v>588.9746359926213</c:v>
                </c:pt>
                <c:pt idx="490">
                  <c:v>588.9746359926213</c:v>
                </c:pt>
                <c:pt idx="491">
                  <c:v>588.9746359926213</c:v>
                </c:pt>
                <c:pt idx="492">
                  <c:v>588.9746359926213</c:v>
                </c:pt>
                <c:pt idx="493">
                  <c:v>588.9746359926213</c:v>
                </c:pt>
                <c:pt idx="494">
                  <c:v>588.9746359926213</c:v>
                </c:pt>
                <c:pt idx="495">
                  <c:v>588.9746359926213</c:v>
                </c:pt>
                <c:pt idx="496">
                  <c:v>588.9746359926213</c:v>
                </c:pt>
                <c:pt idx="497">
                  <c:v>588.9746359926213</c:v>
                </c:pt>
                <c:pt idx="498">
                  <c:v>588.9746359926213</c:v>
                </c:pt>
                <c:pt idx="499">
                  <c:v>588.9746359926213</c:v>
                </c:pt>
                <c:pt idx="500">
                  <c:v>588.9746359926213</c:v>
                </c:pt>
                <c:pt idx="501">
                  <c:v>588.9746359926213</c:v>
                </c:pt>
                <c:pt idx="502">
                  <c:v>588.9746359926213</c:v>
                </c:pt>
                <c:pt idx="503">
                  <c:v>588.9746359926213</c:v>
                </c:pt>
                <c:pt idx="504">
                  <c:v>588.9746359926213</c:v>
                </c:pt>
                <c:pt idx="505">
                  <c:v>588.9746359926213</c:v>
                </c:pt>
                <c:pt idx="506">
                  <c:v>588.9746359926213</c:v>
                </c:pt>
                <c:pt idx="507">
                  <c:v>588.9746359926213</c:v>
                </c:pt>
                <c:pt idx="508">
                  <c:v>588.9746359926213</c:v>
                </c:pt>
                <c:pt idx="509">
                  <c:v>588.9746359926213</c:v>
                </c:pt>
                <c:pt idx="510">
                  <c:v>588.9746359926213</c:v>
                </c:pt>
                <c:pt idx="511">
                  <c:v>588.9746359926213</c:v>
                </c:pt>
                <c:pt idx="512">
                  <c:v>588.9746359926213</c:v>
                </c:pt>
                <c:pt idx="513">
                  <c:v>588.9746359926213</c:v>
                </c:pt>
                <c:pt idx="514">
                  <c:v>588.9746359926213</c:v>
                </c:pt>
                <c:pt idx="515">
                  <c:v>588.9746359926213</c:v>
                </c:pt>
                <c:pt idx="516">
                  <c:v>588.9746359926213</c:v>
                </c:pt>
                <c:pt idx="517">
                  <c:v>588.9746359926213</c:v>
                </c:pt>
                <c:pt idx="518">
                  <c:v>588.9746359926213</c:v>
                </c:pt>
                <c:pt idx="519">
                  <c:v>588.9746359926213</c:v>
                </c:pt>
                <c:pt idx="520">
                  <c:v>588.9746359926213</c:v>
                </c:pt>
                <c:pt idx="521">
                  <c:v>588.9746359926213</c:v>
                </c:pt>
                <c:pt idx="522">
                  <c:v>588.9746359926213</c:v>
                </c:pt>
                <c:pt idx="523">
                  <c:v>588.9746359926213</c:v>
                </c:pt>
                <c:pt idx="524">
                  <c:v>588.9746359926213</c:v>
                </c:pt>
                <c:pt idx="525">
                  <c:v>588.9746359926213</c:v>
                </c:pt>
                <c:pt idx="526">
                  <c:v>588.9746359926213</c:v>
                </c:pt>
                <c:pt idx="527">
                  <c:v>588.9746359926213</c:v>
                </c:pt>
                <c:pt idx="528">
                  <c:v>588.9746359926213</c:v>
                </c:pt>
                <c:pt idx="529">
                  <c:v>588.9746359926213</c:v>
                </c:pt>
                <c:pt idx="530">
                  <c:v>588.9746359926213</c:v>
                </c:pt>
                <c:pt idx="531">
                  <c:v>588.9746359926213</c:v>
                </c:pt>
                <c:pt idx="532">
                  <c:v>588.9746359926213</c:v>
                </c:pt>
                <c:pt idx="533">
                  <c:v>588.9746359926213</c:v>
                </c:pt>
                <c:pt idx="534">
                  <c:v>588.9746359926213</c:v>
                </c:pt>
                <c:pt idx="535">
                  <c:v>588.9746359926213</c:v>
                </c:pt>
                <c:pt idx="536">
                  <c:v>588.9746359926213</c:v>
                </c:pt>
                <c:pt idx="537">
                  <c:v>588.9746359926213</c:v>
                </c:pt>
                <c:pt idx="538">
                  <c:v>588.9746359926213</c:v>
                </c:pt>
                <c:pt idx="539">
                  <c:v>588.9746359926213</c:v>
                </c:pt>
                <c:pt idx="540">
                  <c:v>588.9746359926213</c:v>
                </c:pt>
                <c:pt idx="541">
                  <c:v>588.9746359926213</c:v>
                </c:pt>
                <c:pt idx="542">
                  <c:v>588.9746359926213</c:v>
                </c:pt>
                <c:pt idx="543">
                  <c:v>588.9746359926213</c:v>
                </c:pt>
                <c:pt idx="544">
                  <c:v>588.9746359926213</c:v>
                </c:pt>
                <c:pt idx="545">
                  <c:v>588.9746359926213</c:v>
                </c:pt>
                <c:pt idx="546">
                  <c:v>588.9746359926213</c:v>
                </c:pt>
                <c:pt idx="547">
                  <c:v>588.9746359926213</c:v>
                </c:pt>
                <c:pt idx="548">
                  <c:v>588.9746359926213</c:v>
                </c:pt>
                <c:pt idx="549">
                  <c:v>588.9746359926213</c:v>
                </c:pt>
                <c:pt idx="550">
                  <c:v>588.9746359926213</c:v>
                </c:pt>
                <c:pt idx="551">
                  <c:v>588.9746359926213</c:v>
                </c:pt>
                <c:pt idx="552">
                  <c:v>588.9746359926213</c:v>
                </c:pt>
                <c:pt idx="553">
                  <c:v>588.9746359926213</c:v>
                </c:pt>
                <c:pt idx="554">
                  <c:v>588.9746359926213</c:v>
                </c:pt>
                <c:pt idx="555">
                  <c:v>588.9746359926213</c:v>
                </c:pt>
                <c:pt idx="556">
                  <c:v>588.9746359926213</c:v>
                </c:pt>
                <c:pt idx="557">
                  <c:v>588.9746359926213</c:v>
                </c:pt>
                <c:pt idx="558">
                  <c:v>588.9746359926213</c:v>
                </c:pt>
                <c:pt idx="559">
                  <c:v>588.9746359926213</c:v>
                </c:pt>
                <c:pt idx="560">
                  <c:v>588.9746359926213</c:v>
                </c:pt>
                <c:pt idx="561">
                  <c:v>588.9746359926213</c:v>
                </c:pt>
                <c:pt idx="562">
                  <c:v>588.9746359926213</c:v>
                </c:pt>
                <c:pt idx="563">
                  <c:v>588.9746359926213</c:v>
                </c:pt>
                <c:pt idx="564">
                  <c:v>588.9746359926213</c:v>
                </c:pt>
                <c:pt idx="565">
                  <c:v>588.9746359926213</c:v>
                </c:pt>
                <c:pt idx="566">
                  <c:v>588.9746359926213</c:v>
                </c:pt>
                <c:pt idx="567">
                  <c:v>588.9746359926213</c:v>
                </c:pt>
                <c:pt idx="568">
                  <c:v>588.9746359926213</c:v>
                </c:pt>
                <c:pt idx="569">
                  <c:v>588.9746359926213</c:v>
                </c:pt>
                <c:pt idx="570">
                  <c:v>588.9746359926213</c:v>
                </c:pt>
                <c:pt idx="571">
                  <c:v>588.9746359926213</c:v>
                </c:pt>
                <c:pt idx="572">
                  <c:v>588.9746359926213</c:v>
                </c:pt>
                <c:pt idx="573">
                  <c:v>588.9746359926213</c:v>
                </c:pt>
                <c:pt idx="574">
                  <c:v>588.9746359926213</c:v>
                </c:pt>
                <c:pt idx="575">
                  <c:v>588.9746359926213</c:v>
                </c:pt>
                <c:pt idx="576">
                  <c:v>588.9746359926213</c:v>
                </c:pt>
                <c:pt idx="577">
                  <c:v>588.9746359926213</c:v>
                </c:pt>
                <c:pt idx="578">
                  <c:v>588.9746359926213</c:v>
                </c:pt>
                <c:pt idx="579">
                  <c:v>588.9746359926213</c:v>
                </c:pt>
                <c:pt idx="580">
                  <c:v>588.9746359926213</c:v>
                </c:pt>
                <c:pt idx="581">
                  <c:v>588.9746359926213</c:v>
                </c:pt>
                <c:pt idx="582">
                  <c:v>588.9746359926213</c:v>
                </c:pt>
                <c:pt idx="583">
                  <c:v>588.9746359926213</c:v>
                </c:pt>
                <c:pt idx="584">
                  <c:v>588.9746359926213</c:v>
                </c:pt>
                <c:pt idx="585">
                  <c:v>588.9746359926213</c:v>
                </c:pt>
                <c:pt idx="586">
                  <c:v>588.9746359926213</c:v>
                </c:pt>
                <c:pt idx="587">
                  <c:v>588.9746359926213</c:v>
                </c:pt>
                <c:pt idx="588">
                  <c:v>588.9746359926213</c:v>
                </c:pt>
                <c:pt idx="589">
                  <c:v>588.9746359926213</c:v>
                </c:pt>
                <c:pt idx="590">
                  <c:v>588.9746359926213</c:v>
                </c:pt>
                <c:pt idx="591">
                  <c:v>588.9746359926213</c:v>
                </c:pt>
                <c:pt idx="592">
                  <c:v>588.9746359926213</c:v>
                </c:pt>
                <c:pt idx="593">
                  <c:v>588.9746359926213</c:v>
                </c:pt>
                <c:pt idx="594">
                  <c:v>588.9746359926213</c:v>
                </c:pt>
                <c:pt idx="595">
                  <c:v>588.9746359926213</c:v>
                </c:pt>
                <c:pt idx="596">
                  <c:v>588.9746359926213</c:v>
                </c:pt>
                <c:pt idx="597">
                  <c:v>588.9746359926213</c:v>
                </c:pt>
                <c:pt idx="598">
                  <c:v>588.9746359926213</c:v>
                </c:pt>
                <c:pt idx="599">
                  <c:v>588.9746359926213</c:v>
                </c:pt>
                <c:pt idx="600">
                  <c:v>588.9746359926213</c:v>
                </c:pt>
                <c:pt idx="601">
                  <c:v>588.9746359926213</c:v>
                </c:pt>
                <c:pt idx="602">
                  <c:v>588.9746359926213</c:v>
                </c:pt>
                <c:pt idx="603">
                  <c:v>588.9746359926213</c:v>
                </c:pt>
                <c:pt idx="604">
                  <c:v>588.9746359926213</c:v>
                </c:pt>
                <c:pt idx="605">
                  <c:v>588.9746359926213</c:v>
                </c:pt>
                <c:pt idx="606">
                  <c:v>588.9746359926213</c:v>
                </c:pt>
                <c:pt idx="607">
                  <c:v>588.9746359926213</c:v>
                </c:pt>
                <c:pt idx="608">
                  <c:v>588.9746359926213</c:v>
                </c:pt>
                <c:pt idx="609">
                  <c:v>588.9746359926213</c:v>
                </c:pt>
                <c:pt idx="610">
                  <c:v>588.9746359926213</c:v>
                </c:pt>
                <c:pt idx="611">
                  <c:v>588.9746359926213</c:v>
                </c:pt>
                <c:pt idx="612">
                  <c:v>588.9746359926213</c:v>
                </c:pt>
                <c:pt idx="613">
                  <c:v>588.9746359926213</c:v>
                </c:pt>
                <c:pt idx="614">
                  <c:v>588.9746359926213</c:v>
                </c:pt>
                <c:pt idx="615">
                  <c:v>588.9746359926213</c:v>
                </c:pt>
                <c:pt idx="616">
                  <c:v>588.9746359926213</c:v>
                </c:pt>
                <c:pt idx="617">
                  <c:v>588.9746359926213</c:v>
                </c:pt>
                <c:pt idx="618">
                  <c:v>588.9746359926213</c:v>
                </c:pt>
                <c:pt idx="619">
                  <c:v>588.9746359926213</c:v>
                </c:pt>
                <c:pt idx="620">
                  <c:v>588.9746359926213</c:v>
                </c:pt>
                <c:pt idx="621">
                  <c:v>588.9746359926213</c:v>
                </c:pt>
                <c:pt idx="622">
                  <c:v>588.9746359926213</c:v>
                </c:pt>
                <c:pt idx="623">
                  <c:v>588.9746359926213</c:v>
                </c:pt>
                <c:pt idx="624">
                  <c:v>588.9746359926213</c:v>
                </c:pt>
                <c:pt idx="625">
                  <c:v>588.9746359926213</c:v>
                </c:pt>
                <c:pt idx="626">
                  <c:v>588.9746359926213</c:v>
                </c:pt>
                <c:pt idx="627">
                  <c:v>588.9746359926213</c:v>
                </c:pt>
                <c:pt idx="628">
                  <c:v>588.9746359926213</c:v>
                </c:pt>
                <c:pt idx="629">
                  <c:v>588.9746359926213</c:v>
                </c:pt>
                <c:pt idx="630">
                  <c:v>588.9746359926213</c:v>
                </c:pt>
                <c:pt idx="631">
                  <c:v>588.9746359926213</c:v>
                </c:pt>
                <c:pt idx="632">
                  <c:v>588.9746359926213</c:v>
                </c:pt>
                <c:pt idx="633">
                  <c:v>588.9746359926213</c:v>
                </c:pt>
                <c:pt idx="634">
                  <c:v>588.9746359926213</c:v>
                </c:pt>
                <c:pt idx="635">
                  <c:v>588.9746359926213</c:v>
                </c:pt>
                <c:pt idx="636">
                  <c:v>588.9746359926213</c:v>
                </c:pt>
                <c:pt idx="637">
                  <c:v>588.9746359926213</c:v>
                </c:pt>
                <c:pt idx="638">
                  <c:v>588.9746359926213</c:v>
                </c:pt>
                <c:pt idx="639">
                  <c:v>588.9746359926213</c:v>
                </c:pt>
                <c:pt idx="640">
                  <c:v>588.9746359926213</c:v>
                </c:pt>
                <c:pt idx="641">
                  <c:v>588.9746359926213</c:v>
                </c:pt>
                <c:pt idx="642">
                  <c:v>588.9746359926213</c:v>
                </c:pt>
                <c:pt idx="643">
                  <c:v>588.9746359926213</c:v>
                </c:pt>
                <c:pt idx="644">
                  <c:v>588.9746359926213</c:v>
                </c:pt>
                <c:pt idx="645">
                  <c:v>588.9746359926213</c:v>
                </c:pt>
                <c:pt idx="646">
                  <c:v>588.9746359926213</c:v>
                </c:pt>
                <c:pt idx="647">
                  <c:v>588.9746359926213</c:v>
                </c:pt>
                <c:pt idx="648">
                  <c:v>588.9746359926213</c:v>
                </c:pt>
                <c:pt idx="649">
                  <c:v>588.9746359926213</c:v>
                </c:pt>
                <c:pt idx="650">
                  <c:v>588.9746359926213</c:v>
                </c:pt>
                <c:pt idx="651">
                  <c:v>588.9746359926213</c:v>
                </c:pt>
                <c:pt idx="652">
                  <c:v>588.9746359926213</c:v>
                </c:pt>
                <c:pt idx="653">
                  <c:v>588.9746359926213</c:v>
                </c:pt>
                <c:pt idx="654">
                  <c:v>588.9746359926213</c:v>
                </c:pt>
                <c:pt idx="655">
                  <c:v>588.9746359926213</c:v>
                </c:pt>
                <c:pt idx="656">
                  <c:v>588.9746359926213</c:v>
                </c:pt>
                <c:pt idx="657">
                  <c:v>588.9746359926213</c:v>
                </c:pt>
                <c:pt idx="658">
                  <c:v>588.9746359926213</c:v>
                </c:pt>
                <c:pt idx="659">
                  <c:v>588.9746359926213</c:v>
                </c:pt>
                <c:pt idx="660">
                  <c:v>588.9746359926213</c:v>
                </c:pt>
                <c:pt idx="661">
                  <c:v>588.9746359926213</c:v>
                </c:pt>
                <c:pt idx="662">
                  <c:v>588.9746359926213</c:v>
                </c:pt>
                <c:pt idx="663">
                  <c:v>588.9746359926213</c:v>
                </c:pt>
                <c:pt idx="664">
                  <c:v>588.9746359926213</c:v>
                </c:pt>
                <c:pt idx="665">
                  <c:v>588.9746359926213</c:v>
                </c:pt>
                <c:pt idx="666">
                  <c:v>588.9746359926213</c:v>
                </c:pt>
                <c:pt idx="667">
                  <c:v>588.9746359926213</c:v>
                </c:pt>
                <c:pt idx="668">
                  <c:v>588.9746359926213</c:v>
                </c:pt>
                <c:pt idx="669">
                  <c:v>588.9746359926213</c:v>
                </c:pt>
                <c:pt idx="670">
                  <c:v>588.9746359926213</c:v>
                </c:pt>
                <c:pt idx="671">
                  <c:v>588.9746359926213</c:v>
                </c:pt>
                <c:pt idx="672">
                  <c:v>588.9746359926213</c:v>
                </c:pt>
                <c:pt idx="673">
                  <c:v>588.9746359926213</c:v>
                </c:pt>
                <c:pt idx="674">
                  <c:v>588.9746359926213</c:v>
                </c:pt>
                <c:pt idx="675">
                  <c:v>588.9746359926213</c:v>
                </c:pt>
                <c:pt idx="676">
                  <c:v>588.9746359926213</c:v>
                </c:pt>
                <c:pt idx="677">
                  <c:v>588.9746359926213</c:v>
                </c:pt>
                <c:pt idx="678">
                  <c:v>588.9746359926213</c:v>
                </c:pt>
                <c:pt idx="679">
                  <c:v>588.9746359926213</c:v>
                </c:pt>
                <c:pt idx="680">
                  <c:v>588.9746359926213</c:v>
                </c:pt>
                <c:pt idx="681">
                  <c:v>588.9746359926213</c:v>
                </c:pt>
                <c:pt idx="682">
                  <c:v>588.9746359926213</c:v>
                </c:pt>
                <c:pt idx="683">
                  <c:v>588.9746359926213</c:v>
                </c:pt>
                <c:pt idx="684">
                  <c:v>588.9746359926213</c:v>
                </c:pt>
                <c:pt idx="685">
                  <c:v>588.9746359926213</c:v>
                </c:pt>
                <c:pt idx="686">
                  <c:v>588.9746359926213</c:v>
                </c:pt>
                <c:pt idx="687">
                  <c:v>588.9746359926213</c:v>
                </c:pt>
                <c:pt idx="688">
                  <c:v>588.9746359926213</c:v>
                </c:pt>
                <c:pt idx="689">
                  <c:v>588.9746359926213</c:v>
                </c:pt>
                <c:pt idx="690">
                  <c:v>588.9746359926213</c:v>
                </c:pt>
                <c:pt idx="691">
                  <c:v>588.9746359926213</c:v>
                </c:pt>
                <c:pt idx="692">
                  <c:v>588.9746359926213</c:v>
                </c:pt>
                <c:pt idx="693">
                  <c:v>588.9746359926213</c:v>
                </c:pt>
                <c:pt idx="694">
                  <c:v>588.9746359926213</c:v>
                </c:pt>
                <c:pt idx="695">
                  <c:v>588.9746359926213</c:v>
                </c:pt>
                <c:pt idx="696">
                  <c:v>588.9746359926213</c:v>
                </c:pt>
                <c:pt idx="697">
                  <c:v>588.9746359926213</c:v>
                </c:pt>
                <c:pt idx="698">
                  <c:v>588.9746359926213</c:v>
                </c:pt>
                <c:pt idx="699">
                  <c:v>588.9746359926213</c:v>
                </c:pt>
                <c:pt idx="700">
                  <c:v>588.9746359926213</c:v>
                </c:pt>
                <c:pt idx="701">
                  <c:v>588.9746359926213</c:v>
                </c:pt>
                <c:pt idx="702">
                  <c:v>588.9746359926213</c:v>
                </c:pt>
                <c:pt idx="703">
                  <c:v>588.9746359926213</c:v>
                </c:pt>
                <c:pt idx="704">
                  <c:v>588.9746359926213</c:v>
                </c:pt>
                <c:pt idx="705">
                  <c:v>588.9746359926213</c:v>
                </c:pt>
                <c:pt idx="706">
                  <c:v>588.9746359926213</c:v>
                </c:pt>
                <c:pt idx="707">
                  <c:v>588.9746359926213</c:v>
                </c:pt>
                <c:pt idx="708">
                  <c:v>588.9746359926213</c:v>
                </c:pt>
                <c:pt idx="709">
                  <c:v>588.9746359926213</c:v>
                </c:pt>
                <c:pt idx="710">
                  <c:v>588.9746359926213</c:v>
                </c:pt>
                <c:pt idx="711">
                  <c:v>588.9746359926213</c:v>
                </c:pt>
                <c:pt idx="712">
                  <c:v>588.9746359926213</c:v>
                </c:pt>
                <c:pt idx="713">
                  <c:v>588.9746359926213</c:v>
                </c:pt>
                <c:pt idx="714">
                  <c:v>588.9746359926213</c:v>
                </c:pt>
                <c:pt idx="715">
                  <c:v>588.9746359926213</c:v>
                </c:pt>
                <c:pt idx="716">
                  <c:v>588.9746359926213</c:v>
                </c:pt>
                <c:pt idx="717">
                  <c:v>588.9746359926213</c:v>
                </c:pt>
                <c:pt idx="718">
                  <c:v>588.9746359926213</c:v>
                </c:pt>
                <c:pt idx="719">
                  <c:v>588.9746359926213</c:v>
                </c:pt>
                <c:pt idx="720">
                  <c:v>588.9746359926213</c:v>
                </c:pt>
                <c:pt idx="721">
                  <c:v>588.9746359926213</c:v>
                </c:pt>
                <c:pt idx="722">
                  <c:v>588.9746359926213</c:v>
                </c:pt>
                <c:pt idx="723">
                  <c:v>588.9746359926213</c:v>
                </c:pt>
                <c:pt idx="724">
                  <c:v>588.9746359926213</c:v>
                </c:pt>
                <c:pt idx="725">
                  <c:v>588.9746359926213</c:v>
                </c:pt>
                <c:pt idx="726">
                  <c:v>588.9746359926213</c:v>
                </c:pt>
                <c:pt idx="727">
                  <c:v>588.9746359926213</c:v>
                </c:pt>
                <c:pt idx="728">
                  <c:v>588.9746359926213</c:v>
                </c:pt>
                <c:pt idx="729">
                  <c:v>588.9746359926213</c:v>
                </c:pt>
                <c:pt idx="730">
                  <c:v>588.9746359926213</c:v>
                </c:pt>
                <c:pt idx="731">
                  <c:v>588.9746359926213</c:v>
                </c:pt>
                <c:pt idx="732">
                  <c:v>588.9746359926213</c:v>
                </c:pt>
                <c:pt idx="733">
                  <c:v>588.9746359926213</c:v>
                </c:pt>
                <c:pt idx="734">
                  <c:v>588.9746359926213</c:v>
                </c:pt>
                <c:pt idx="735">
                  <c:v>588.9746359926213</c:v>
                </c:pt>
                <c:pt idx="736">
                  <c:v>588.9746359926213</c:v>
                </c:pt>
                <c:pt idx="737">
                  <c:v>588.9746359926213</c:v>
                </c:pt>
                <c:pt idx="738">
                  <c:v>588.9746359926213</c:v>
                </c:pt>
                <c:pt idx="739">
                  <c:v>588.9746359926213</c:v>
                </c:pt>
                <c:pt idx="740">
                  <c:v>588.9746359926213</c:v>
                </c:pt>
                <c:pt idx="741">
                  <c:v>588.9746359926213</c:v>
                </c:pt>
                <c:pt idx="742">
                  <c:v>588.9746359926213</c:v>
                </c:pt>
                <c:pt idx="743">
                  <c:v>588.9746359926213</c:v>
                </c:pt>
                <c:pt idx="744">
                  <c:v>588.9746359926213</c:v>
                </c:pt>
                <c:pt idx="745">
                  <c:v>588.9746359926213</c:v>
                </c:pt>
                <c:pt idx="746">
                  <c:v>588.9746359926213</c:v>
                </c:pt>
                <c:pt idx="747">
                  <c:v>588.9746359926213</c:v>
                </c:pt>
                <c:pt idx="748">
                  <c:v>588.9746359926213</c:v>
                </c:pt>
                <c:pt idx="749">
                  <c:v>588.9746359926213</c:v>
                </c:pt>
                <c:pt idx="750">
                  <c:v>588.9746359926213</c:v>
                </c:pt>
                <c:pt idx="751">
                  <c:v>588.9746359926213</c:v>
                </c:pt>
                <c:pt idx="752">
                  <c:v>588.9746359926213</c:v>
                </c:pt>
                <c:pt idx="753">
                  <c:v>588.9746359926213</c:v>
                </c:pt>
                <c:pt idx="754">
                  <c:v>588.9746359926213</c:v>
                </c:pt>
                <c:pt idx="755">
                  <c:v>588.9746359926213</c:v>
                </c:pt>
                <c:pt idx="756">
                  <c:v>588.9746359926213</c:v>
                </c:pt>
                <c:pt idx="757">
                  <c:v>588.9746359926213</c:v>
                </c:pt>
                <c:pt idx="758">
                  <c:v>588.9746359926213</c:v>
                </c:pt>
                <c:pt idx="759">
                  <c:v>588.9746359926213</c:v>
                </c:pt>
                <c:pt idx="760">
                  <c:v>588.9746359926213</c:v>
                </c:pt>
                <c:pt idx="761">
                  <c:v>588.9746359926213</c:v>
                </c:pt>
                <c:pt idx="762">
                  <c:v>588.9746359926213</c:v>
                </c:pt>
                <c:pt idx="763">
                  <c:v>588.9746359926213</c:v>
                </c:pt>
                <c:pt idx="764">
                  <c:v>588.9746359926213</c:v>
                </c:pt>
                <c:pt idx="765">
                  <c:v>588.9746359926213</c:v>
                </c:pt>
                <c:pt idx="766">
                  <c:v>588.9746359926213</c:v>
                </c:pt>
                <c:pt idx="767">
                  <c:v>588.9746359926213</c:v>
                </c:pt>
                <c:pt idx="768">
                  <c:v>588.9746359926213</c:v>
                </c:pt>
                <c:pt idx="769">
                  <c:v>588.9746359926213</c:v>
                </c:pt>
                <c:pt idx="770">
                  <c:v>588.9746359926213</c:v>
                </c:pt>
                <c:pt idx="771">
                  <c:v>588.9746359926213</c:v>
                </c:pt>
                <c:pt idx="772">
                  <c:v>588.9746359926213</c:v>
                </c:pt>
                <c:pt idx="773">
                  <c:v>588.9746359926213</c:v>
                </c:pt>
                <c:pt idx="774">
                  <c:v>588.9746359926213</c:v>
                </c:pt>
                <c:pt idx="775">
                  <c:v>588.9746359926213</c:v>
                </c:pt>
                <c:pt idx="776">
                  <c:v>588.9746359926213</c:v>
                </c:pt>
                <c:pt idx="777">
                  <c:v>588.9746359926213</c:v>
                </c:pt>
                <c:pt idx="778">
                  <c:v>588.9746359926213</c:v>
                </c:pt>
                <c:pt idx="779">
                  <c:v>588.9746359926213</c:v>
                </c:pt>
                <c:pt idx="780">
                  <c:v>588.9746359926213</c:v>
                </c:pt>
                <c:pt idx="781">
                  <c:v>588.9746359926213</c:v>
                </c:pt>
                <c:pt idx="782">
                  <c:v>588.9746359926213</c:v>
                </c:pt>
                <c:pt idx="783">
                  <c:v>588.9746359926213</c:v>
                </c:pt>
                <c:pt idx="784">
                  <c:v>588.9746359926213</c:v>
                </c:pt>
                <c:pt idx="785">
                  <c:v>588.9746359926213</c:v>
                </c:pt>
                <c:pt idx="786">
                  <c:v>588.9746359926213</c:v>
                </c:pt>
                <c:pt idx="787">
                  <c:v>588.9746359926213</c:v>
                </c:pt>
                <c:pt idx="788">
                  <c:v>588.9746359926213</c:v>
                </c:pt>
                <c:pt idx="789">
                  <c:v>588.9746359926213</c:v>
                </c:pt>
                <c:pt idx="790">
                  <c:v>588.9746359926213</c:v>
                </c:pt>
                <c:pt idx="791">
                  <c:v>588.9746359926213</c:v>
                </c:pt>
                <c:pt idx="792">
                  <c:v>588.9746359926213</c:v>
                </c:pt>
                <c:pt idx="793">
                  <c:v>588.9746359926213</c:v>
                </c:pt>
                <c:pt idx="794">
                  <c:v>588.9746359926213</c:v>
                </c:pt>
                <c:pt idx="795">
                  <c:v>588.9746359926213</c:v>
                </c:pt>
                <c:pt idx="796">
                  <c:v>588.9746359926213</c:v>
                </c:pt>
                <c:pt idx="797">
                  <c:v>588.9746359926213</c:v>
                </c:pt>
                <c:pt idx="798">
                  <c:v>588.9746359926213</c:v>
                </c:pt>
                <c:pt idx="799">
                  <c:v>588.9746359926213</c:v>
                </c:pt>
                <c:pt idx="800">
                  <c:v>588.9746359926213</c:v>
                </c:pt>
                <c:pt idx="801">
                  <c:v>588.9746359926213</c:v>
                </c:pt>
                <c:pt idx="802">
                  <c:v>588.9746359926213</c:v>
                </c:pt>
                <c:pt idx="803">
                  <c:v>588.9746359926213</c:v>
                </c:pt>
                <c:pt idx="804">
                  <c:v>588.9746359926213</c:v>
                </c:pt>
                <c:pt idx="805">
                  <c:v>588.9746359926213</c:v>
                </c:pt>
                <c:pt idx="806">
                  <c:v>588.9746359926213</c:v>
                </c:pt>
                <c:pt idx="807">
                  <c:v>588.9746359926213</c:v>
                </c:pt>
                <c:pt idx="808">
                  <c:v>588.9746359926213</c:v>
                </c:pt>
                <c:pt idx="809">
                  <c:v>588.9746359926213</c:v>
                </c:pt>
                <c:pt idx="810">
                  <c:v>588.9746359926213</c:v>
                </c:pt>
                <c:pt idx="811">
                  <c:v>588.9746359926213</c:v>
                </c:pt>
                <c:pt idx="812">
                  <c:v>588.9746359926213</c:v>
                </c:pt>
                <c:pt idx="813">
                  <c:v>588.9746359926213</c:v>
                </c:pt>
                <c:pt idx="814">
                  <c:v>588.9746359926213</c:v>
                </c:pt>
                <c:pt idx="815">
                  <c:v>588.9746359926213</c:v>
                </c:pt>
                <c:pt idx="816">
                  <c:v>588.9746359926213</c:v>
                </c:pt>
                <c:pt idx="817">
                  <c:v>588.9746359926213</c:v>
                </c:pt>
                <c:pt idx="818">
                  <c:v>588.9746359926213</c:v>
                </c:pt>
                <c:pt idx="819">
                  <c:v>588.9746359926213</c:v>
                </c:pt>
                <c:pt idx="820">
                  <c:v>588.9746359926213</c:v>
                </c:pt>
                <c:pt idx="821">
                  <c:v>588.9746359926213</c:v>
                </c:pt>
                <c:pt idx="822">
                  <c:v>588.9746359926213</c:v>
                </c:pt>
                <c:pt idx="823">
                  <c:v>588.9746359926213</c:v>
                </c:pt>
                <c:pt idx="824">
                  <c:v>588.9746359926213</c:v>
                </c:pt>
                <c:pt idx="825">
                  <c:v>588.9746359926213</c:v>
                </c:pt>
                <c:pt idx="826">
                  <c:v>588.9746359926213</c:v>
                </c:pt>
                <c:pt idx="827">
                  <c:v>588.9746359926213</c:v>
                </c:pt>
                <c:pt idx="828">
                  <c:v>588.9746359926213</c:v>
                </c:pt>
                <c:pt idx="829">
                  <c:v>588.9746359926213</c:v>
                </c:pt>
                <c:pt idx="830">
                  <c:v>588.9746359926213</c:v>
                </c:pt>
                <c:pt idx="831">
                  <c:v>588.9746359926213</c:v>
                </c:pt>
                <c:pt idx="832">
                  <c:v>588.9746359926213</c:v>
                </c:pt>
                <c:pt idx="833">
                  <c:v>588.9746359926213</c:v>
                </c:pt>
                <c:pt idx="834">
                  <c:v>588.9746359926213</c:v>
                </c:pt>
                <c:pt idx="835">
                  <c:v>588.9746359926213</c:v>
                </c:pt>
                <c:pt idx="836">
                  <c:v>588.9746359926213</c:v>
                </c:pt>
                <c:pt idx="837">
                  <c:v>588.9746359926213</c:v>
                </c:pt>
                <c:pt idx="838">
                  <c:v>588.9746359926213</c:v>
                </c:pt>
                <c:pt idx="839">
                  <c:v>588.9746359926213</c:v>
                </c:pt>
                <c:pt idx="840">
                  <c:v>588.9746359926213</c:v>
                </c:pt>
                <c:pt idx="841">
                  <c:v>588.9746359926213</c:v>
                </c:pt>
                <c:pt idx="842">
                  <c:v>588.9746359926213</c:v>
                </c:pt>
                <c:pt idx="843">
                  <c:v>588.9746359926213</c:v>
                </c:pt>
                <c:pt idx="844">
                  <c:v>588.9746359926213</c:v>
                </c:pt>
                <c:pt idx="845">
                  <c:v>588.9746359926213</c:v>
                </c:pt>
                <c:pt idx="846">
                  <c:v>588.9746359926213</c:v>
                </c:pt>
                <c:pt idx="847">
                  <c:v>588.9746359926213</c:v>
                </c:pt>
                <c:pt idx="848">
                  <c:v>588.9746359926213</c:v>
                </c:pt>
                <c:pt idx="849">
                  <c:v>588.9746359926213</c:v>
                </c:pt>
                <c:pt idx="850">
                  <c:v>588.9746359926213</c:v>
                </c:pt>
                <c:pt idx="851">
                  <c:v>588.9746359926213</c:v>
                </c:pt>
                <c:pt idx="852">
                  <c:v>588.9746359926213</c:v>
                </c:pt>
                <c:pt idx="853">
                  <c:v>588.9746359926213</c:v>
                </c:pt>
                <c:pt idx="854">
                  <c:v>588.9746359926213</c:v>
                </c:pt>
                <c:pt idx="855">
                  <c:v>588.9746359926213</c:v>
                </c:pt>
                <c:pt idx="856">
                  <c:v>588.9746359926213</c:v>
                </c:pt>
                <c:pt idx="857">
                  <c:v>588.9746359926213</c:v>
                </c:pt>
                <c:pt idx="858">
                  <c:v>588.9746359926213</c:v>
                </c:pt>
                <c:pt idx="859">
                  <c:v>588.9746359926213</c:v>
                </c:pt>
                <c:pt idx="860">
                  <c:v>588.9746359926213</c:v>
                </c:pt>
                <c:pt idx="861">
                  <c:v>588.9746359926213</c:v>
                </c:pt>
                <c:pt idx="862">
                  <c:v>588.9746359926213</c:v>
                </c:pt>
                <c:pt idx="863">
                  <c:v>588.9746359926213</c:v>
                </c:pt>
                <c:pt idx="864">
                  <c:v>588.9746359926213</c:v>
                </c:pt>
                <c:pt idx="865">
                  <c:v>588.9746359926213</c:v>
                </c:pt>
                <c:pt idx="866">
                  <c:v>588.9746359926213</c:v>
                </c:pt>
                <c:pt idx="867">
                  <c:v>588.9746359926213</c:v>
                </c:pt>
                <c:pt idx="868">
                  <c:v>588.9746359926213</c:v>
                </c:pt>
                <c:pt idx="869">
                  <c:v>588.9746359926213</c:v>
                </c:pt>
                <c:pt idx="870">
                  <c:v>588.9746359926213</c:v>
                </c:pt>
                <c:pt idx="871">
                  <c:v>588.9746359926213</c:v>
                </c:pt>
                <c:pt idx="872">
                  <c:v>588.9746359926213</c:v>
                </c:pt>
                <c:pt idx="873">
                  <c:v>588.9746359926213</c:v>
                </c:pt>
                <c:pt idx="874">
                  <c:v>588.9746359926213</c:v>
                </c:pt>
                <c:pt idx="875">
                  <c:v>588.9746359926213</c:v>
                </c:pt>
                <c:pt idx="876">
                  <c:v>588.9746359926213</c:v>
                </c:pt>
                <c:pt idx="877">
                  <c:v>588.9746359926213</c:v>
                </c:pt>
                <c:pt idx="878">
                  <c:v>588.9746359926213</c:v>
                </c:pt>
                <c:pt idx="879">
                  <c:v>588.9746359926213</c:v>
                </c:pt>
                <c:pt idx="880">
                  <c:v>588.9746359926213</c:v>
                </c:pt>
                <c:pt idx="881">
                  <c:v>588.9746359926213</c:v>
                </c:pt>
                <c:pt idx="882">
                  <c:v>588.9746359926213</c:v>
                </c:pt>
                <c:pt idx="883">
                  <c:v>588.9746359926213</c:v>
                </c:pt>
                <c:pt idx="884">
                  <c:v>588.9746359926213</c:v>
                </c:pt>
                <c:pt idx="885">
                  <c:v>588.9746359926213</c:v>
                </c:pt>
                <c:pt idx="886">
                  <c:v>588.9746359926213</c:v>
                </c:pt>
                <c:pt idx="887">
                  <c:v>588.9746359926213</c:v>
                </c:pt>
                <c:pt idx="888">
                  <c:v>588.9746359926213</c:v>
                </c:pt>
                <c:pt idx="889">
                  <c:v>588.9746359926213</c:v>
                </c:pt>
                <c:pt idx="890">
                  <c:v>588.9746359926213</c:v>
                </c:pt>
                <c:pt idx="891">
                  <c:v>588.9746359926213</c:v>
                </c:pt>
                <c:pt idx="892">
                  <c:v>588.9746359926213</c:v>
                </c:pt>
                <c:pt idx="893">
                  <c:v>588.9746359926213</c:v>
                </c:pt>
                <c:pt idx="894">
                  <c:v>588.9746359926213</c:v>
                </c:pt>
                <c:pt idx="895">
                  <c:v>588.9746359926213</c:v>
                </c:pt>
                <c:pt idx="896">
                  <c:v>588.9746359926213</c:v>
                </c:pt>
                <c:pt idx="897">
                  <c:v>588.9746359926213</c:v>
                </c:pt>
                <c:pt idx="898">
                  <c:v>588.9746359926213</c:v>
                </c:pt>
                <c:pt idx="899">
                  <c:v>588.9746359926213</c:v>
                </c:pt>
                <c:pt idx="900">
                  <c:v>588.9746359926213</c:v>
                </c:pt>
                <c:pt idx="901">
                  <c:v>588.9746359926213</c:v>
                </c:pt>
                <c:pt idx="902">
                  <c:v>588.9746359926213</c:v>
                </c:pt>
                <c:pt idx="903">
                  <c:v>588.9746359926213</c:v>
                </c:pt>
                <c:pt idx="904">
                  <c:v>588.9746359926213</c:v>
                </c:pt>
                <c:pt idx="905">
                  <c:v>588.9746359926213</c:v>
                </c:pt>
                <c:pt idx="906">
                  <c:v>588.9746359926213</c:v>
                </c:pt>
                <c:pt idx="907">
                  <c:v>588.9746359926213</c:v>
                </c:pt>
                <c:pt idx="908">
                  <c:v>588.9746359926213</c:v>
                </c:pt>
                <c:pt idx="909">
                  <c:v>588.9746359926213</c:v>
                </c:pt>
                <c:pt idx="910">
                  <c:v>588.9746359926213</c:v>
                </c:pt>
                <c:pt idx="911">
                  <c:v>588.9746359926213</c:v>
                </c:pt>
                <c:pt idx="912">
                  <c:v>588.9746359926213</c:v>
                </c:pt>
                <c:pt idx="913">
                  <c:v>588.9746359926213</c:v>
                </c:pt>
                <c:pt idx="914">
                  <c:v>588.9746359926213</c:v>
                </c:pt>
                <c:pt idx="915">
                  <c:v>588.9746359926213</c:v>
                </c:pt>
                <c:pt idx="916">
                  <c:v>588.9746359926213</c:v>
                </c:pt>
                <c:pt idx="917">
                  <c:v>588.9746359926213</c:v>
                </c:pt>
                <c:pt idx="918">
                  <c:v>588.9746359926213</c:v>
                </c:pt>
                <c:pt idx="919">
                  <c:v>588.9746359926213</c:v>
                </c:pt>
                <c:pt idx="920">
                  <c:v>588.9746359926213</c:v>
                </c:pt>
                <c:pt idx="921">
                  <c:v>588.9746359926213</c:v>
                </c:pt>
                <c:pt idx="922">
                  <c:v>588.9746359926213</c:v>
                </c:pt>
                <c:pt idx="923">
                  <c:v>588.9746359926213</c:v>
                </c:pt>
                <c:pt idx="924">
                  <c:v>588.9746359926213</c:v>
                </c:pt>
                <c:pt idx="925">
                  <c:v>588.9746359926213</c:v>
                </c:pt>
                <c:pt idx="926">
                  <c:v>588.9746359926213</c:v>
                </c:pt>
                <c:pt idx="927">
                  <c:v>588.9746359926213</c:v>
                </c:pt>
                <c:pt idx="928">
                  <c:v>588.9746359926213</c:v>
                </c:pt>
                <c:pt idx="929">
                  <c:v>588.9746359926213</c:v>
                </c:pt>
                <c:pt idx="930">
                  <c:v>588.9746359926213</c:v>
                </c:pt>
                <c:pt idx="931">
                  <c:v>588.9746359926213</c:v>
                </c:pt>
                <c:pt idx="932">
                  <c:v>588.9746359926213</c:v>
                </c:pt>
                <c:pt idx="933">
                  <c:v>588.9746359926213</c:v>
                </c:pt>
                <c:pt idx="934">
                  <c:v>588.9746359926213</c:v>
                </c:pt>
                <c:pt idx="935">
                  <c:v>588.9746359926213</c:v>
                </c:pt>
                <c:pt idx="936">
                  <c:v>588.9746359926213</c:v>
                </c:pt>
                <c:pt idx="937">
                  <c:v>588.9746359926213</c:v>
                </c:pt>
                <c:pt idx="938">
                  <c:v>588.9746359926213</c:v>
                </c:pt>
                <c:pt idx="939">
                  <c:v>588.9746359926213</c:v>
                </c:pt>
                <c:pt idx="940">
                  <c:v>588.9746359926213</c:v>
                </c:pt>
                <c:pt idx="941">
                  <c:v>588.9746359926213</c:v>
                </c:pt>
                <c:pt idx="942">
                  <c:v>588.9746359926213</c:v>
                </c:pt>
                <c:pt idx="943">
                  <c:v>588.9746359926213</c:v>
                </c:pt>
                <c:pt idx="944">
                  <c:v>588.9746359926213</c:v>
                </c:pt>
                <c:pt idx="945">
                  <c:v>588.9746359926213</c:v>
                </c:pt>
                <c:pt idx="946">
                  <c:v>588.9746359926213</c:v>
                </c:pt>
                <c:pt idx="947">
                  <c:v>588.9746359926213</c:v>
                </c:pt>
                <c:pt idx="948">
                  <c:v>588.9746359926213</c:v>
                </c:pt>
                <c:pt idx="949">
                  <c:v>588.9746359926213</c:v>
                </c:pt>
                <c:pt idx="950">
                  <c:v>588.9746359926213</c:v>
                </c:pt>
                <c:pt idx="951">
                  <c:v>588.9746359926213</c:v>
                </c:pt>
                <c:pt idx="952">
                  <c:v>588.9746359926213</c:v>
                </c:pt>
                <c:pt idx="953">
                  <c:v>588.9746359926213</c:v>
                </c:pt>
                <c:pt idx="954">
                  <c:v>588.9746359926213</c:v>
                </c:pt>
                <c:pt idx="955">
                  <c:v>588.9746359926213</c:v>
                </c:pt>
                <c:pt idx="956">
                  <c:v>588.9746359926213</c:v>
                </c:pt>
                <c:pt idx="957">
                  <c:v>588.9746359926213</c:v>
                </c:pt>
                <c:pt idx="958">
                  <c:v>588.9746359926213</c:v>
                </c:pt>
                <c:pt idx="959">
                  <c:v>588.9746359926213</c:v>
                </c:pt>
                <c:pt idx="960">
                  <c:v>588.9746359926213</c:v>
                </c:pt>
                <c:pt idx="961">
                  <c:v>588.9746359926213</c:v>
                </c:pt>
                <c:pt idx="962">
                  <c:v>588.9746359926213</c:v>
                </c:pt>
                <c:pt idx="963">
                  <c:v>588.9746359926213</c:v>
                </c:pt>
                <c:pt idx="964">
                  <c:v>588.9746359926213</c:v>
                </c:pt>
                <c:pt idx="965">
                  <c:v>588.9746359926213</c:v>
                </c:pt>
                <c:pt idx="966">
                  <c:v>588.9746359926213</c:v>
                </c:pt>
                <c:pt idx="967">
                  <c:v>588.9746359926213</c:v>
                </c:pt>
                <c:pt idx="968">
                  <c:v>588.9746359926213</c:v>
                </c:pt>
                <c:pt idx="969">
                  <c:v>588.9746359926213</c:v>
                </c:pt>
                <c:pt idx="970">
                  <c:v>588.9746359926213</c:v>
                </c:pt>
                <c:pt idx="971">
                  <c:v>588.9746359926213</c:v>
                </c:pt>
                <c:pt idx="972">
                  <c:v>588.9746359926213</c:v>
                </c:pt>
                <c:pt idx="973">
                  <c:v>588.9746359926213</c:v>
                </c:pt>
                <c:pt idx="974">
                  <c:v>588.9746359926213</c:v>
                </c:pt>
                <c:pt idx="975">
                  <c:v>588.9746359926213</c:v>
                </c:pt>
                <c:pt idx="976">
                  <c:v>588.9746359926213</c:v>
                </c:pt>
                <c:pt idx="977">
                  <c:v>588.9746359926213</c:v>
                </c:pt>
                <c:pt idx="978">
                  <c:v>588.9746359926213</c:v>
                </c:pt>
                <c:pt idx="979">
                  <c:v>588.9746359926213</c:v>
                </c:pt>
                <c:pt idx="980">
                  <c:v>588.9746359926213</c:v>
                </c:pt>
                <c:pt idx="981">
                  <c:v>588.9746359926213</c:v>
                </c:pt>
                <c:pt idx="982">
                  <c:v>588.9746359926213</c:v>
                </c:pt>
                <c:pt idx="983">
                  <c:v>588.9746359926213</c:v>
                </c:pt>
                <c:pt idx="984">
                  <c:v>588.9746359926213</c:v>
                </c:pt>
                <c:pt idx="985">
                  <c:v>588.9746359926213</c:v>
                </c:pt>
                <c:pt idx="986">
                  <c:v>588.9746359926213</c:v>
                </c:pt>
                <c:pt idx="987">
                  <c:v>588.9746359926213</c:v>
                </c:pt>
                <c:pt idx="988">
                  <c:v>588.9746359926213</c:v>
                </c:pt>
                <c:pt idx="989">
                  <c:v>588.9746359926213</c:v>
                </c:pt>
                <c:pt idx="990">
                  <c:v>588.9746359926213</c:v>
                </c:pt>
                <c:pt idx="991">
                  <c:v>588.9746359926213</c:v>
                </c:pt>
                <c:pt idx="992">
                  <c:v>588.9746359926213</c:v>
                </c:pt>
                <c:pt idx="993">
                  <c:v>588.9746359926213</c:v>
                </c:pt>
                <c:pt idx="994">
                  <c:v>588.9746359926213</c:v>
                </c:pt>
                <c:pt idx="995">
                  <c:v>588.9746359926213</c:v>
                </c:pt>
                <c:pt idx="996">
                  <c:v>588.9746359926213</c:v>
                </c:pt>
                <c:pt idx="997">
                  <c:v>588.9746359926213</c:v>
                </c:pt>
                <c:pt idx="998">
                  <c:v>588.9746359926213</c:v>
                </c:pt>
                <c:pt idx="999">
                  <c:v>588.9746359926213</c:v>
                </c:pt>
                <c:pt idx="1000">
                  <c:v>588.9746359926213</c:v>
                </c:pt>
              </c:numCache>
            </c:numRef>
          </c:yVal>
          <c:smooth val="0"/>
          <c:extLst>
            <c:ext xmlns:c16="http://schemas.microsoft.com/office/drawing/2014/chart" uri="{C3380CC4-5D6E-409C-BE32-E72D297353CC}">
              <c16:uniqueId val="{00000000-B5CC-4BD6-9E0D-EA30945FB569}"/>
            </c:ext>
          </c:extLst>
        </c:ser>
        <c:ser>
          <c:idx val="1"/>
          <c:order val="1"/>
          <c:tx>
            <c:strRef>
              <c:f>Courbes!$B$143</c:f>
              <c:strCache>
                <c:ptCount val="1"/>
                <c:pt idx="0">
                  <c:v>Altitude</c:v>
                </c:pt>
              </c:strCache>
            </c:strRef>
          </c:tx>
          <c:spPr>
            <a:ln w="12700">
              <a:solidFill>
                <a:srgbClr val="000080"/>
              </a:solidFill>
              <a:prstDash val="solid"/>
            </a:ln>
          </c:spPr>
          <c:marker>
            <c:symbol val="none"/>
          </c:marker>
          <c:xVal>
            <c:numRef>
              <c:f>Calculs!$B$4:$B$1004</c:f>
              <c:numCache>
                <c:formatCode>0.00</c:formatCode>
                <c:ptCount val="1001"/>
                <c:pt idx="0">
                  <c:v>3.2</c:v>
                </c:pt>
                <c:pt idx="1">
                  <c:v>3.21</c:v>
                </c:pt>
                <c:pt idx="2">
                  <c:v>3.2199999999999998</c:v>
                </c:pt>
                <c:pt idx="3">
                  <c:v>3.2299999999999995</c:v>
                </c:pt>
                <c:pt idx="4">
                  <c:v>3.2399999999999993</c:v>
                </c:pt>
                <c:pt idx="5">
                  <c:v>3.2499999999999991</c:v>
                </c:pt>
                <c:pt idx="6">
                  <c:v>3.2599999999999989</c:v>
                </c:pt>
                <c:pt idx="7">
                  <c:v>3.2699999999999987</c:v>
                </c:pt>
                <c:pt idx="8">
                  <c:v>3.2799999999999985</c:v>
                </c:pt>
                <c:pt idx="9">
                  <c:v>3.2899999999999983</c:v>
                </c:pt>
                <c:pt idx="10">
                  <c:v>3.299999999999998</c:v>
                </c:pt>
                <c:pt idx="11">
                  <c:v>3.3099999999999978</c:v>
                </c:pt>
                <c:pt idx="12">
                  <c:v>3.3199999999999976</c:v>
                </c:pt>
                <c:pt idx="13">
                  <c:v>3.3299999999999974</c:v>
                </c:pt>
                <c:pt idx="14">
                  <c:v>3.3399999999999972</c:v>
                </c:pt>
                <c:pt idx="15">
                  <c:v>3.349999999999997</c:v>
                </c:pt>
                <c:pt idx="16">
                  <c:v>3.3599999999999968</c:v>
                </c:pt>
                <c:pt idx="17">
                  <c:v>3.3699999999999966</c:v>
                </c:pt>
                <c:pt idx="18">
                  <c:v>3.3799999999999963</c:v>
                </c:pt>
                <c:pt idx="19">
                  <c:v>3.3899999999999961</c:v>
                </c:pt>
                <c:pt idx="20">
                  <c:v>3.3999999999999959</c:v>
                </c:pt>
                <c:pt idx="21">
                  <c:v>3.4099999999999957</c:v>
                </c:pt>
                <c:pt idx="22">
                  <c:v>3.4199999999999955</c:v>
                </c:pt>
                <c:pt idx="23">
                  <c:v>3.4299999999999953</c:v>
                </c:pt>
                <c:pt idx="24">
                  <c:v>3.4399999999999951</c:v>
                </c:pt>
                <c:pt idx="25">
                  <c:v>3.4499999999999948</c:v>
                </c:pt>
                <c:pt idx="26">
                  <c:v>3.4599999999999946</c:v>
                </c:pt>
                <c:pt idx="27">
                  <c:v>3.4699999999999944</c:v>
                </c:pt>
                <c:pt idx="28">
                  <c:v>3.4799999999999942</c:v>
                </c:pt>
                <c:pt idx="29">
                  <c:v>3.489999999999994</c:v>
                </c:pt>
                <c:pt idx="30">
                  <c:v>3.4999999999999938</c:v>
                </c:pt>
                <c:pt idx="31">
                  <c:v>3.5099999999999936</c:v>
                </c:pt>
                <c:pt idx="32">
                  <c:v>3.5199999999999934</c:v>
                </c:pt>
                <c:pt idx="33">
                  <c:v>3.5299999999999931</c:v>
                </c:pt>
                <c:pt idx="34">
                  <c:v>3.5399999999999929</c:v>
                </c:pt>
                <c:pt idx="35">
                  <c:v>3.5499999999999927</c:v>
                </c:pt>
                <c:pt idx="36">
                  <c:v>3.5599999999999925</c:v>
                </c:pt>
                <c:pt idx="37">
                  <c:v>3.5699999999999923</c:v>
                </c:pt>
                <c:pt idx="38">
                  <c:v>3.5799999999999921</c:v>
                </c:pt>
                <c:pt idx="39">
                  <c:v>3.5899999999999919</c:v>
                </c:pt>
                <c:pt idx="40">
                  <c:v>3.5999999999999917</c:v>
                </c:pt>
                <c:pt idx="41">
                  <c:v>3.6099999999999914</c:v>
                </c:pt>
                <c:pt idx="42">
                  <c:v>3.6199999999999912</c:v>
                </c:pt>
                <c:pt idx="43">
                  <c:v>3.629999999999991</c:v>
                </c:pt>
                <c:pt idx="44">
                  <c:v>3.6399999999999908</c:v>
                </c:pt>
                <c:pt idx="45">
                  <c:v>3.6499999999999906</c:v>
                </c:pt>
                <c:pt idx="46">
                  <c:v>3.6599999999999904</c:v>
                </c:pt>
                <c:pt idx="47">
                  <c:v>3.6699999999999902</c:v>
                </c:pt>
                <c:pt idx="48">
                  <c:v>3.6799999999999899</c:v>
                </c:pt>
                <c:pt idx="49">
                  <c:v>3.6899999999999897</c:v>
                </c:pt>
                <c:pt idx="50">
                  <c:v>3.6999999999999895</c:v>
                </c:pt>
                <c:pt idx="51">
                  <c:v>3.7099999999999893</c:v>
                </c:pt>
                <c:pt idx="52">
                  <c:v>3.7199999999999891</c:v>
                </c:pt>
                <c:pt idx="53">
                  <c:v>3.7299999999999889</c:v>
                </c:pt>
                <c:pt idx="54">
                  <c:v>3.7399999999999887</c:v>
                </c:pt>
                <c:pt idx="55">
                  <c:v>3.7499999999999885</c:v>
                </c:pt>
                <c:pt idx="56">
                  <c:v>3.7599999999999882</c:v>
                </c:pt>
                <c:pt idx="57">
                  <c:v>3.769999999999988</c:v>
                </c:pt>
                <c:pt idx="58">
                  <c:v>3.7799999999999878</c:v>
                </c:pt>
                <c:pt idx="59">
                  <c:v>3.7899999999999876</c:v>
                </c:pt>
                <c:pt idx="60">
                  <c:v>3.7999999999999874</c:v>
                </c:pt>
                <c:pt idx="61">
                  <c:v>3.8099999999999872</c:v>
                </c:pt>
                <c:pt idx="62">
                  <c:v>3.819999999999987</c:v>
                </c:pt>
                <c:pt idx="63">
                  <c:v>3.8299999999999867</c:v>
                </c:pt>
                <c:pt idx="64">
                  <c:v>3.8399999999999865</c:v>
                </c:pt>
                <c:pt idx="65">
                  <c:v>3.8499999999999863</c:v>
                </c:pt>
                <c:pt idx="66">
                  <c:v>3.8599999999999861</c:v>
                </c:pt>
                <c:pt idx="67">
                  <c:v>3.8699999999999859</c:v>
                </c:pt>
                <c:pt idx="68">
                  <c:v>3.8799999999999857</c:v>
                </c:pt>
                <c:pt idx="69">
                  <c:v>3.8899999999999855</c:v>
                </c:pt>
                <c:pt idx="70">
                  <c:v>3.8999999999999853</c:v>
                </c:pt>
                <c:pt idx="71">
                  <c:v>3.909999999999985</c:v>
                </c:pt>
                <c:pt idx="72">
                  <c:v>3.9199999999999848</c:v>
                </c:pt>
                <c:pt idx="73">
                  <c:v>3.9299999999999846</c:v>
                </c:pt>
                <c:pt idx="74">
                  <c:v>3.9399999999999844</c:v>
                </c:pt>
                <c:pt idx="75">
                  <c:v>3.9499999999999842</c:v>
                </c:pt>
                <c:pt idx="76">
                  <c:v>3.959999999999984</c:v>
                </c:pt>
                <c:pt idx="77">
                  <c:v>3.9699999999999838</c:v>
                </c:pt>
                <c:pt idx="78">
                  <c:v>3.9799999999999836</c:v>
                </c:pt>
                <c:pt idx="79">
                  <c:v>3.9899999999999833</c:v>
                </c:pt>
                <c:pt idx="80">
                  <c:v>3.9999999999999831</c:v>
                </c:pt>
                <c:pt idx="81">
                  <c:v>4.0099999999999829</c:v>
                </c:pt>
                <c:pt idx="82">
                  <c:v>4.0199999999999827</c:v>
                </c:pt>
                <c:pt idx="83">
                  <c:v>4.0299999999999825</c:v>
                </c:pt>
                <c:pt idx="84">
                  <c:v>4.0399999999999823</c:v>
                </c:pt>
                <c:pt idx="85">
                  <c:v>4.0499999999999821</c:v>
                </c:pt>
                <c:pt idx="86">
                  <c:v>4.0599999999999818</c:v>
                </c:pt>
                <c:pt idx="87">
                  <c:v>4.0699999999999816</c:v>
                </c:pt>
                <c:pt idx="88">
                  <c:v>4.0799999999999814</c:v>
                </c:pt>
                <c:pt idx="89">
                  <c:v>4.0899999999999812</c:v>
                </c:pt>
                <c:pt idx="90">
                  <c:v>4.099999999999981</c:v>
                </c:pt>
                <c:pt idx="91">
                  <c:v>4.1099999999999808</c:v>
                </c:pt>
                <c:pt idx="92">
                  <c:v>4.1199999999999806</c:v>
                </c:pt>
                <c:pt idx="93">
                  <c:v>4.1299999999999804</c:v>
                </c:pt>
                <c:pt idx="94">
                  <c:v>4.1399999999999801</c:v>
                </c:pt>
                <c:pt idx="95">
                  <c:v>4.1499999999999799</c:v>
                </c:pt>
                <c:pt idx="96">
                  <c:v>4.1599999999999797</c:v>
                </c:pt>
                <c:pt idx="97">
                  <c:v>4.1699999999999795</c:v>
                </c:pt>
                <c:pt idx="98">
                  <c:v>4.1799999999999793</c:v>
                </c:pt>
                <c:pt idx="99">
                  <c:v>4.1899999999999791</c:v>
                </c:pt>
                <c:pt idx="100">
                  <c:v>4.1999999999999789</c:v>
                </c:pt>
                <c:pt idx="101">
                  <c:v>4.2999999999999785</c:v>
                </c:pt>
                <c:pt idx="102">
                  <c:v>4.3999999999999782</c:v>
                </c:pt>
                <c:pt idx="103">
                  <c:v>4.4999999999999778</c:v>
                </c:pt>
                <c:pt idx="104">
                  <c:v>4.5999999999999774</c:v>
                </c:pt>
                <c:pt idx="105">
                  <c:v>4.6999999999999771</c:v>
                </c:pt>
                <c:pt idx="106">
                  <c:v>4.7999999999999767</c:v>
                </c:pt>
                <c:pt idx="107">
                  <c:v>4.8999999999999764</c:v>
                </c:pt>
                <c:pt idx="108">
                  <c:v>4.999999999999976</c:v>
                </c:pt>
                <c:pt idx="109">
                  <c:v>5.0999999999999757</c:v>
                </c:pt>
                <c:pt idx="110">
                  <c:v>5.1999999999999753</c:v>
                </c:pt>
                <c:pt idx="111">
                  <c:v>5.299999999999975</c:v>
                </c:pt>
                <c:pt idx="112">
                  <c:v>5.3999999999999746</c:v>
                </c:pt>
                <c:pt idx="113">
                  <c:v>5.4999999999999742</c:v>
                </c:pt>
                <c:pt idx="114">
                  <c:v>5.5999999999999739</c:v>
                </c:pt>
                <c:pt idx="115">
                  <c:v>5.6999999999999735</c:v>
                </c:pt>
                <c:pt idx="116">
                  <c:v>5.7999999999999732</c:v>
                </c:pt>
                <c:pt idx="117">
                  <c:v>5.8999999999999728</c:v>
                </c:pt>
                <c:pt idx="118">
                  <c:v>5.9999999999999725</c:v>
                </c:pt>
                <c:pt idx="119">
                  <c:v>6.0999999999999721</c:v>
                </c:pt>
                <c:pt idx="120">
                  <c:v>6.1999999999999718</c:v>
                </c:pt>
                <c:pt idx="121">
                  <c:v>6.2999999999999714</c:v>
                </c:pt>
                <c:pt idx="122">
                  <c:v>6.399999999999971</c:v>
                </c:pt>
                <c:pt idx="123">
                  <c:v>6.4999999999999707</c:v>
                </c:pt>
                <c:pt idx="124">
                  <c:v>6.5999999999999703</c:v>
                </c:pt>
                <c:pt idx="125">
                  <c:v>6.69999999999997</c:v>
                </c:pt>
                <c:pt idx="126">
                  <c:v>6.7999999999999696</c:v>
                </c:pt>
                <c:pt idx="127">
                  <c:v>6.8999999999999693</c:v>
                </c:pt>
                <c:pt idx="128">
                  <c:v>6.9999999999999689</c:v>
                </c:pt>
                <c:pt idx="129">
                  <c:v>7.0999999999999686</c:v>
                </c:pt>
                <c:pt idx="130">
                  <c:v>7.1999999999999682</c:v>
                </c:pt>
                <c:pt idx="131">
                  <c:v>7.2999999999999678</c:v>
                </c:pt>
                <c:pt idx="132">
                  <c:v>7.3999999999999675</c:v>
                </c:pt>
                <c:pt idx="133">
                  <c:v>7.4999999999999671</c:v>
                </c:pt>
                <c:pt idx="134">
                  <c:v>7.5999999999999668</c:v>
                </c:pt>
                <c:pt idx="135">
                  <c:v>7.6999999999999664</c:v>
                </c:pt>
                <c:pt idx="136">
                  <c:v>7.7999999999999661</c:v>
                </c:pt>
                <c:pt idx="137">
                  <c:v>7.8999999999999657</c:v>
                </c:pt>
                <c:pt idx="138">
                  <c:v>7.9999999999999654</c:v>
                </c:pt>
                <c:pt idx="139">
                  <c:v>8.0999999999999659</c:v>
                </c:pt>
                <c:pt idx="140">
                  <c:v>8.1999999999999655</c:v>
                </c:pt>
                <c:pt idx="141">
                  <c:v>8.2999999999999652</c:v>
                </c:pt>
                <c:pt idx="142">
                  <c:v>8.3999999999999648</c:v>
                </c:pt>
                <c:pt idx="143">
                  <c:v>8.4999999999999645</c:v>
                </c:pt>
                <c:pt idx="144">
                  <c:v>8.5999999999999641</c:v>
                </c:pt>
                <c:pt idx="145">
                  <c:v>8.6999999999999638</c:v>
                </c:pt>
                <c:pt idx="146">
                  <c:v>8.7999999999999634</c:v>
                </c:pt>
                <c:pt idx="147">
                  <c:v>8.8999999999999631</c:v>
                </c:pt>
                <c:pt idx="148">
                  <c:v>8.9999999999999627</c:v>
                </c:pt>
                <c:pt idx="149">
                  <c:v>9.0999999999999623</c:v>
                </c:pt>
                <c:pt idx="150">
                  <c:v>9.199999999999962</c:v>
                </c:pt>
                <c:pt idx="151">
                  <c:v>9.2999999999999616</c:v>
                </c:pt>
                <c:pt idx="152">
                  <c:v>9.3999999999999613</c:v>
                </c:pt>
                <c:pt idx="153">
                  <c:v>9.4999999999999609</c:v>
                </c:pt>
                <c:pt idx="154">
                  <c:v>9.5999999999999606</c:v>
                </c:pt>
                <c:pt idx="155">
                  <c:v>9.6999999999999602</c:v>
                </c:pt>
                <c:pt idx="156">
                  <c:v>9.7999999999999599</c:v>
                </c:pt>
                <c:pt idx="157">
                  <c:v>9.8999999999999595</c:v>
                </c:pt>
                <c:pt idx="158">
                  <c:v>9.9999999999999591</c:v>
                </c:pt>
                <c:pt idx="159">
                  <c:v>10.099999999999959</c:v>
                </c:pt>
                <c:pt idx="160">
                  <c:v>10.199999999999958</c:v>
                </c:pt>
                <c:pt idx="161">
                  <c:v>10.299999999999958</c:v>
                </c:pt>
                <c:pt idx="162">
                  <c:v>10.399999999999958</c:v>
                </c:pt>
                <c:pt idx="163">
                  <c:v>10.499999999999957</c:v>
                </c:pt>
                <c:pt idx="164">
                  <c:v>10.599999999999957</c:v>
                </c:pt>
                <c:pt idx="165">
                  <c:v>10.699999999999957</c:v>
                </c:pt>
                <c:pt idx="166">
                  <c:v>10.799999999999956</c:v>
                </c:pt>
                <c:pt idx="167">
                  <c:v>10.899999999999956</c:v>
                </c:pt>
                <c:pt idx="168">
                  <c:v>10.999999999999956</c:v>
                </c:pt>
                <c:pt idx="169">
                  <c:v>11.099999999999955</c:v>
                </c:pt>
                <c:pt idx="170">
                  <c:v>11.199999999999955</c:v>
                </c:pt>
                <c:pt idx="171">
                  <c:v>11.299999999999955</c:v>
                </c:pt>
                <c:pt idx="172">
                  <c:v>11.399999999999954</c:v>
                </c:pt>
                <c:pt idx="173">
                  <c:v>11.499999999999954</c:v>
                </c:pt>
                <c:pt idx="174">
                  <c:v>11.599999999999953</c:v>
                </c:pt>
                <c:pt idx="175">
                  <c:v>11.699999999999953</c:v>
                </c:pt>
                <c:pt idx="176">
                  <c:v>11.799999999999953</c:v>
                </c:pt>
                <c:pt idx="177">
                  <c:v>11.899999999999952</c:v>
                </c:pt>
                <c:pt idx="178">
                  <c:v>11.999999999999952</c:v>
                </c:pt>
                <c:pt idx="179">
                  <c:v>12.099999999999952</c:v>
                </c:pt>
                <c:pt idx="180">
                  <c:v>12.199999999999951</c:v>
                </c:pt>
                <c:pt idx="181">
                  <c:v>12.299999999999951</c:v>
                </c:pt>
                <c:pt idx="182">
                  <c:v>12.399999999999951</c:v>
                </c:pt>
                <c:pt idx="183">
                  <c:v>12.49999999999995</c:v>
                </c:pt>
                <c:pt idx="184">
                  <c:v>12.59999999999995</c:v>
                </c:pt>
                <c:pt idx="185">
                  <c:v>12.69999999999995</c:v>
                </c:pt>
                <c:pt idx="186">
                  <c:v>12.799999999999949</c:v>
                </c:pt>
                <c:pt idx="187">
                  <c:v>12.899999999999949</c:v>
                </c:pt>
                <c:pt idx="188">
                  <c:v>12.999999999999948</c:v>
                </c:pt>
                <c:pt idx="189">
                  <c:v>13.099999999999948</c:v>
                </c:pt>
                <c:pt idx="190">
                  <c:v>13.199999999999948</c:v>
                </c:pt>
                <c:pt idx="191">
                  <c:v>13.299999999999947</c:v>
                </c:pt>
                <c:pt idx="192">
                  <c:v>13.399999999999947</c:v>
                </c:pt>
                <c:pt idx="193">
                  <c:v>13.499999999999947</c:v>
                </c:pt>
                <c:pt idx="194">
                  <c:v>13.599999999999946</c:v>
                </c:pt>
                <c:pt idx="195">
                  <c:v>13.699999999999946</c:v>
                </c:pt>
                <c:pt idx="196">
                  <c:v>13.799999999999946</c:v>
                </c:pt>
                <c:pt idx="197">
                  <c:v>13.899999999999945</c:v>
                </c:pt>
                <c:pt idx="198">
                  <c:v>13.999999999999945</c:v>
                </c:pt>
                <c:pt idx="199">
                  <c:v>14.099999999999945</c:v>
                </c:pt>
                <c:pt idx="200">
                  <c:v>14.199999999999944</c:v>
                </c:pt>
                <c:pt idx="201">
                  <c:v>14.299999999999944</c:v>
                </c:pt>
                <c:pt idx="202">
                  <c:v>14.399999999999944</c:v>
                </c:pt>
                <c:pt idx="203">
                  <c:v>14.499999999999943</c:v>
                </c:pt>
                <c:pt idx="204">
                  <c:v>14.599999999999943</c:v>
                </c:pt>
                <c:pt idx="205">
                  <c:v>14.699999999999942</c:v>
                </c:pt>
                <c:pt idx="206">
                  <c:v>14.799999999999942</c:v>
                </c:pt>
                <c:pt idx="207">
                  <c:v>14.899999999999942</c:v>
                </c:pt>
                <c:pt idx="208">
                  <c:v>14.999999999999941</c:v>
                </c:pt>
                <c:pt idx="209">
                  <c:v>15.099999999999941</c:v>
                </c:pt>
                <c:pt idx="210">
                  <c:v>15.199999999999941</c:v>
                </c:pt>
                <c:pt idx="211">
                  <c:v>15.29999999999994</c:v>
                </c:pt>
                <c:pt idx="212">
                  <c:v>15.39999999999994</c:v>
                </c:pt>
                <c:pt idx="213">
                  <c:v>15.49999999999994</c:v>
                </c:pt>
                <c:pt idx="214">
                  <c:v>15.599999999999939</c:v>
                </c:pt>
                <c:pt idx="215">
                  <c:v>15.699999999999939</c:v>
                </c:pt>
                <c:pt idx="216">
                  <c:v>15.799999999999939</c:v>
                </c:pt>
                <c:pt idx="217">
                  <c:v>15.899999999999938</c:v>
                </c:pt>
                <c:pt idx="218">
                  <c:v>15.999999999999938</c:v>
                </c:pt>
                <c:pt idx="219">
                  <c:v>16.099999999999937</c:v>
                </c:pt>
                <c:pt idx="220">
                  <c:v>16.199999999999939</c:v>
                </c:pt>
                <c:pt idx="221">
                  <c:v>16.29999999999994</c:v>
                </c:pt>
                <c:pt idx="222">
                  <c:v>16.399999999999942</c:v>
                </c:pt>
                <c:pt idx="223">
                  <c:v>16.499999999999943</c:v>
                </c:pt>
                <c:pt idx="224">
                  <c:v>16.599999999999945</c:v>
                </c:pt>
                <c:pt idx="225">
                  <c:v>16.699999999999946</c:v>
                </c:pt>
                <c:pt idx="226">
                  <c:v>16.799999999999947</c:v>
                </c:pt>
                <c:pt idx="227">
                  <c:v>16.899999999999949</c:v>
                </c:pt>
                <c:pt idx="228">
                  <c:v>16.99999999999995</c:v>
                </c:pt>
                <c:pt idx="229">
                  <c:v>17.099999999999952</c:v>
                </c:pt>
                <c:pt idx="230">
                  <c:v>17.199999999999953</c:v>
                </c:pt>
                <c:pt idx="231">
                  <c:v>17.299999999999955</c:v>
                </c:pt>
                <c:pt idx="232">
                  <c:v>17.399999999999956</c:v>
                </c:pt>
                <c:pt idx="233">
                  <c:v>17.499999999999957</c:v>
                </c:pt>
                <c:pt idx="234">
                  <c:v>17.599999999999959</c:v>
                </c:pt>
                <c:pt idx="235">
                  <c:v>17.69999999999996</c:v>
                </c:pt>
                <c:pt idx="236">
                  <c:v>17.799999999999962</c:v>
                </c:pt>
                <c:pt idx="237">
                  <c:v>17.899999999999963</c:v>
                </c:pt>
                <c:pt idx="238">
                  <c:v>17.999999999999964</c:v>
                </c:pt>
                <c:pt idx="239">
                  <c:v>18.099999999999966</c:v>
                </c:pt>
                <c:pt idx="240">
                  <c:v>18.199999999999967</c:v>
                </c:pt>
                <c:pt idx="241">
                  <c:v>18.299999999999969</c:v>
                </c:pt>
                <c:pt idx="242">
                  <c:v>18.39999999999997</c:v>
                </c:pt>
                <c:pt idx="243">
                  <c:v>18.499999999999972</c:v>
                </c:pt>
                <c:pt idx="244">
                  <c:v>18.599999999999973</c:v>
                </c:pt>
                <c:pt idx="245">
                  <c:v>18.699999999999974</c:v>
                </c:pt>
                <c:pt idx="246">
                  <c:v>18.799999999999976</c:v>
                </c:pt>
                <c:pt idx="247">
                  <c:v>18.899999999999977</c:v>
                </c:pt>
                <c:pt idx="248">
                  <c:v>18.999999999999979</c:v>
                </c:pt>
                <c:pt idx="249">
                  <c:v>19.09999999999998</c:v>
                </c:pt>
                <c:pt idx="250">
                  <c:v>19.199999999999982</c:v>
                </c:pt>
                <c:pt idx="251">
                  <c:v>19.299999999999983</c:v>
                </c:pt>
                <c:pt idx="252">
                  <c:v>19.399999999999984</c:v>
                </c:pt>
                <c:pt idx="253">
                  <c:v>19.499999999999986</c:v>
                </c:pt>
                <c:pt idx="254">
                  <c:v>19.599999999999987</c:v>
                </c:pt>
                <c:pt idx="255">
                  <c:v>19.699999999999989</c:v>
                </c:pt>
                <c:pt idx="256">
                  <c:v>19.79999999999999</c:v>
                </c:pt>
                <c:pt idx="257">
                  <c:v>19.899999999999991</c:v>
                </c:pt>
                <c:pt idx="258">
                  <c:v>19.999999999999993</c:v>
                </c:pt>
                <c:pt idx="259">
                  <c:v>20.099999999999994</c:v>
                </c:pt>
                <c:pt idx="260">
                  <c:v>20.199999999999996</c:v>
                </c:pt>
                <c:pt idx="261">
                  <c:v>20.299999999999997</c:v>
                </c:pt>
                <c:pt idx="262">
                  <c:v>20.399999999999999</c:v>
                </c:pt>
                <c:pt idx="263">
                  <c:v>20.5</c:v>
                </c:pt>
                <c:pt idx="264">
                  <c:v>20.6</c:v>
                </c:pt>
                <c:pt idx="265">
                  <c:v>20.700000000000003</c:v>
                </c:pt>
                <c:pt idx="266">
                  <c:v>20.800000000000004</c:v>
                </c:pt>
                <c:pt idx="267">
                  <c:v>20.900000000000006</c:v>
                </c:pt>
                <c:pt idx="268">
                  <c:v>21.000000000000007</c:v>
                </c:pt>
                <c:pt idx="269">
                  <c:v>21.100000000000009</c:v>
                </c:pt>
                <c:pt idx="270">
                  <c:v>21.20000000000001</c:v>
                </c:pt>
                <c:pt idx="271">
                  <c:v>21.300000000000011</c:v>
                </c:pt>
                <c:pt idx="272">
                  <c:v>21.400000000000013</c:v>
                </c:pt>
                <c:pt idx="273">
                  <c:v>21.500000000000014</c:v>
                </c:pt>
                <c:pt idx="274">
                  <c:v>21.600000000000016</c:v>
                </c:pt>
                <c:pt idx="275">
                  <c:v>21.700000000000017</c:v>
                </c:pt>
                <c:pt idx="276">
                  <c:v>21.800000000000018</c:v>
                </c:pt>
                <c:pt idx="277">
                  <c:v>21.90000000000002</c:v>
                </c:pt>
                <c:pt idx="278">
                  <c:v>22.000000000000021</c:v>
                </c:pt>
                <c:pt idx="279">
                  <c:v>22.100000000000023</c:v>
                </c:pt>
                <c:pt idx="280">
                  <c:v>22.200000000000024</c:v>
                </c:pt>
                <c:pt idx="281">
                  <c:v>22.300000000000026</c:v>
                </c:pt>
                <c:pt idx="282">
                  <c:v>22.400000000000027</c:v>
                </c:pt>
                <c:pt idx="283">
                  <c:v>22.500000000000028</c:v>
                </c:pt>
                <c:pt idx="284">
                  <c:v>22.60000000000003</c:v>
                </c:pt>
                <c:pt idx="285">
                  <c:v>22.700000000000031</c:v>
                </c:pt>
                <c:pt idx="286">
                  <c:v>22.800000000000033</c:v>
                </c:pt>
                <c:pt idx="287">
                  <c:v>22.900000000000034</c:v>
                </c:pt>
                <c:pt idx="288">
                  <c:v>23.000000000000036</c:v>
                </c:pt>
                <c:pt idx="289">
                  <c:v>23.100000000000037</c:v>
                </c:pt>
                <c:pt idx="290">
                  <c:v>23.200000000000038</c:v>
                </c:pt>
                <c:pt idx="291">
                  <c:v>23.30000000000004</c:v>
                </c:pt>
                <c:pt idx="292">
                  <c:v>23.400000000000041</c:v>
                </c:pt>
                <c:pt idx="293">
                  <c:v>23.500000000000043</c:v>
                </c:pt>
                <c:pt idx="294">
                  <c:v>23.600000000000044</c:v>
                </c:pt>
                <c:pt idx="295">
                  <c:v>23.700000000000045</c:v>
                </c:pt>
                <c:pt idx="296">
                  <c:v>23.800000000000047</c:v>
                </c:pt>
                <c:pt idx="297">
                  <c:v>23.900000000000048</c:v>
                </c:pt>
                <c:pt idx="298">
                  <c:v>24.00000000000005</c:v>
                </c:pt>
                <c:pt idx="299">
                  <c:v>24.100000000000051</c:v>
                </c:pt>
                <c:pt idx="300">
                  <c:v>24.200000000000053</c:v>
                </c:pt>
                <c:pt idx="301">
                  <c:v>24.300000000000054</c:v>
                </c:pt>
                <c:pt idx="302">
                  <c:v>24.400000000000055</c:v>
                </c:pt>
                <c:pt idx="303">
                  <c:v>24.500000000000057</c:v>
                </c:pt>
                <c:pt idx="304">
                  <c:v>24.600000000000058</c:v>
                </c:pt>
                <c:pt idx="305">
                  <c:v>24.70000000000006</c:v>
                </c:pt>
                <c:pt idx="306">
                  <c:v>24.800000000000061</c:v>
                </c:pt>
                <c:pt idx="307">
                  <c:v>24.900000000000063</c:v>
                </c:pt>
                <c:pt idx="308">
                  <c:v>25.000000000000064</c:v>
                </c:pt>
                <c:pt idx="309">
                  <c:v>25.100000000000065</c:v>
                </c:pt>
                <c:pt idx="310">
                  <c:v>25.200000000000067</c:v>
                </c:pt>
                <c:pt idx="311">
                  <c:v>25.300000000000068</c:v>
                </c:pt>
                <c:pt idx="312">
                  <c:v>25.40000000000007</c:v>
                </c:pt>
                <c:pt idx="313">
                  <c:v>25.500000000000071</c:v>
                </c:pt>
                <c:pt idx="314">
                  <c:v>25.600000000000072</c:v>
                </c:pt>
                <c:pt idx="315">
                  <c:v>25.700000000000074</c:v>
                </c:pt>
                <c:pt idx="316">
                  <c:v>25.800000000000075</c:v>
                </c:pt>
                <c:pt idx="317">
                  <c:v>25.900000000000077</c:v>
                </c:pt>
                <c:pt idx="318">
                  <c:v>26.000000000000078</c:v>
                </c:pt>
                <c:pt idx="319">
                  <c:v>26.10000000000008</c:v>
                </c:pt>
                <c:pt idx="320">
                  <c:v>26.200000000000081</c:v>
                </c:pt>
                <c:pt idx="321">
                  <c:v>26.300000000000082</c:v>
                </c:pt>
                <c:pt idx="322">
                  <c:v>26.400000000000084</c:v>
                </c:pt>
                <c:pt idx="323">
                  <c:v>26.500000000000085</c:v>
                </c:pt>
                <c:pt idx="324">
                  <c:v>26.600000000000087</c:v>
                </c:pt>
                <c:pt idx="325">
                  <c:v>26.700000000000088</c:v>
                </c:pt>
                <c:pt idx="326">
                  <c:v>26.80000000000009</c:v>
                </c:pt>
                <c:pt idx="327">
                  <c:v>26.900000000000091</c:v>
                </c:pt>
                <c:pt idx="328">
                  <c:v>27.000000000000092</c:v>
                </c:pt>
                <c:pt idx="329">
                  <c:v>27.100000000000094</c:v>
                </c:pt>
                <c:pt idx="330">
                  <c:v>27.200000000000095</c:v>
                </c:pt>
                <c:pt idx="331">
                  <c:v>27.300000000000097</c:v>
                </c:pt>
                <c:pt idx="332">
                  <c:v>27.400000000000098</c:v>
                </c:pt>
                <c:pt idx="333">
                  <c:v>27.500000000000099</c:v>
                </c:pt>
                <c:pt idx="334">
                  <c:v>27.600000000000101</c:v>
                </c:pt>
                <c:pt idx="335">
                  <c:v>27.700000000000102</c:v>
                </c:pt>
                <c:pt idx="336">
                  <c:v>27.800000000000104</c:v>
                </c:pt>
                <c:pt idx="337">
                  <c:v>27.900000000000105</c:v>
                </c:pt>
                <c:pt idx="338">
                  <c:v>28.000000000000107</c:v>
                </c:pt>
                <c:pt idx="339">
                  <c:v>28.100000000000108</c:v>
                </c:pt>
                <c:pt idx="340">
                  <c:v>28.200000000000109</c:v>
                </c:pt>
                <c:pt idx="341">
                  <c:v>28.300000000000111</c:v>
                </c:pt>
                <c:pt idx="342">
                  <c:v>28.400000000000112</c:v>
                </c:pt>
                <c:pt idx="343">
                  <c:v>28.500000000000114</c:v>
                </c:pt>
                <c:pt idx="344">
                  <c:v>28.600000000000115</c:v>
                </c:pt>
                <c:pt idx="345">
                  <c:v>28.700000000000117</c:v>
                </c:pt>
                <c:pt idx="346">
                  <c:v>28.800000000000118</c:v>
                </c:pt>
                <c:pt idx="347">
                  <c:v>28.900000000000119</c:v>
                </c:pt>
                <c:pt idx="348">
                  <c:v>29.000000000000121</c:v>
                </c:pt>
                <c:pt idx="349">
                  <c:v>29.100000000000122</c:v>
                </c:pt>
                <c:pt idx="350">
                  <c:v>29.200000000000124</c:v>
                </c:pt>
                <c:pt idx="351">
                  <c:v>29.300000000000125</c:v>
                </c:pt>
                <c:pt idx="352">
                  <c:v>29.400000000000126</c:v>
                </c:pt>
                <c:pt idx="353">
                  <c:v>29.500000000000128</c:v>
                </c:pt>
                <c:pt idx="354">
                  <c:v>29.600000000000129</c:v>
                </c:pt>
                <c:pt idx="355">
                  <c:v>29.700000000000131</c:v>
                </c:pt>
                <c:pt idx="356">
                  <c:v>29.800000000000132</c:v>
                </c:pt>
                <c:pt idx="357">
                  <c:v>29.900000000000134</c:v>
                </c:pt>
                <c:pt idx="358">
                  <c:v>30.000000000000135</c:v>
                </c:pt>
                <c:pt idx="359">
                  <c:v>30.100000000000136</c:v>
                </c:pt>
                <c:pt idx="360">
                  <c:v>30.200000000000138</c:v>
                </c:pt>
                <c:pt idx="361">
                  <c:v>30.300000000000139</c:v>
                </c:pt>
                <c:pt idx="362">
                  <c:v>30.400000000000141</c:v>
                </c:pt>
                <c:pt idx="363">
                  <c:v>30.500000000000142</c:v>
                </c:pt>
                <c:pt idx="364">
                  <c:v>30.600000000000144</c:v>
                </c:pt>
                <c:pt idx="365">
                  <c:v>30.700000000000145</c:v>
                </c:pt>
                <c:pt idx="366">
                  <c:v>30.800000000000146</c:v>
                </c:pt>
                <c:pt idx="367">
                  <c:v>30.900000000000148</c:v>
                </c:pt>
                <c:pt idx="368">
                  <c:v>31.000000000000149</c:v>
                </c:pt>
                <c:pt idx="369">
                  <c:v>31.100000000000151</c:v>
                </c:pt>
                <c:pt idx="370">
                  <c:v>31.200000000000152</c:v>
                </c:pt>
                <c:pt idx="371">
                  <c:v>31.300000000000153</c:v>
                </c:pt>
                <c:pt idx="372">
                  <c:v>31.400000000000155</c:v>
                </c:pt>
                <c:pt idx="373">
                  <c:v>31.500000000000156</c:v>
                </c:pt>
                <c:pt idx="374">
                  <c:v>31.600000000000158</c:v>
                </c:pt>
                <c:pt idx="375">
                  <c:v>31.700000000000159</c:v>
                </c:pt>
                <c:pt idx="376">
                  <c:v>31.800000000000161</c:v>
                </c:pt>
                <c:pt idx="377">
                  <c:v>31.900000000000162</c:v>
                </c:pt>
                <c:pt idx="378">
                  <c:v>32.000000000000163</c:v>
                </c:pt>
                <c:pt idx="379">
                  <c:v>32.100000000000165</c:v>
                </c:pt>
                <c:pt idx="380">
                  <c:v>32.200000000000166</c:v>
                </c:pt>
                <c:pt idx="381">
                  <c:v>32.300000000000168</c:v>
                </c:pt>
                <c:pt idx="382">
                  <c:v>32.400000000000169</c:v>
                </c:pt>
                <c:pt idx="383">
                  <c:v>32.500000000000171</c:v>
                </c:pt>
                <c:pt idx="384">
                  <c:v>32.500100000000174</c:v>
                </c:pt>
                <c:pt idx="385">
                  <c:v>32.500200000000177</c:v>
                </c:pt>
                <c:pt idx="386">
                  <c:v>32.50030000000018</c:v>
                </c:pt>
                <c:pt idx="387">
                  <c:v>32.500400000000184</c:v>
                </c:pt>
                <c:pt idx="388">
                  <c:v>32.500500000000187</c:v>
                </c:pt>
                <c:pt idx="389">
                  <c:v>32.50060000000019</c:v>
                </c:pt>
                <c:pt idx="390">
                  <c:v>32.500700000000194</c:v>
                </c:pt>
                <c:pt idx="391">
                  <c:v>32.500800000000197</c:v>
                </c:pt>
                <c:pt idx="392">
                  <c:v>32.5009000000002</c:v>
                </c:pt>
                <c:pt idx="393">
                  <c:v>32.501000000000204</c:v>
                </c:pt>
                <c:pt idx="394">
                  <c:v>32.501100000000207</c:v>
                </c:pt>
                <c:pt idx="395">
                  <c:v>32.50120000000021</c:v>
                </c:pt>
                <c:pt idx="396">
                  <c:v>32.501300000000214</c:v>
                </c:pt>
                <c:pt idx="397">
                  <c:v>32.501400000000217</c:v>
                </c:pt>
                <c:pt idx="398">
                  <c:v>32.50150000000022</c:v>
                </c:pt>
                <c:pt idx="399">
                  <c:v>32.501600000000224</c:v>
                </c:pt>
                <c:pt idx="400">
                  <c:v>32.501700000000227</c:v>
                </c:pt>
                <c:pt idx="401">
                  <c:v>32.50180000000023</c:v>
                </c:pt>
                <c:pt idx="402">
                  <c:v>32.501900000000234</c:v>
                </c:pt>
                <c:pt idx="403">
                  <c:v>32.502000000000237</c:v>
                </c:pt>
                <c:pt idx="404">
                  <c:v>32.50210000000024</c:v>
                </c:pt>
                <c:pt idx="405">
                  <c:v>32.502200000000244</c:v>
                </c:pt>
                <c:pt idx="406">
                  <c:v>32.502300000000247</c:v>
                </c:pt>
                <c:pt idx="407">
                  <c:v>32.50240000000025</c:v>
                </c:pt>
                <c:pt idx="408">
                  <c:v>32.502500000000254</c:v>
                </c:pt>
                <c:pt idx="409">
                  <c:v>32.502600000000257</c:v>
                </c:pt>
                <c:pt idx="410">
                  <c:v>32.50270000000026</c:v>
                </c:pt>
                <c:pt idx="411">
                  <c:v>32.502800000000263</c:v>
                </c:pt>
                <c:pt idx="412">
                  <c:v>32.502900000000267</c:v>
                </c:pt>
                <c:pt idx="413">
                  <c:v>32.50300000000027</c:v>
                </c:pt>
                <c:pt idx="414">
                  <c:v>32.503100000000273</c:v>
                </c:pt>
                <c:pt idx="415">
                  <c:v>32.503200000000277</c:v>
                </c:pt>
                <c:pt idx="416">
                  <c:v>32.50330000000028</c:v>
                </c:pt>
                <c:pt idx="417">
                  <c:v>32.503400000000283</c:v>
                </c:pt>
                <c:pt idx="418">
                  <c:v>32.503500000000287</c:v>
                </c:pt>
                <c:pt idx="419">
                  <c:v>32.50360000000029</c:v>
                </c:pt>
                <c:pt idx="420">
                  <c:v>32.503700000000293</c:v>
                </c:pt>
                <c:pt idx="421">
                  <c:v>32.503800000000297</c:v>
                </c:pt>
                <c:pt idx="422">
                  <c:v>32.5039000000003</c:v>
                </c:pt>
                <c:pt idx="423">
                  <c:v>32.504000000000303</c:v>
                </c:pt>
                <c:pt idx="424">
                  <c:v>32.504100000000307</c:v>
                </c:pt>
                <c:pt idx="425">
                  <c:v>32.50420000000031</c:v>
                </c:pt>
                <c:pt idx="426">
                  <c:v>32.504300000000313</c:v>
                </c:pt>
                <c:pt idx="427">
                  <c:v>32.504400000000317</c:v>
                </c:pt>
                <c:pt idx="428">
                  <c:v>32.50450000000032</c:v>
                </c:pt>
                <c:pt idx="429">
                  <c:v>32.504600000000323</c:v>
                </c:pt>
                <c:pt idx="430">
                  <c:v>32.504700000000327</c:v>
                </c:pt>
                <c:pt idx="431">
                  <c:v>32.50480000000033</c:v>
                </c:pt>
                <c:pt idx="432">
                  <c:v>32.504900000000333</c:v>
                </c:pt>
                <c:pt idx="433">
                  <c:v>32.505000000000337</c:v>
                </c:pt>
                <c:pt idx="434">
                  <c:v>32.50510000000034</c:v>
                </c:pt>
                <c:pt idx="435">
                  <c:v>32.505200000000343</c:v>
                </c:pt>
                <c:pt idx="436">
                  <c:v>32.505300000000346</c:v>
                </c:pt>
                <c:pt idx="437">
                  <c:v>32.50540000000035</c:v>
                </c:pt>
                <c:pt idx="438">
                  <c:v>32.505500000000353</c:v>
                </c:pt>
                <c:pt idx="439">
                  <c:v>32.505600000000356</c:v>
                </c:pt>
                <c:pt idx="440">
                  <c:v>32.50570000000036</c:v>
                </c:pt>
                <c:pt idx="441">
                  <c:v>32.505800000000363</c:v>
                </c:pt>
                <c:pt idx="442">
                  <c:v>32.505900000000366</c:v>
                </c:pt>
                <c:pt idx="443">
                  <c:v>32.50600000000037</c:v>
                </c:pt>
                <c:pt idx="444">
                  <c:v>32.506100000000373</c:v>
                </c:pt>
                <c:pt idx="445">
                  <c:v>32.506200000000376</c:v>
                </c:pt>
                <c:pt idx="446">
                  <c:v>32.50630000000038</c:v>
                </c:pt>
                <c:pt idx="447">
                  <c:v>32.506400000000383</c:v>
                </c:pt>
                <c:pt idx="448">
                  <c:v>32.506500000000386</c:v>
                </c:pt>
                <c:pt idx="449">
                  <c:v>32.50660000000039</c:v>
                </c:pt>
                <c:pt idx="450">
                  <c:v>32.506700000000393</c:v>
                </c:pt>
                <c:pt idx="451">
                  <c:v>32.506800000000396</c:v>
                </c:pt>
                <c:pt idx="452">
                  <c:v>32.5069000000004</c:v>
                </c:pt>
                <c:pt idx="453">
                  <c:v>32.507000000000403</c:v>
                </c:pt>
                <c:pt idx="454">
                  <c:v>32.507100000000406</c:v>
                </c:pt>
                <c:pt idx="455">
                  <c:v>32.50720000000041</c:v>
                </c:pt>
                <c:pt idx="456">
                  <c:v>32.507300000000413</c:v>
                </c:pt>
                <c:pt idx="457">
                  <c:v>32.507400000000416</c:v>
                </c:pt>
                <c:pt idx="458">
                  <c:v>32.50750000000042</c:v>
                </c:pt>
                <c:pt idx="459">
                  <c:v>32.507600000000423</c:v>
                </c:pt>
                <c:pt idx="460">
                  <c:v>32.507700000000426</c:v>
                </c:pt>
                <c:pt idx="461">
                  <c:v>32.507800000000429</c:v>
                </c:pt>
                <c:pt idx="462">
                  <c:v>32.507900000000433</c:v>
                </c:pt>
                <c:pt idx="463">
                  <c:v>32.508000000000436</c:v>
                </c:pt>
                <c:pt idx="464">
                  <c:v>32.508100000000439</c:v>
                </c:pt>
                <c:pt idx="465">
                  <c:v>32.508200000000443</c:v>
                </c:pt>
                <c:pt idx="466">
                  <c:v>32.508300000000446</c:v>
                </c:pt>
                <c:pt idx="467">
                  <c:v>32.508400000000449</c:v>
                </c:pt>
                <c:pt idx="468">
                  <c:v>32.508500000000453</c:v>
                </c:pt>
                <c:pt idx="469">
                  <c:v>32.508600000000456</c:v>
                </c:pt>
                <c:pt idx="470">
                  <c:v>32.508700000000459</c:v>
                </c:pt>
                <c:pt idx="471">
                  <c:v>32.508800000000463</c:v>
                </c:pt>
                <c:pt idx="472">
                  <c:v>32.508900000000466</c:v>
                </c:pt>
                <c:pt idx="473">
                  <c:v>32.509000000000469</c:v>
                </c:pt>
                <c:pt idx="474">
                  <c:v>32.509100000000473</c:v>
                </c:pt>
                <c:pt idx="475">
                  <c:v>32.509200000000476</c:v>
                </c:pt>
                <c:pt idx="476">
                  <c:v>32.509300000000479</c:v>
                </c:pt>
                <c:pt idx="477">
                  <c:v>32.509400000000483</c:v>
                </c:pt>
                <c:pt idx="478">
                  <c:v>32.509500000000486</c:v>
                </c:pt>
                <c:pt idx="479">
                  <c:v>32.509600000000489</c:v>
                </c:pt>
                <c:pt idx="480">
                  <c:v>32.509700000000493</c:v>
                </c:pt>
                <c:pt idx="481">
                  <c:v>32.509800000000496</c:v>
                </c:pt>
                <c:pt idx="482">
                  <c:v>32.509900000000499</c:v>
                </c:pt>
                <c:pt idx="483">
                  <c:v>32.510000000000502</c:v>
                </c:pt>
                <c:pt idx="484">
                  <c:v>32.510100000000506</c:v>
                </c:pt>
                <c:pt idx="485">
                  <c:v>32.510200000000509</c:v>
                </c:pt>
                <c:pt idx="486">
                  <c:v>32.510300000000512</c:v>
                </c:pt>
                <c:pt idx="487">
                  <c:v>32.510400000000516</c:v>
                </c:pt>
                <c:pt idx="488">
                  <c:v>32.510500000000519</c:v>
                </c:pt>
                <c:pt idx="489">
                  <c:v>32.510600000000522</c:v>
                </c:pt>
                <c:pt idx="490">
                  <c:v>32.510700000000526</c:v>
                </c:pt>
                <c:pt idx="491">
                  <c:v>32.510800000000529</c:v>
                </c:pt>
                <c:pt idx="492">
                  <c:v>32.510900000000532</c:v>
                </c:pt>
                <c:pt idx="493">
                  <c:v>32.511000000000536</c:v>
                </c:pt>
                <c:pt idx="494">
                  <c:v>32.511100000000539</c:v>
                </c:pt>
                <c:pt idx="495">
                  <c:v>32.511200000000542</c:v>
                </c:pt>
                <c:pt idx="496">
                  <c:v>32.511300000000546</c:v>
                </c:pt>
                <c:pt idx="497">
                  <c:v>32.511400000000549</c:v>
                </c:pt>
                <c:pt idx="498">
                  <c:v>32.511500000000552</c:v>
                </c:pt>
                <c:pt idx="499">
                  <c:v>32.511600000000556</c:v>
                </c:pt>
                <c:pt idx="500">
                  <c:v>32.511700000000559</c:v>
                </c:pt>
                <c:pt idx="501">
                  <c:v>32.511800000000562</c:v>
                </c:pt>
                <c:pt idx="502">
                  <c:v>32.511900000000566</c:v>
                </c:pt>
                <c:pt idx="503">
                  <c:v>32.512000000000569</c:v>
                </c:pt>
                <c:pt idx="504">
                  <c:v>32.512100000000572</c:v>
                </c:pt>
                <c:pt idx="505">
                  <c:v>32.512200000000576</c:v>
                </c:pt>
                <c:pt idx="506">
                  <c:v>32.512300000000579</c:v>
                </c:pt>
                <c:pt idx="507">
                  <c:v>32.512400000000582</c:v>
                </c:pt>
                <c:pt idx="508">
                  <c:v>32.512500000000585</c:v>
                </c:pt>
                <c:pt idx="509">
                  <c:v>32.512600000000589</c:v>
                </c:pt>
                <c:pt idx="510">
                  <c:v>32.512700000000592</c:v>
                </c:pt>
                <c:pt idx="511">
                  <c:v>32.512800000000595</c:v>
                </c:pt>
                <c:pt idx="512">
                  <c:v>32.512900000000599</c:v>
                </c:pt>
                <c:pt idx="513">
                  <c:v>32.513000000000602</c:v>
                </c:pt>
                <c:pt idx="514">
                  <c:v>32.513100000000605</c:v>
                </c:pt>
                <c:pt idx="515">
                  <c:v>32.513200000000609</c:v>
                </c:pt>
                <c:pt idx="516">
                  <c:v>32.513300000000612</c:v>
                </c:pt>
                <c:pt idx="517">
                  <c:v>32.513400000000615</c:v>
                </c:pt>
                <c:pt idx="518">
                  <c:v>32.513500000000619</c:v>
                </c:pt>
                <c:pt idx="519">
                  <c:v>32.513600000000622</c:v>
                </c:pt>
                <c:pt idx="520">
                  <c:v>32.513700000000625</c:v>
                </c:pt>
                <c:pt idx="521">
                  <c:v>32.513800000000629</c:v>
                </c:pt>
                <c:pt idx="522">
                  <c:v>32.513900000000632</c:v>
                </c:pt>
                <c:pt idx="523">
                  <c:v>32.514000000000635</c:v>
                </c:pt>
                <c:pt idx="524">
                  <c:v>32.514100000000639</c:v>
                </c:pt>
                <c:pt idx="525">
                  <c:v>32.514200000000642</c:v>
                </c:pt>
                <c:pt idx="526">
                  <c:v>32.514300000000645</c:v>
                </c:pt>
                <c:pt idx="527">
                  <c:v>32.514400000000649</c:v>
                </c:pt>
                <c:pt idx="528">
                  <c:v>32.514500000000652</c:v>
                </c:pt>
                <c:pt idx="529">
                  <c:v>32.514600000000655</c:v>
                </c:pt>
                <c:pt idx="530">
                  <c:v>32.514700000000659</c:v>
                </c:pt>
                <c:pt idx="531">
                  <c:v>32.514800000000662</c:v>
                </c:pt>
                <c:pt idx="532">
                  <c:v>32.514900000000665</c:v>
                </c:pt>
                <c:pt idx="533">
                  <c:v>32.515000000000668</c:v>
                </c:pt>
                <c:pt idx="534">
                  <c:v>32.515100000000672</c:v>
                </c:pt>
                <c:pt idx="535">
                  <c:v>32.515200000000675</c:v>
                </c:pt>
                <c:pt idx="536">
                  <c:v>32.515300000000678</c:v>
                </c:pt>
                <c:pt idx="537">
                  <c:v>32.515400000000682</c:v>
                </c:pt>
                <c:pt idx="538">
                  <c:v>32.515500000000685</c:v>
                </c:pt>
                <c:pt idx="539">
                  <c:v>32.515600000000688</c:v>
                </c:pt>
                <c:pt idx="540">
                  <c:v>32.515700000000692</c:v>
                </c:pt>
                <c:pt idx="541">
                  <c:v>32.515800000000695</c:v>
                </c:pt>
                <c:pt idx="542">
                  <c:v>32.515900000000698</c:v>
                </c:pt>
                <c:pt idx="543">
                  <c:v>32.516000000000702</c:v>
                </c:pt>
                <c:pt idx="544">
                  <c:v>32.516100000000705</c:v>
                </c:pt>
                <c:pt idx="545">
                  <c:v>32.516200000000708</c:v>
                </c:pt>
                <c:pt idx="546">
                  <c:v>32.516300000000712</c:v>
                </c:pt>
                <c:pt idx="547">
                  <c:v>32.516400000000715</c:v>
                </c:pt>
                <c:pt idx="548">
                  <c:v>32.516500000000718</c:v>
                </c:pt>
                <c:pt idx="549">
                  <c:v>32.516600000000722</c:v>
                </c:pt>
                <c:pt idx="550">
                  <c:v>32.516700000000725</c:v>
                </c:pt>
                <c:pt idx="551">
                  <c:v>32.516800000000728</c:v>
                </c:pt>
                <c:pt idx="552">
                  <c:v>32.516900000000732</c:v>
                </c:pt>
                <c:pt idx="553">
                  <c:v>32.517000000000735</c:v>
                </c:pt>
                <c:pt idx="554">
                  <c:v>32.517100000000738</c:v>
                </c:pt>
                <c:pt idx="555">
                  <c:v>32.517200000000742</c:v>
                </c:pt>
                <c:pt idx="556">
                  <c:v>32.517300000000745</c:v>
                </c:pt>
                <c:pt idx="557">
                  <c:v>32.517400000000748</c:v>
                </c:pt>
                <c:pt idx="558">
                  <c:v>32.517500000000751</c:v>
                </c:pt>
                <c:pt idx="559">
                  <c:v>32.517600000000755</c:v>
                </c:pt>
                <c:pt idx="560">
                  <c:v>32.517700000000758</c:v>
                </c:pt>
                <c:pt idx="561">
                  <c:v>32.517800000000761</c:v>
                </c:pt>
                <c:pt idx="562">
                  <c:v>32.517900000000765</c:v>
                </c:pt>
                <c:pt idx="563">
                  <c:v>32.518000000000768</c:v>
                </c:pt>
                <c:pt idx="564">
                  <c:v>32.518100000000771</c:v>
                </c:pt>
                <c:pt idx="565">
                  <c:v>32.518200000000775</c:v>
                </c:pt>
                <c:pt idx="566">
                  <c:v>32.518300000000778</c:v>
                </c:pt>
                <c:pt idx="567">
                  <c:v>32.518400000000781</c:v>
                </c:pt>
                <c:pt idx="568">
                  <c:v>32.518500000000785</c:v>
                </c:pt>
                <c:pt idx="569">
                  <c:v>32.518600000000788</c:v>
                </c:pt>
                <c:pt idx="570">
                  <c:v>32.518700000000791</c:v>
                </c:pt>
                <c:pt idx="571">
                  <c:v>32.518800000000795</c:v>
                </c:pt>
                <c:pt idx="572">
                  <c:v>32.518900000000798</c:v>
                </c:pt>
                <c:pt idx="573">
                  <c:v>32.519000000000801</c:v>
                </c:pt>
                <c:pt idx="574">
                  <c:v>32.519100000000805</c:v>
                </c:pt>
                <c:pt idx="575">
                  <c:v>32.519200000000808</c:v>
                </c:pt>
                <c:pt idx="576">
                  <c:v>32.519300000000811</c:v>
                </c:pt>
                <c:pt idx="577">
                  <c:v>32.519400000000815</c:v>
                </c:pt>
                <c:pt idx="578">
                  <c:v>32.519500000000818</c:v>
                </c:pt>
                <c:pt idx="579">
                  <c:v>32.519600000000821</c:v>
                </c:pt>
                <c:pt idx="580">
                  <c:v>32.519700000000825</c:v>
                </c:pt>
                <c:pt idx="581">
                  <c:v>32.519800000000828</c:v>
                </c:pt>
                <c:pt idx="582">
                  <c:v>32.519900000000831</c:v>
                </c:pt>
                <c:pt idx="583">
                  <c:v>32.520000000000834</c:v>
                </c:pt>
                <c:pt idx="584">
                  <c:v>32.520100000000838</c:v>
                </c:pt>
                <c:pt idx="585">
                  <c:v>32.520200000000841</c:v>
                </c:pt>
                <c:pt idx="586">
                  <c:v>32.520300000000844</c:v>
                </c:pt>
                <c:pt idx="587">
                  <c:v>32.520400000000848</c:v>
                </c:pt>
                <c:pt idx="588">
                  <c:v>32.520500000000851</c:v>
                </c:pt>
                <c:pt idx="589">
                  <c:v>32.520600000000854</c:v>
                </c:pt>
                <c:pt idx="590">
                  <c:v>32.520700000000858</c:v>
                </c:pt>
                <c:pt idx="591">
                  <c:v>32.520800000000861</c:v>
                </c:pt>
                <c:pt idx="592">
                  <c:v>32.520900000000864</c:v>
                </c:pt>
                <c:pt idx="593">
                  <c:v>32.521000000000868</c:v>
                </c:pt>
                <c:pt idx="594">
                  <c:v>32.521100000000871</c:v>
                </c:pt>
                <c:pt idx="595">
                  <c:v>32.521200000000874</c:v>
                </c:pt>
                <c:pt idx="596">
                  <c:v>32.521300000000878</c:v>
                </c:pt>
                <c:pt idx="597">
                  <c:v>32.521400000000881</c:v>
                </c:pt>
                <c:pt idx="598">
                  <c:v>32.521500000000884</c:v>
                </c:pt>
                <c:pt idx="599">
                  <c:v>32.521600000000888</c:v>
                </c:pt>
                <c:pt idx="600">
                  <c:v>32.521700000000891</c:v>
                </c:pt>
                <c:pt idx="601">
                  <c:v>32.521800000000894</c:v>
                </c:pt>
                <c:pt idx="602">
                  <c:v>32.521900000000898</c:v>
                </c:pt>
                <c:pt idx="603">
                  <c:v>32.522000000000901</c:v>
                </c:pt>
                <c:pt idx="604">
                  <c:v>32.522100000000904</c:v>
                </c:pt>
                <c:pt idx="605">
                  <c:v>32.522200000000907</c:v>
                </c:pt>
                <c:pt idx="606">
                  <c:v>32.522300000000911</c:v>
                </c:pt>
                <c:pt idx="607">
                  <c:v>32.522400000000914</c:v>
                </c:pt>
                <c:pt idx="608">
                  <c:v>32.522500000000917</c:v>
                </c:pt>
                <c:pt idx="609">
                  <c:v>32.522600000000921</c:v>
                </c:pt>
                <c:pt idx="610">
                  <c:v>32.522700000000924</c:v>
                </c:pt>
                <c:pt idx="611">
                  <c:v>32.522800000000927</c:v>
                </c:pt>
                <c:pt idx="612">
                  <c:v>32.522900000000931</c:v>
                </c:pt>
                <c:pt idx="613">
                  <c:v>32.523000000000934</c:v>
                </c:pt>
                <c:pt idx="614">
                  <c:v>32.523100000000937</c:v>
                </c:pt>
                <c:pt idx="615">
                  <c:v>32.523200000000941</c:v>
                </c:pt>
                <c:pt idx="616">
                  <c:v>32.523300000000944</c:v>
                </c:pt>
                <c:pt idx="617">
                  <c:v>32.523400000000947</c:v>
                </c:pt>
                <c:pt idx="618">
                  <c:v>32.523500000000951</c:v>
                </c:pt>
                <c:pt idx="619">
                  <c:v>32.523600000000954</c:v>
                </c:pt>
                <c:pt idx="620">
                  <c:v>32.523700000000957</c:v>
                </c:pt>
                <c:pt idx="621">
                  <c:v>32.523800000000961</c:v>
                </c:pt>
                <c:pt idx="622">
                  <c:v>32.523900000000964</c:v>
                </c:pt>
                <c:pt idx="623">
                  <c:v>32.524000000000967</c:v>
                </c:pt>
                <c:pt idx="624">
                  <c:v>32.524100000000971</c:v>
                </c:pt>
                <c:pt idx="625">
                  <c:v>32.524200000000974</c:v>
                </c:pt>
                <c:pt idx="626">
                  <c:v>32.524300000000977</c:v>
                </c:pt>
                <c:pt idx="627">
                  <c:v>32.524400000000981</c:v>
                </c:pt>
                <c:pt idx="628">
                  <c:v>32.524500000000984</c:v>
                </c:pt>
                <c:pt idx="629">
                  <c:v>32.524600000000987</c:v>
                </c:pt>
                <c:pt idx="630">
                  <c:v>32.52470000000099</c:v>
                </c:pt>
                <c:pt idx="631">
                  <c:v>32.524800000000994</c:v>
                </c:pt>
                <c:pt idx="632">
                  <c:v>32.524900000000997</c:v>
                </c:pt>
                <c:pt idx="633">
                  <c:v>32.525000000001</c:v>
                </c:pt>
                <c:pt idx="634">
                  <c:v>32.525100000001004</c:v>
                </c:pt>
                <c:pt idx="635">
                  <c:v>32.525200000001007</c:v>
                </c:pt>
                <c:pt idx="636">
                  <c:v>32.52530000000101</c:v>
                </c:pt>
                <c:pt idx="637">
                  <c:v>32.525400000001014</c:v>
                </c:pt>
                <c:pt idx="638">
                  <c:v>32.525500000001017</c:v>
                </c:pt>
                <c:pt idx="639">
                  <c:v>32.52560000000102</c:v>
                </c:pt>
                <c:pt idx="640">
                  <c:v>32.525700000001024</c:v>
                </c:pt>
                <c:pt idx="641">
                  <c:v>32.525800000001027</c:v>
                </c:pt>
                <c:pt idx="642">
                  <c:v>32.52590000000103</c:v>
                </c:pt>
                <c:pt idx="643">
                  <c:v>32.526000000001034</c:v>
                </c:pt>
                <c:pt idx="644">
                  <c:v>32.526100000001037</c:v>
                </c:pt>
                <c:pt idx="645">
                  <c:v>32.52620000000104</c:v>
                </c:pt>
                <c:pt idx="646">
                  <c:v>32.526300000001044</c:v>
                </c:pt>
                <c:pt idx="647">
                  <c:v>32.526400000001047</c:v>
                </c:pt>
                <c:pt idx="648">
                  <c:v>32.52650000000105</c:v>
                </c:pt>
                <c:pt idx="649">
                  <c:v>32.526600000001054</c:v>
                </c:pt>
                <c:pt idx="650">
                  <c:v>32.526700000001057</c:v>
                </c:pt>
                <c:pt idx="651">
                  <c:v>32.52680000000106</c:v>
                </c:pt>
                <c:pt idx="652">
                  <c:v>32.526900000001064</c:v>
                </c:pt>
                <c:pt idx="653">
                  <c:v>32.527000000001067</c:v>
                </c:pt>
                <c:pt idx="654">
                  <c:v>32.52710000000107</c:v>
                </c:pt>
                <c:pt idx="655">
                  <c:v>32.527200000001073</c:v>
                </c:pt>
                <c:pt idx="656">
                  <c:v>32.527300000001077</c:v>
                </c:pt>
                <c:pt idx="657">
                  <c:v>32.52740000000108</c:v>
                </c:pt>
                <c:pt idx="658">
                  <c:v>32.527500000001083</c:v>
                </c:pt>
                <c:pt idx="659">
                  <c:v>32.527600000001087</c:v>
                </c:pt>
                <c:pt idx="660">
                  <c:v>32.52770000000109</c:v>
                </c:pt>
                <c:pt idx="661">
                  <c:v>32.527800000001093</c:v>
                </c:pt>
                <c:pt idx="662">
                  <c:v>32.527900000001097</c:v>
                </c:pt>
                <c:pt idx="663">
                  <c:v>32.5280000000011</c:v>
                </c:pt>
                <c:pt idx="664">
                  <c:v>32.528100000001103</c:v>
                </c:pt>
                <c:pt idx="665">
                  <c:v>32.528200000001107</c:v>
                </c:pt>
                <c:pt idx="666">
                  <c:v>32.52830000000111</c:v>
                </c:pt>
                <c:pt idx="667">
                  <c:v>32.528400000001113</c:v>
                </c:pt>
                <c:pt idx="668">
                  <c:v>32.528500000001117</c:v>
                </c:pt>
                <c:pt idx="669">
                  <c:v>32.52860000000112</c:v>
                </c:pt>
                <c:pt idx="670">
                  <c:v>32.528700000001123</c:v>
                </c:pt>
                <c:pt idx="671">
                  <c:v>32.528800000001127</c:v>
                </c:pt>
                <c:pt idx="672">
                  <c:v>32.52890000000113</c:v>
                </c:pt>
                <c:pt idx="673">
                  <c:v>32.529000000001133</c:v>
                </c:pt>
                <c:pt idx="674">
                  <c:v>32.529100000001137</c:v>
                </c:pt>
                <c:pt idx="675">
                  <c:v>32.52920000000114</c:v>
                </c:pt>
                <c:pt idx="676">
                  <c:v>32.529300000001143</c:v>
                </c:pt>
                <c:pt idx="677">
                  <c:v>32.529400000001147</c:v>
                </c:pt>
                <c:pt idx="678">
                  <c:v>32.52950000000115</c:v>
                </c:pt>
                <c:pt idx="679">
                  <c:v>32.529600000001153</c:v>
                </c:pt>
                <c:pt idx="680">
                  <c:v>32.529700000001156</c:v>
                </c:pt>
                <c:pt idx="681">
                  <c:v>32.52980000000116</c:v>
                </c:pt>
                <c:pt idx="682">
                  <c:v>32.529900000001163</c:v>
                </c:pt>
                <c:pt idx="683">
                  <c:v>32.530000000001166</c:v>
                </c:pt>
                <c:pt idx="684">
                  <c:v>32.53010000000117</c:v>
                </c:pt>
                <c:pt idx="685">
                  <c:v>32.530200000001173</c:v>
                </c:pt>
                <c:pt idx="686">
                  <c:v>32.530300000001176</c:v>
                </c:pt>
                <c:pt idx="687">
                  <c:v>32.53040000000118</c:v>
                </c:pt>
                <c:pt idx="688">
                  <c:v>32.530500000001183</c:v>
                </c:pt>
                <c:pt idx="689">
                  <c:v>32.530600000001186</c:v>
                </c:pt>
                <c:pt idx="690">
                  <c:v>32.53070000000119</c:v>
                </c:pt>
                <c:pt idx="691">
                  <c:v>32.530800000001193</c:v>
                </c:pt>
                <c:pt idx="692">
                  <c:v>32.530900000001196</c:v>
                </c:pt>
                <c:pt idx="693">
                  <c:v>32.5310000000012</c:v>
                </c:pt>
                <c:pt idx="694">
                  <c:v>32.531100000001203</c:v>
                </c:pt>
                <c:pt idx="695">
                  <c:v>32.531200000001206</c:v>
                </c:pt>
                <c:pt idx="696">
                  <c:v>32.53130000000121</c:v>
                </c:pt>
                <c:pt idx="697">
                  <c:v>32.531400000001213</c:v>
                </c:pt>
                <c:pt idx="698">
                  <c:v>32.531500000001216</c:v>
                </c:pt>
                <c:pt idx="699">
                  <c:v>32.53160000000122</c:v>
                </c:pt>
                <c:pt idx="700">
                  <c:v>32.531700000001223</c:v>
                </c:pt>
                <c:pt idx="701">
                  <c:v>32.531800000001226</c:v>
                </c:pt>
                <c:pt idx="702">
                  <c:v>32.53190000000123</c:v>
                </c:pt>
                <c:pt idx="703">
                  <c:v>32.532000000001233</c:v>
                </c:pt>
                <c:pt idx="704">
                  <c:v>32.532100000001236</c:v>
                </c:pt>
                <c:pt idx="705">
                  <c:v>32.532200000001239</c:v>
                </c:pt>
                <c:pt idx="706">
                  <c:v>32.532300000001243</c:v>
                </c:pt>
                <c:pt idx="707">
                  <c:v>32.532400000001246</c:v>
                </c:pt>
                <c:pt idx="708">
                  <c:v>32.532500000001249</c:v>
                </c:pt>
                <c:pt idx="709">
                  <c:v>32.532600000001253</c:v>
                </c:pt>
                <c:pt idx="710">
                  <c:v>32.532700000001256</c:v>
                </c:pt>
                <c:pt idx="711">
                  <c:v>32.532800000001259</c:v>
                </c:pt>
                <c:pt idx="712">
                  <c:v>32.532900000001263</c:v>
                </c:pt>
                <c:pt idx="713">
                  <c:v>32.533000000001266</c:v>
                </c:pt>
                <c:pt idx="714">
                  <c:v>32.533100000001269</c:v>
                </c:pt>
                <c:pt idx="715">
                  <c:v>32.533200000001273</c:v>
                </c:pt>
                <c:pt idx="716">
                  <c:v>32.533300000001276</c:v>
                </c:pt>
                <c:pt idx="717">
                  <c:v>32.533400000001279</c:v>
                </c:pt>
                <c:pt idx="718">
                  <c:v>32.533500000001283</c:v>
                </c:pt>
                <c:pt idx="719">
                  <c:v>32.533600000001286</c:v>
                </c:pt>
                <c:pt idx="720">
                  <c:v>32.533700000001289</c:v>
                </c:pt>
                <c:pt idx="721">
                  <c:v>32.533800000001293</c:v>
                </c:pt>
                <c:pt idx="722">
                  <c:v>32.533900000001296</c:v>
                </c:pt>
                <c:pt idx="723">
                  <c:v>32.534000000001299</c:v>
                </c:pt>
                <c:pt idx="724">
                  <c:v>32.534100000001303</c:v>
                </c:pt>
                <c:pt idx="725">
                  <c:v>32.534200000001306</c:v>
                </c:pt>
                <c:pt idx="726">
                  <c:v>32.534300000001309</c:v>
                </c:pt>
                <c:pt idx="727">
                  <c:v>32.534400000001312</c:v>
                </c:pt>
                <c:pt idx="728">
                  <c:v>32.534500000001316</c:v>
                </c:pt>
                <c:pt idx="729">
                  <c:v>32.534600000001319</c:v>
                </c:pt>
                <c:pt idx="730">
                  <c:v>32.534700000001322</c:v>
                </c:pt>
                <c:pt idx="731">
                  <c:v>32.534800000001326</c:v>
                </c:pt>
                <c:pt idx="732">
                  <c:v>32.534900000001329</c:v>
                </c:pt>
                <c:pt idx="733">
                  <c:v>32.535000000001332</c:v>
                </c:pt>
                <c:pt idx="734">
                  <c:v>32.535100000001336</c:v>
                </c:pt>
                <c:pt idx="735">
                  <c:v>32.535200000001339</c:v>
                </c:pt>
                <c:pt idx="736">
                  <c:v>32.535300000001342</c:v>
                </c:pt>
                <c:pt idx="737">
                  <c:v>32.535400000001346</c:v>
                </c:pt>
                <c:pt idx="738">
                  <c:v>32.535500000001349</c:v>
                </c:pt>
                <c:pt idx="739">
                  <c:v>32.535600000001352</c:v>
                </c:pt>
                <c:pt idx="740">
                  <c:v>32.535700000001356</c:v>
                </c:pt>
                <c:pt idx="741">
                  <c:v>32.535800000001359</c:v>
                </c:pt>
                <c:pt idx="742">
                  <c:v>32.535900000001362</c:v>
                </c:pt>
                <c:pt idx="743">
                  <c:v>32.536000000001366</c:v>
                </c:pt>
                <c:pt idx="744">
                  <c:v>32.536100000001369</c:v>
                </c:pt>
                <c:pt idx="745">
                  <c:v>32.536200000001372</c:v>
                </c:pt>
                <c:pt idx="746">
                  <c:v>32.536300000001376</c:v>
                </c:pt>
                <c:pt idx="747">
                  <c:v>32.536400000001379</c:v>
                </c:pt>
                <c:pt idx="748">
                  <c:v>32.536500000001382</c:v>
                </c:pt>
                <c:pt idx="749">
                  <c:v>32.536600000001386</c:v>
                </c:pt>
                <c:pt idx="750">
                  <c:v>32.536700000001389</c:v>
                </c:pt>
                <c:pt idx="751">
                  <c:v>32.536800000001392</c:v>
                </c:pt>
                <c:pt idx="752">
                  <c:v>32.536900000001395</c:v>
                </c:pt>
                <c:pt idx="753">
                  <c:v>32.537000000001399</c:v>
                </c:pt>
                <c:pt idx="754">
                  <c:v>32.537100000001402</c:v>
                </c:pt>
                <c:pt idx="755">
                  <c:v>32.537200000001405</c:v>
                </c:pt>
                <c:pt idx="756">
                  <c:v>32.537300000001409</c:v>
                </c:pt>
                <c:pt idx="757">
                  <c:v>32.537400000001412</c:v>
                </c:pt>
                <c:pt idx="758">
                  <c:v>32.537500000001415</c:v>
                </c:pt>
                <c:pt idx="759">
                  <c:v>32.537600000001419</c:v>
                </c:pt>
                <c:pt idx="760">
                  <c:v>32.537700000001422</c:v>
                </c:pt>
                <c:pt idx="761">
                  <c:v>32.537800000001425</c:v>
                </c:pt>
                <c:pt idx="762">
                  <c:v>32.537900000001429</c:v>
                </c:pt>
                <c:pt idx="763">
                  <c:v>32.538000000001432</c:v>
                </c:pt>
                <c:pt idx="764">
                  <c:v>32.538100000001435</c:v>
                </c:pt>
                <c:pt idx="765">
                  <c:v>32.538200000001439</c:v>
                </c:pt>
                <c:pt idx="766">
                  <c:v>32.538300000001442</c:v>
                </c:pt>
                <c:pt idx="767">
                  <c:v>32.538400000001445</c:v>
                </c:pt>
                <c:pt idx="768">
                  <c:v>32.538500000001449</c:v>
                </c:pt>
                <c:pt idx="769">
                  <c:v>32.538600000001452</c:v>
                </c:pt>
                <c:pt idx="770">
                  <c:v>32.538700000001455</c:v>
                </c:pt>
                <c:pt idx="771">
                  <c:v>32.538800000001459</c:v>
                </c:pt>
                <c:pt idx="772">
                  <c:v>32.538900000001462</c:v>
                </c:pt>
                <c:pt idx="773">
                  <c:v>32.539000000001465</c:v>
                </c:pt>
                <c:pt idx="774">
                  <c:v>32.539100000001469</c:v>
                </c:pt>
                <c:pt idx="775">
                  <c:v>32.539200000001472</c:v>
                </c:pt>
                <c:pt idx="776">
                  <c:v>32.539300000001475</c:v>
                </c:pt>
                <c:pt idx="777">
                  <c:v>32.539400000001478</c:v>
                </c:pt>
                <c:pt idx="778">
                  <c:v>32.539500000001482</c:v>
                </c:pt>
                <c:pt idx="779">
                  <c:v>32.539600000001485</c:v>
                </c:pt>
                <c:pt idx="780">
                  <c:v>32.539700000001488</c:v>
                </c:pt>
                <c:pt idx="781">
                  <c:v>32.539800000001492</c:v>
                </c:pt>
                <c:pt idx="782">
                  <c:v>32.539900000001495</c:v>
                </c:pt>
                <c:pt idx="783">
                  <c:v>32.540000000001498</c:v>
                </c:pt>
                <c:pt idx="784">
                  <c:v>32.540100000001502</c:v>
                </c:pt>
                <c:pt idx="785">
                  <c:v>32.540200000001505</c:v>
                </c:pt>
                <c:pt idx="786">
                  <c:v>32.540300000001508</c:v>
                </c:pt>
                <c:pt idx="787">
                  <c:v>32.540400000001512</c:v>
                </c:pt>
                <c:pt idx="788">
                  <c:v>32.540500000001515</c:v>
                </c:pt>
                <c:pt idx="789">
                  <c:v>32.540600000001518</c:v>
                </c:pt>
                <c:pt idx="790">
                  <c:v>32.540700000001522</c:v>
                </c:pt>
                <c:pt idx="791">
                  <c:v>32.540800000001525</c:v>
                </c:pt>
                <c:pt idx="792">
                  <c:v>32.540900000001528</c:v>
                </c:pt>
                <c:pt idx="793">
                  <c:v>32.541000000001532</c:v>
                </c:pt>
                <c:pt idx="794">
                  <c:v>32.541100000001535</c:v>
                </c:pt>
                <c:pt idx="795">
                  <c:v>32.541200000001538</c:v>
                </c:pt>
                <c:pt idx="796">
                  <c:v>32.541300000001542</c:v>
                </c:pt>
                <c:pt idx="797">
                  <c:v>32.541400000001545</c:v>
                </c:pt>
                <c:pt idx="798">
                  <c:v>32.541500000001548</c:v>
                </c:pt>
                <c:pt idx="799">
                  <c:v>32.541600000001552</c:v>
                </c:pt>
                <c:pt idx="800">
                  <c:v>32.541700000001555</c:v>
                </c:pt>
                <c:pt idx="801">
                  <c:v>32.541800000001558</c:v>
                </c:pt>
                <c:pt idx="802">
                  <c:v>32.541900000001561</c:v>
                </c:pt>
                <c:pt idx="803">
                  <c:v>32.542000000001565</c:v>
                </c:pt>
                <c:pt idx="804">
                  <c:v>32.542100000001568</c:v>
                </c:pt>
                <c:pt idx="805">
                  <c:v>32.542200000001571</c:v>
                </c:pt>
                <c:pt idx="806">
                  <c:v>32.542300000001575</c:v>
                </c:pt>
                <c:pt idx="807">
                  <c:v>32.542400000001578</c:v>
                </c:pt>
                <c:pt idx="808">
                  <c:v>32.542500000001581</c:v>
                </c:pt>
                <c:pt idx="809">
                  <c:v>32.542600000001585</c:v>
                </c:pt>
                <c:pt idx="810">
                  <c:v>32.542700000001588</c:v>
                </c:pt>
                <c:pt idx="811">
                  <c:v>32.542800000001591</c:v>
                </c:pt>
                <c:pt idx="812">
                  <c:v>32.542900000001595</c:v>
                </c:pt>
                <c:pt idx="813">
                  <c:v>32.543000000001598</c:v>
                </c:pt>
                <c:pt idx="814">
                  <c:v>32.543100000001601</c:v>
                </c:pt>
                <c:pt idx="815">
                  <c:v>32.543200000001605</c:v>
                </c:pt>
                <c:pt idx="816">
                  <c:v>32.543300000001608</c:v>
                </c:pt>
                <c:pt idx="817">
                  <c:v>32.543400000001611</c:v>
                </c:pt>
                <c:pt idx="818">
                  <c:v>32.543500000001615</c:v>
                </c:pt>
                <c:pt idx="819">
                  <c:v>32.543600000001618</c:v>
                </c:pt>
                <c:pt idx="820">
                  <c:v>32.543700000001621</c:v>
                </c:pt>
                <c:pt idx="821">
                  <c:v>32.543800000001625</c:v>
                </c:pt>
                <c:pt idx="822">
                  <c:v>32.543900000001628</c:v>
                </c:pt>
                <c:pt idx="823">
                  <c:v>32.544000000001631</c:v>
                </c:pt>
                <c:pt idx="824">
                  <c:v>32.544100000001634</c:v>
                </c:pt>
                <c:pt idx="825">
                  <c:v>32.544200000001638</c:v>
                </c:pt>
                <c:pt idx="826">
                  <c:v>32.544300000001641</c:v>
                </c:pt>
                <c:pt idx="827">
                  <c:v>32.544400000001644</c:v>
                </c:pt>
                <c:pt idx="828">
                  <c:v>32.544500000001648</c:v>
                </c:pt>
                <c:pt idx="829">
                  <c:v>32.544600000001651</c:v>
                </c:pt>
                <c:pt idx="830">
                  <c:v>32.544700000001654</c:v>
                </c:pt>
                <c:pt idx="831">
                  <c:v>32.544800000001658</c:v>
                </c:pt>
                <c:pt idx="832">
                  <c:v>32.544900000001661</c:v>
                </c:pt>
                <c:pt idx="833">
                  <c:v>32.545000000001664</c:v>
                </c:pt>
                <c:pt idx="834">
                  <c:v>32.545100000001668</c:v>
                </c:pt>
                <c:pt idx="835">
                  <c:v>32.545200000001671</c:v>
                </c:pt>
                <c:pt idx="836">
                  <c:v>32.545300000001674</c:v>
                </c:pt>
                <c:pt idx="837">
                  <c:v>32.545400000001678</c:v>
                </c:pt>
                <c:pt idx="838">
                  <c:v>32.545500000001681</c:v>
                </c:pt>
                <c:pt idx="839">
                  <c:v>32.545600000001684</c:v>
                </c:pt>
                <c:pt idx="840">
                  <c:v>32.545700000001688</c:v>
                </c:pt>
                <c:pt idx="841">
                  <c:v>32.545800000001691</c:v>
                </c:pt>
                <c:pt idx="842">
                  <c:v>32.545900000001694</c:v>
                </c:pt>
                <c:pt idx="843">
                  <c:v>32.546000000001698</c:v>
                </c:pt>
                <c:pt idx="844">
                  <c:v>32.546100000001701</c:v>
                </c:pt>
                <c:pt idx="845">
                  <c:v>32.546200000001704</c:v>
                </c:pt>
                <c:pt idx="846">
                  <c:v>32.546300000001708</c:v>
                </c:pt>
                <c:pt idx="847">
                  <c:v>32.546400000001711</c:v>
                </c:pt>
                <c:pt idx="848">
                  <c:v>32.546500000001714</c:v>
                </c:pt>
                <c:pt idx="849">
                  <c:v>32.546600000001717</c:v>
                </c:pt>
                <c:pt idx="850">
                  <c:v>32.546700000001721</c:v>
                </c:pt>
                <c:pt idx="851">
                  <c:v>32.546800000001724</c:v>
                </c:pt>
                <c:pt idx="852">
                  <c:v>32.546900000001727</c:v>
                </c:pt>
                <c:pt idx="853">
                  <c:v>32.547000000001731</c:v>
                </c:pt>
                <c:pt idx="854">
                  <c:v>32.547100000001734</c:v>
                </c:pt>
                <c:pt idx="855">
                  <c:v>32.547200000001737</c:v>
                </c:pt>
                <c:pt idx="856">
                  <c:v>32.547300000001741</c:v>
                </c:pt>
                <c:pt idx="857">
                  <c:v>32.547400000001744</c:v>
                </c:pt>
                <c:pt idx="858">
                  <c:v>32.547500000001747</c:v>
                </c:pt>
                <c:pt idx="859">
                  <c:v>32.547600000001751</c:v>
                </c:pt>
                <c:pt idx="860">
                  <c:v>32.547700000001754</c:v>
                </c:pt>
                <c:pt idx="861">
                  <c:v>32.547800000001757</c:v>
                </c:pt>
                <c:pt idx="862">
                  <c:v>32.547900000001761</c:v>
                </c:pt>
                <c:pt idx="863">
                  <c:v>32.548000000001764</c:v>
                </c:pt>
                <c:pt idx="864">
                  <c:v>32.548100000001767</c:v>
                </c:pt>
                <c:pt idx="865">
                  <c:v>32.548200000001771</c:v>
                </c:pt>
                <c:pt idx="866">
                  <c:v>32.548300000001774</c:v>
                </c:pt>
                <c:pt idx="867">
                  <c:v>32.548400000001777</c:v>
                </c:pt>
                <c:pt idx="868">
                  <c:v>32.548500000001781</c:v>
                </c:pt>
                <c:pt idx="869">
                  <c:v>32.548600000001784</c:v>
                </c:pt>
                <c:pt idx="870">
                  <c:v>32.548700000001787</c:v>
                </c:pt>
                <c:pt idx="871">
                  <c:v>32.548800000001791</c:v>
                </c:pt>
                <c:pt idx="872">
                  <c:v>32.548900000001794</c:v>
                </c:pt>
                <c:pt idx="873">
                  <c:v>32.549000000001797</c:v>
                </c:pt>
                <c:pt idx="874">
                  <c:v>32.5491000000018</c:v>
                </c:pt>
                <c:pt idx="875">
                  <c:v>32.549200000001804</c:v>
                </c:pt>
                <c:pt idx="876">
                  <c:v>32.549300000001807</c:v>
                </c:pt>
                <c:pt idx="877">
                  <c:v>32.54940000000181</c:v>
                </c:pt>
                <c:pt idx="878">
                  <c:v>32.549500000001814</c:v>
                </c:pt>
                <c:pt idx="879">
                  <c:v>32.549600000001817</c:v>
                </c:pt>
                <c:pt idx="880">
                  <c:v>32.54970000000182</c:v>
                </c:pt>
                <c:pt idx="881">
                  <c:v>32.549800000001824</c:v>
                </c:pt>
                <c:pt idx="882">
                  <c:v>32.549900000001827</c:v>
                </c:pt>
                <c:pt idx="883">
                  <c:v>32.55000000000183</c:v>
                </c:pt>
                <c:pt idx="884">
                  <c:v>32.550100000001834</c:v>
                </c:pt>
                <c:pt idx="885">
                  <c:v>32.550200000001837</c:v>
                </c:pt>
                <c:pt idx="886">
                  <c:v>32.55030000000184</c:v>
                </c:pt>
                <c:pt idx="887">
                  <c:v>32.550400000001844</c:v>
                </c:pt>
                <c:pt idx="888">
                  <c:v>32.550500000001847</c:v>
                </c:pt>
                <c:pt idx="889">
                  <c:v>32.55060000000185</c:v>
                </c:pt>
                <c:pt idx="890">
                  <c:v>32.550700000001854</c:v>
                </c:pt>
                <c:pt idx="891">
                  <c:v>32.550800000001857</c:v>
                </c:pt>
                <c:pt idx="892">
                  <c:v>32.55090000000186</c:v>
                </c:pt>
                <c:pt idx="893">
                  <c:v>32.551000000001864</c:v>
                </c:pt>
                <c:pt idx="894">
                  <c:v>32.551100000001867</c:v>
                </c:pt>
                <c:pt idx="895">
                  <c:v>32.55120000000187</c:v>
                </c:pt>
                <c:pt idx="896">
                  <c:v>32.551300000001874</c:v>
                </c:pt>
                <c:pt idx="897">
                  <c:v>32.551400000001877</c:v>
                </c:pt>
                <c:pt idx="898">
                  <c:v>32.55150000000188</c:v>
                </c:pt>
                <c:pt idx="899">
                  <c:v>32.551600000001883</c:v>
                </c:pt>
                <c:pt idx="900">
                  <c:v>32.551700000001887</c:v>
                </c:pt>
                <c:pt idx="901">
                  <c:v>32.55180000000189</c:v>
                </c:pt>
                <c:pt idx="902">
                  <c:v>32.551900000001893</c:v>
                </c:pt>
                <c:pt idx="903">
                  <c:v>32.552000000001897</c:v>
                </c:pt>
                <c:pt idx="904">
                  <c:v>32.5521000000019</c:v>
                </c:pt>
                <c:pt idx="905">
                  <c:v>32.552200000001903</c:v>
                </c:pt>
                <c:pt idx="906">
                  <c:v>32.552300000001907</c:v>
                </c:pt>
                <c:pt idx="907">
                  <c:v>32.55240000000191</c:v>
                </c:pt>
                <c:pt idx="908">
                  <c:v>32.552500000001913</c:v>
                </c:pt>
                <c:pt idx="909">
                  <c:v>32.552600000001917</c:v>
                </c:pt>
                <c:pt idx="910">
                  <c:v>32.55270000000192</c:v>
                </c:pt>
                <c:pt idx="911">
                  <c:v>32.552800000001923</c:v>
                </c:pt>
                <c:pt idx="912">
                  <c:v>32.552900000001927</c:v>
                </c:pt>
                <c:pt idx="913">
                  <c:v>32.55300000000193</c:v>
                </c:pt>
                <c:pt idx="914">
                  <c:v>32.553100000001933</c:v>
                </c:pt>
                <c:pt idx="915">
                  <c:v>32.553200000001937</c:v>
                </c:pt>
                <c:pt idx="916">
                  <c:v>32.55330000000194</c:v>
                </c:pt>
                <c:pt idx="917">
                  <c:v>32.553400000001943</c:v>
                </c:pt>
                <c:pt idx="918">
                  <c:v>32.553500000001947</c:v>
                </c:pt>
                <c:pt idx="919">
                  <c:v>32.55360000000195</c:v>
                </c:pt>
                <c:pt idx="920">
                  <c:v>32.553700000001953</c:v>
                </c:pt>
                <c:pt idx="921">
                  <c:v>32.553800000001957</c:v>
                </c:pt>
                <c:pt idx="922">
                  <c:v>32.55390000000196</c:v>
                </c:pt>
                <c:pt idx="923">
                  <c:v>32.554000000001963</c:v>
                </c:pt>
                <c:pt idx="924">
                  <c:v>32.554100000001966</c:v>
                </c:pt>
                <c:pt idx="925">
                  <c:v>32.55420000000197</c:v>
                </c:pt>
                <c:pt idx="926">
                  <c:v>32.554300000001973</c:v>
                </c:pt>
                <c:pt idx="927">
                  <c:v>32.554400000001976</c:v>
                </c:pt>
                <c:pt idx="928">
                  <c:v>32.55450000000198</c:v>
                </c:pt>
                <c:pt idx="929">
                  <c:v>32.554600000001983</c:v>
                </c:pt>
                <c:pt idx="930">
                  <c:v>32.554700000001986</c:v>
                </c:pt>
                <c:pt idx="931">
                  <c:v>32.55480000000199</c:v>
                </c:pt>
                <c:pt idx="932">
                  <c:v>32.554900000001993</c:v>
                </c:pt>
                <c:pt idx="933">
                  <c:v>32.555000000001996</c:v>
                </c:pt>
                <c:pt idx="934">
                  <c:v>32.555100000002</c:v>
                </c:pt>
                <c:pt idx="935">
                  <c:v>32.555200000002003</c:v>
                </c:pt>
                <c:pt idx="936">
                  <c:v>32.555300000002006</c:v>
                </c:pt>
                <c:pt idx="937">
                  <c:v>32.55540000000201</c:v>
                </c:pt>
                <c:pt idx="938">
                  <c:v>32.555500000002013</c:v>
                </c:pt>
                <c:pt idx="939">
                  <c:v>32.555600000002016</c:v>
                </c:pt>
                <c:pt idx="940">
                  <c:v>32.55570000000202</c:v>
                </c:pt>
                <c:pt idx="941">
                  <c:v>32.555800000002023</c:v>
                </c:pt>
                <c:pt idx="942">
                  <c:v>32.555900000002026</c:v>
                </c:pt>
                <c:pt idx="943">
                  <c:v>32.55600000000203</c:v>
                </c:pt>
                <c:pt idx="944">
                  <c:v>32.556100000002033</c:v>
                </c:pt>
                <c:pt idx="945">
                  <c:v>32.556200000002036</c:v>
                </c:pt>
                <c:pt idx="946">
                  <c:v>32.556300000002039</c:v>
                </c:pt>
                <c:pt idx="947">
                  <c:v>32.556400000002043</c:v>
                </c:pt>
                <c:pt idx="948">
                  <c:v>32.556500000002046</c:v>
                </c:pt>
                <c:pt idx="949">
                  <c:v>32.556600000002049</c:v>
                </c:pt>
                <c:pt idx="950">
                  <c:v>32.556700000002053</c:v>
                </c:pt>
                <c:pt idx="951">
                  <c:v>32.556800000002056</c:v>
                </c:pt>
                <c:pt idx="952">
                  <c:v>32.556900000002059</c:v>
                </c:pt>
                <c:pt idx="953">
                  <c:v>32.557000000002063</c:v>
                </c:pt>
                <c:pt idx="954">
                  <c:v>32.557100000002066</c:v>
                </c:pt>
                <c:pt idx="955">
                  <c:v>32.557200000002069</c:v>
                </c:pt>
                <c:pt idx="956">
                  <c:v>32.557300000002073</c:v>
                </c:pt>
                <c:pt idx="957">
                  <c:v>32.557400000002076</c:v>
                </c:pt>
                <c:pt idx="958">
                  <c:v>32.557500000002079</c:v>
                </c:pt>
                <c:pt idx="959">
                  <c:v>32.557600000002083</c:v>
                </c:pt>
                <c:pt idx="960">
                  <c:v>32.557700000002086</c:v>
                </c:pt>
                <c:pt idx="961">
                  <c:v>32.557800000002089</c:v>
                </c:pt>
                <c:pt idx="962">
                  <c:v>32.557900000002093</c:v>
                </c:pt>
                <c:pt idx="963">
                  <c:v>32.558000000002096</c:v>
                </c:pt>
                <c:pt idx="964">
                  <c:v>32.558100000002099</c:v>
                </c:pt>
                <c:pt idx="965">
                  <c:v>32.558200000002103</c:v>
                </c:pt>
                <c:pt idx="966">
                  <c:v>32.558300000002106</c:v>
                </c:pt>
                <c:pt idx="967">
                  <c:v>32.558400000002109</c:v>
                </c:pt>
                <c:pt idx="968">
                  <c:v>32.558500000002113</c:v>
                </c:pt>
                <c:pt idx="969">
                  <c:v>32.558600000002116</c:v>
                </c:pt>
                <c:pt idx="970">
                  <c:v>32.558700000002119</c:v>
                </c:pt>
                <c:pt idx="971">
                  <c:v>32.558800000002122</c:v>
                </c:pt>
                <c:pt idx="972">
                  <c:v>32.558900000002126</c:v>
                </c:pt>
                <c:pt idx="973">
                  <c:v>32.559000000002129</c:v>
                </c:pt>
                <c:pt idx="974">
                  <c:v>32.559100000002132</c:v>
                </c:pt>
                <c:pt idx="975">
                  <c:v>32.559200000002136</c:v>
                </c:pt>
                <c:pt idx="976">
                  <c:v>32.559300000002139</c:v>
                </c:pt>
                <c:pt idx="977">
                  <c:v>32.559400000002142</c:v>
                </c:pt>
                <c:pt idx="978">
                  <c:v>32.559500000002146</c:v>
                </c:pt>
                <c:pt idx="979">
                  <c:v>32.559600000002149</c:v>
                </c:pt>
                <c:pt idx="980">
                  <c:v>32.559700000002152</c:v>
                </c:pt>
                <c:pt idx="981">
                  <c:v>32.559800000002156</c:v>
                </c:pt>
                <c:pt idx="982">
                  <c:v>32.559900000002159</c:v>
                </c:pt>
                <c:pt idx="983">
                  <c:v>32.560000000002162</c:v>
                </c:pt>
                <c:pt idx="984">
                  <c:v>32.560100000002166</c:v>
                </c:pt>
                <c:pt idx="985">
                  <c:v>32.560200000002169</c:v>
                </c:pt>
                <c:pt idx="986">
                  <c:v>32.560300000002172</c:v>
                </c:pt>
                <c:pt idx="987">
                  <c:v>32.560400000002176</c:v>
                </c:pt>
                <c:pt idx="988">
                  <c:v>32.560500000002179</c:v>
                </c:pt>
                <c:pt idx="989">
                  <c:v>32.560600000002182</c:v>
                </c:pt>
                <c:pt idx="990">
                  <c:v>32.560700000002186</c:v>
                </c:pt>
                <c:pt idx="991">
                  <c:v>32.560800000002189</c:v>
                </c:pt>
                <c:pt idx="992">
                  <c:v>32.560900000002192</c:v>
                </c:pt>
                <c:pt idx="993">
                  <c:v>32.561000000002196</c:v>
                </c:pt>
                <c:pt idx="994">
                  <c:v>32.561100000002199</c:v>
                </c:pt>
                <c:pt idx="995">
                  <c:v>32.561200000002202</c:v>
                </c:pt>
                <c:pt idx="996">
                  <c:v>32.561300000002205</c:v>
                </c:pt>
                <c:pt idx="997">
                  <c:v>32.561400000002209</c:v>
                </c:pt>
                <c:pt idx="998">
                  <c:v>32.561500000002212</c:v>
                </c:pt>
                <c:pt idx="999">
                  <c:v>32.561600000002215</c:v>
                </c:pt>
                <c:pt idx="1000">
                  <c:v>32.561700000002219</c:v>
                </c:pt>
              </c:numCache>
            </c:numRef>
          </c:xVal>
          <c:yVal>
            <c:numRef>
              <c:f>Calculs!$K$4:$K$1004</c:f>
              <c:numCache>
                <c:formatCode>0.00</c:formatCode>
                <c:ptCount val="1001"/>
                <c:pt idx="0">
                  <c:v>487.84771914632313</c:v>
                </c:pt>
                <c:pt idx="1">
                  <c:v>489.54718062018776</c:v>
                </c:pt>
                <c:pt idx="2">
                  <c:v>491.24294032459193</c:v>
                </c:pt>
                <c:pt idx="3">
                  <c:v>492.93501052437801</c:v>
                </c:pt>
                <c:pt idx="4">
                  <c:v>494.62340341378064</c:v>
                </c:pt>
                <c:pt idx="5">
                  <c:v>496.30813111696835</c:v>
                </c:pt>
                <c:pt idx="6">
                  <c:v>497.98920568858028</c:v>
                </c:pt>
                <c:pt idx="7">
                  <c:v>499.66663911425746</c:v>
                </c:pt>
                <c:pt idx="8">
                  <c:v>501.34044331116917</c:v>
                </c:pt>
                <c:pt idx="9">
                  <c:v>503.01063012853422</c:v>
                </c:pt>
                <c:pt idx="10">
                  <c:v>504.67721134813729</c:v>
                </c:pt>
                <c:pt idx="11">
                  <c:v>506.34019866652045</c:v>
                </c:pt>
                <c:pt idx="12">
                  <c:v>507.99960367772184</c:v>
                </c:pt>
                <c:pt idx="13">
                  <c:v>509.65543789319361</c:v>
                </c:pt>
                <c:pt idx="14">
                  <c:v>511.30771276114598</c:v>
                </c:pt>
                <c:pt idx="15">
                  <c:v>512.95643966700504</c:v>
                </c:pt>
                <c:pt idx="16">
                  <c:v>514.60162993386643</c:v>
                </c:pt>
                <c:pt idx="17">
                  <c:v>516.24329482294513</c:v>
                </c:pt>
                <c:pt idx="18">
                  <c:v>517.88144553402083</c:v>
                </c:pt>
                <c:pt idx="19">
                  <c:v>519.51609320587932</c:v>
                </c:pt>
                <c:pt idx="20">
                  <c:v>521.14724891675007</c:v>
                </c:pt>
                <c:pt idx="21">
                  <c:v>522.77492369390814</c:v>
                </c:pt>
                <c:pt idx="22">
                  <c:v>524.39912852300677</c:v>
                </c:pt>
                <c:pt idx="23">
                  <c:v>526.01987433880925</c:v>
                </c:pt>
                <c:pt idx="24">
                  <c:v>527.63717201618897</c:v>
                </c:pt>
                <c:pt idx="25">
                  <c:v>529.25103237056396</c:v>
                </c:pt>
                <c:pt idx="26">
                  <c:v>530.86146615832718</c:v>
                </c:pt>
                <c:pt idx="27">
                  <c:v>532.46848407727305</c:v>
                </c:pt>
                <c:pt idx="28">
                  <c:v>534.07209676702007</c:v>
                </c:pt>
                <c:pt idx="29">
                  <c:v>535.67231480942951</c:v>
                </c:pt>
                <c:pt idx="30">
                  <c:v>537.26914872902034</c:v>
                </c:pt>
                <c:pt idx="31">
                  <c:v>538.8626089933806</c:v>
                </c:pt>
                <c:pt idx="32">
                  <c:v>540.45270601357493</c:v>
                </c:pt>
                <c:pt idx="33">
                  <c:v>542.03945014454814</c:v>
                </c:pt>
                <c:pt idx="34">
                  <c:v>543.6228516855258</c:v>
                </c:pt>
                <c:pt idx="35">
                  <c:v>545.2029208804106</c:v>
                </c:pt>
                <c:pt idx="36">
                  <c:v>546.77966791817539</c:v>
                </c:pt>
                <c:pt idx="37">
                  <c:v>548.35310293325301</c:v>
                </c:pt>
                <c:pt idx="38">
                  <c:v>549.92323600592215</c:v>
                </c:pt>
                <c:pt idx="39">
                  <c:v>551.49007716269</c:v>
                </c:pt>
                <c:pt idx="40">
                  <c:v>553.05363637667176</c:v>
                </c:pt>
                <c:pt idx="41">
                  <c:v>554.61392356796614</c:v>
                </c:pt>
                <c:pt idx="42">
                  <c:v>556.17094860402813</c:v>
                </c:pt>
                <c:pt idx="43">
                  <c:v>557.72472130003825</c:v>
                </c:pt>
                <c:pt idx="44">
                  <c:v>559.27525141926856</c:v>
                </c:pt>
                <c:pt idx="45">
                  <c:v>560.82254867344523</c:v>
                </c:pt>
                <c:pt idx="46">
                  <c:v>562.36662272310855</c:v>
                </c:pt>
                <c:pt idx="47">
                  <c:v>563.90748317796897</c:v>
                </c:pt>
                <c:pt idx="48">
                  <c:v>565.44513959726044</c:v>
                </c:pt>
                <c:pt idx="49">
                  <c:v>566.97960149009089</c:v>
                </c:pt>
                <c:pt idx="50">
                  <c:v>568.51087831578911</c:v>
                </c:pt>
                <c:pt idx="51">
                  <c:v>570.03897948424901</c:v>
                </c:pt>
                <c:pt idx="52">
                  <c:v>571.56391435627074</c:v>
                </c:pt>
                <c:pt idx="53">
                  <c:v>573.08569224389885</c:v>
                </c:pt>
                <c:pt idx="54">
                  <c:v>574.6043224107575</c:v>
                </c:pt>
                <c:pt idx="55">
                  <c:v>576.11981407238295</c:v>
                </c:pt>
                <c:pt idx="56">
                  <c:v>577.63217639655272</c:v>
                </c:pt>
                <c:pt idx="57">
                  <c:v>579.14141850361273</c:v>
                </c:pt>
                <c:pt idx="58">
                  <c:v>580.64754946680046</c:v>
                </c:pt>
                <c:pt idx="59">
                  <c:v>582.15057831256649</c:v>
                </c:pt>
                <c:pt idx="60">
                  <c:v>583.6505140208925</c:v>
                </c:pt>
                <c:pt idx="61">
                  <c:v>585.14736552560703</c:v>
                </c:pt>
                <c:pt idx="62">
                  <c:v>586.64114171469828</c:v>
                </c:pt>
                <c:pt idx="63">
                  <c:v>588.13185143062412</c:v>
                </c:pt>
                <c:pt idx="64">
                  <c:v>589.61950347061975</c:v>
                </c:pt>
                <c:pt idx="65">
                  <c:v>591.10410658700266</c:v>
                </c:pt>
                <c:pt idx="66">
                  <c:v>592.585669487475</c:v>
                </c:pt>
                <c:pt idx="67">
                  <c:v>594.06420083542309</c:v>
                </c:pt>
                <c:pt idx="68">
                  <c:v>595.53970925021508</c:v>
                </c:pt>
                <c:pt idx="69">
                  <c:v>597.01220330749527</c:v>
                </c:pt>
                <c:pt idx="70">
                  <c:v>598.48169153947663</c:v>
                </c:pt>
                <c:pt idx="71">
                  <c:v>599.94818243523036</c:v>
                </c:pt>
                <c:pt idx="72">
                  <c:v>601.41168444097343</c:v>
                </c:pt>
                <c:pt idx="73">
                  <c:v>602.87220596035343</c:v>
                </c:pt>
                <c:pt idx="74">
                  <c:v>604.32975535473099</c:v>
                </c:pt>
                <c:pt idx="75">
                  <c:v>605.78434094346017</c:v>
                </c:pt>
                <c:pt idx="76">
                  <c:v>607.23597100416623</c:v>
                </c:pt>
                <c:pt idx="77">
                  <c:v>608.68465377302118</c:v>
                </c:pt>
                <c:pt idx="78">
                  <c:v>610.1303974450168</c:v>
                </c:pt>
                <c:pt idx="79">
                  <c:v>611.57321017423601</c:v>
                </c:pt>
                <c:pt idx="80">
                  <c:v>613.01310007412121</c:v>
                </c:pt>
                <c:pt idx="81">
                  <c:v>614.45007521774107</c:v>
                </c:pt>
                <c:pt idx="82">
                  <c:v>615.88414363805452</c:v>
                </c:pt>
                <c:pt idx="83">
                  <c:v>617.31531332817315</c:v>
                </c:pt>
                <c:pt idx="84">
                  <c:v>618.74359224162106</c:v>
                </c:pt>
                <c:pt idx="85">
                  <c:v>620.16898829259253</c:v>
                </c:pt>
                <c:pt idx="86">
                  <c:v>621.59150935620801</c:v>
                </c:pt>
                <c:pt idx="87">
                  <c:v>623.0111632687674</c:v>
                </c:pt>
                <c:pt idx="88">
                  <c:v>624.42795782800181</c:v>
                </c:pt>
                <c:pt idx="89">
                  <c:v>625.84190079332302</c:v>
                </c:pt>
                <c:pt idx="90">
                  <c:v>627.25299988607094</c:v>
                </c:pt>
                <c:pt idx="91">
                  <c:v>628.66126278975878</c:v>
                </c:pt>
                <c:pt idx="92">
                  <c:v>630.06669715031683</c:v>
                </c:pt>
                <c:pt idx="93">
                  <c:v>631.46931057633356</c:v>
                </c:pt>
                <c:pt idx="94">
                  <c:v>632.86911063929551</c:v>
                </c:pt>
                <c:pt idx="95">
                  <c:v>634.26610487382459</c:v>
                </c:pt>
                <c:pt idx="96">
                  <c:v>635.66030077791379</c:v>
                </c:pt>
                <c:pt idx="97">
                  <c:v>637.05170581316088</c:v>
                </c:pt>
                <c:pt idx="98">
                  <c:v>638.4403274050004</c:v>
                </c:pt>
                <c:pt idx="99">
                  <c:v>639.82617294293357</c:v>
                </c:pt>
                <c:pt idx="100">
                  <c:v>641.20924978075629</c:v>
                </c:pt>
                <c:pt idx="101">
                  <c:v>654.8883064246296</c:v>
                </c:pt>
                <c:pt idx="102">
                  <c:v>668.29518584562084</c:v>
                </c:pt>
                <c:pt idx="103">
                  <c:v>681.4369102654988</c:v>
                </c:pt>
                <c:pt idx="104">
                  <c:v>694.32017301844894</c:v>
                </c:pt>
                <c:pt idx="105">
                  <c:v>706.95135849586541</c:v>
                </c:pt>
                <c:pt idx="106">
                  <c:v>719.33656058114059</c:v>
                </c:pt>
                <c:pt idx="107">
                  <c:v>731.48159971003008</c:v>
                </c:pt>
                <c:pt idx="108">
                  <c:v>743.39203867812012</c:v>
                </c:pt>
                <c:pt idx="109">
                  <c:v>755.07319730452218</c:v>
                </c:pt>
                <c:pt idx="110">
                  <c:v>766.53016604994252</c:v>
                </c:pt>
                <c:pt idx="111">
                  <c:v>777.76781867754846</c:v>
                </c:pt>
                <c:pt idx="112">
                  <c:v>788.79082403641416</c:v>
                </c:pt>
                <c:pt idx="113">
                  <c:v>799.60365703964408</c:v>
                </c:pt>
                <c:pt idx="114">
                  <c:v>810.21060890242518</c:v>
                </c:pt>
                <c:pt idx="115">
                  <c:v>820.61579669914533</c:v>
                </c:pt>
                <c:pt idx="116">
                  <c:v>830.82317229325099</c:v>
                </c:pt>
                <c:pt idx="117">
                  <c:v>840.83653068862282</c:v>
                </c:pt>
                <c:pt idx="118">
                  <c:v>850.65951784685899</c:v>
                </c:pt>
                <c:pt idx="119">
                  <c:v>860.29563801091285</c:v>
                </c:pt>
                <c:pt idx="120">
                  <c:v>869.74826057198595</c:v>
                </c:pt>
                <c:pt idx="121">
                  <c:v>879.02062651338156</c:v>
                </c:pt>
                <c:pt idx="122">
                  <c:v>888.11585446214428</c:v>
                </c:pt>
                <c:pt idx="123">
                  <c:v>897.03694637670628</c:v>
                </c:pt>
                <c:pt idx="124">
                  <c:v>905.7867928964082</c:v>
                </c:pt>
                <c:pt idx="125">
                  <c:v>914.36817837663011</c:v>
                </c:pt>
                <c:pt idx="126">
                  <c:v>922.78378563133606</c:v>
                </c:pt>
                <c:pt idx="127">
                  <c:v>931.03620040307953</c:v>
                </c:pt>
                <c:pt idx="128">
                  <c:v>939.12791557892479</c:v>
                </c:pt>
                <c:pt idx="129">
                  <c:v>947.0613351692848</c:v>
                </c:pt>
                <c:pt idx="130">
                  <c:v>954.83877806535861</c:v>
                </c:pt>
                <c:pt idx="131">
                  <c:v>962.46248158964181</c:v>
                </c:pt>
                <c:pt idx="132">
                  <c:v>969.93460485288688</c:v>
                </c:pt>
                <c:pt idx="133">
                  <c:v>977.25723192988255</c:v>
                </c:pt>
                <c:pt idx="134">
                  <c:v>984.43237486550208</c:v>
                </c:pt>
                <c:pt idx="135">
                  <c:v>991.46197652162948</c:v>
                </c:pt>
                <c:pt idx="136">
                  <c:v>998.34791327479911</c:v>
                </c:pt>
                <c:pt idx="137">
                  <c:v>1005.0919975736781</c:v>
                </c:pt>
                <c:pt idx="138">
                  <c:v>1011.6959803648698</c:v>
                </c:pt>
                <c:pt idx="139">
                  <c:v>1018.1615533949202</c:v>
                </c:pt>
                <c:pt idx="140">
                  <c:v>1024.4903513958591</c:v>
                </c:pt>
                <c:pt idx="141">
                  <c:v>1030.6839541611039</c:v>
                </c:pt>
                <c:pt idx="142">
                  <c:v>1036.7438885180875</c:v>
                </c:pt>
                <c:pt idx="143">
                  <c:v>1042.6716302035431</c:v>
                </c:pt>
                <c:pt idx="144">
                  <c:v>1048.4686056469832</c:v>
                </c:pt>
                <c:pt idx="145">
                  <c:v>1054.1361936675453</c:v>
                </c:pt>
                <c:pt idx="146">
                  <c:v>1059.6757270890419</c:v>
                </c:pt>
                <c:pt idx="147">
                  <c:v>1065.0884942777361</c:v>
                </c:pt>
                <c:pt idx="148">
                  <c:v>1070.3757406070858</c:v>
                </c:pt>
                <c:pt idx="149">
                  <c:v>1075.5386698534239</c:v>
                </c:pt>
                <c:pt idx="150">
                  <c:v>1080.5784455263081</c:v>
                </c:pt>
                <c:pt idx="151">
                  <c:v>1085.496192137038</c:v>
                </c:pt>
                <c:pt idx="152">
                  <c:v>1090.2929964086363</c:v>
                </c:pt>
                <c:pt idx="153">
                  <c:v>1094.9699084303936</c:v>
                </c:pt>
                <c:pt idx="154">
                  <c:v>1099.5279427599037</c:v>
                </c:pt>
                <c:pt idx="155">
                  <c:v>1103.968079475351</c:v>
                </c:pt>
                <c:pt idx="156">
                  <c:v>1108.2912651806644</c:v>
                </c:pt>
                <c:pt idx="157">
                  <c:v>1112.4984139660166</c:v>
                </c:pt>
                <c:pt idx="158">
                  <c:v>1116.5904083260243</c:v>
                </c:pt>
                <c:pt idx="159">
                  <c:v>1120.5681000378938</c:v>
                </c:pt>
                <c:pt idx="160">
                  <c:v>1124.432311001658</c:v>
                </c:pt>
                <c:pt idx="161">
                  <c:v>1128.1838340445643</c:v>
                </c:pt>
                <c:pt idx="162">
                  <c:v>1131.8234336915939</c:v>
                </c:pt>
                <c:pt idx="163">
                  <c:v>1135.3518469040362</c:v>
                </c:pt>
                <c:pt idx="164">
                  <c:v>1138.7697837879821</c:v>
                </c:pt>
                <c:pt idx="165">
                  <c:v>1142.0779282745702</c:v>
                </c:pt>
                <c:pt idx="166">
                  <c:v>1145.2769387737878</c:v>
                </c:pt>
                <c:pt idx="167">
                  <c:v>1148.3674488036224</c:v>
                </c:pt>
                <c:pt idx="168">
                  <c:v>1151.3500675963605</c:v>
                </c:pt>
                <c:pt idx="169">
                  <c:v>1154.2253806838569</c:v>
                </c:pt>
                <c:pt idx="170">
                  <c:v>1156.9939504636304</c:v>
                </c:pt>
                <c:pt idx="171">
                  <c:v>1159.6563167477091</c:v>
                </c:pt>
                <c:pt idx="172">
                  <c:v>1162.2129972962246</c:v>
                </c:pt>
                <c:pt idx="173">
                  <c:v>1164.6644883378669</c:v>
                </c:pt>
                <c:pt idx="174">
                  <c:v>1167.0112650794408</c:v>
                </c:pt>
                <c:pt idx="175">
                  <c:v>1169.2537822069319</c:v>
                </c:pt>
                <c:pt idx="176">
                  <c:v>1171.3924743806851</c:v>
                </c:pt>
                <c:pt idx="177">
                  <c:v>1173.427756727531</c:v>
                </c:pt>
                <c:pt idx="178">
                  <c:v>1175.3600253329564</c:v>
                </c:pt>
                <c:pt idx="179">
                  <c:v>1177.1896577367297</c:v>
                </c:pt>
                <c:pt idx="180">
                  <c:v>1178.9170134357166</c:v>
                </c:pt>
                <c:pt idx="181">
                  <c:v>1180.542434398003</c:v>
                </c:pt>
                <c:pt idx="182">
                  <c:v>1182.0662455928264</c:v>
                </c:pt>
                <c:pt idx="183">
                  <c:v>1183.4887555412233</c:v>
                </c:pt>
                <c:pt idx="184">
                  <c:v>1184.8102568926899</c:v>
                </c:pt>
                <c:pt idx="185">
                  <c:v>1186.0310270335058</c:v>
                </c:pt>
                <c:pt idx="186">
                  <c:v>1187.1513287326436</c:v>
                </c:pt>
                <c:pt idx="187">
                  <c:v>1188.1714108313329</c:v>
                </c:pt>
                <c:pt idx="188">
                  <c:v>1189.0915089823011</c:v>
                </c:pt>
                <c:pt idx="189">
                  <c:v>1189.9118464444084</c:v>
                </c:pt>
                <c:pt idx="190">
                  <c:v>1190.6326349377516</c:v>
                </c:pt>
                <c:pt idx="191">
                  <c:v>1191.2540755632692</c:v>
                </c:pt>
                <c:pt idx="192">
                  <c:v>1191.7763597893713</c:v>
                </c:pt>
                <c:pt idx="193">
                  <c:v>1192.1996705061306</c:v>
                </c:pt>
                <c:pt idx="194">
                  <c:v>1192.5241831451251</c:v>
                </c:pt>
                <c:pt idx="195">
                  <c:v>1192.7500668602081</c:v>
                </c:pt>
                <c:pt idx="196">
                  <c:v>1192.8774857614485</c:v>
                </c:pt>
                <c:pt idx="197">
                  <c:v>1192.9066001914607</c:v>
                </c:pt>
                <c:pt idx="198">
                  <c:v>1192.8375680305887</c:v>
                </c:pt>
                <c:pt idx="199">
                  <c:v>1192.6705460152034</c:v>
                </c:pt>
                <c:pt idx="200">
                  <c:v>1192.4056910519494</c:v>
                </c:pt>
                <c:pt idx="201">
                  <c:v>1192.0431615103162</c:v>
                </c:pt>
                <c:pt idx="202">
                  <c:v>1191.5831184764559</c:v>
                </c:pt>
                <c:pt idx="203">
                  <c:v>1191.0257269526617</c:v>
                </c:pt>
                <c:pt idx="204">
                  <c:v>1190.3711569891998</c:v>
                </c:pt>
                <c:pt idx="205">
                  <c:v>1189.6195847379886</c:v>
                </c:pt>
                <c:pt idx="206">
                  <c:v>1188.7711934206761</c:v>
                </c:pt>
                <c:pt idx="207">
                  <c:v>1187.826174206712</c:v>
                </c:pt>
                <c:pt idx="208">
                  <c:v>1186.7847269998153</c:v>
                </c:pt>
                <c:pt idx="209">
                  <c:v>1185.6470611336642</c:v>
                </c:pt>
                <c:pt idx="210">
                  <c:v>1184.4133959795777</c:v>
                </c:pt>
                <c:pt idx="211">
                  <c:v>1183.0839614704189</c:v>
                </c:pt>
                <c:pt idx="212">
                  <c:v>1181.6589985459332</c:v>
                </c:pt>
                <c:pt idx="213">
                  <c:v>1180.1387595253143</c:v>
                </c:pt>
                <c:pt idx="214">
                  <c:v>1178.5235084130379</c:v>
                </c:pt>
                <c:pt idx="215">
                  <c:v>1176.8135211439803</c:v>
                </c:pt>
                <c:pt idx="216">
                  <c:v>1175.0090857736438</c:v>
                </c:pt>
                <c:pt idx="217">
                  <c:v>1173.1105026189746</c:v>
                </c:pt>
                <c:pt idx="218">
                  <c:v>1171.1180843548634</c:v>
                </c:pt>
                <c:pt idx="219">
                  <c:v>1169.032156070976</c:v>
                </c:pt>
                <c:pt idx="220">
                  <c:v>1166.8530552931154</c:v>
                </c:pt>
                <c:pt idx="221">
                  <c:v>1164.5811319728855</c:v>
                </c:pt>
                <c:pt idx="222">
                  <c:v>1162.2167484490139</c:v>
                </c:pt>
                <c:pt idx="223">
                  <c:v>1159.7602793833171</c:v>
                </c:pt>
                <c:pt idx="224">
                  <c:v>1157.2121116739461</c:v>
                </c:pt>
                <c:pt idx="225">
                  <c:v>1154.5726443482492</c:v>
                </c:pt>
                <c:pt idx="226">
                  <c:v>1151.8422884373131</c:v>
                </c:pt>
                <c:pt idx="227">
                  <c:v>1149.0214668340068</c:v>
                </c:pt>
                <c:pt idx="228">
                  <c:v>1146.1106141361497</c:v>
                </c:pt>
                <c:pt idx="229">
                  <c:v>1143.1101764762343</c:v>
                </c:pt>
                <c:pt idx="230">
                  <c:v>1140.02061133899</c:v>
                </c:pt>
                <c:pt idx="231">
                  <c:v>1136.8423873679276</c:v>
                </c:pt>
                <c:pt idx="232">
                  <c:v>1133.575984161896</c:v>
                </c:pt>
                <c:pt idx="233">
                  <c:v>1130.2218920625769</c:v>
                </c:pt>
                <c:pt idx="234">
                  <c:v>1126.780611933757</c:v>
                </c:pt>
                <c:pt idx="235">
                  <c:v>1123.2526549331451</c:v>
                </c:pt>
                <c:pt idx="236">
                  <c:v>1119.6385422774331</c:v>
                </c:pt>
                <c:pt idx="237">
                  <c:v>1115.9388050012469</c:v>
                </c:pt>
                <c:pt idx="238">
                  <c:v>1112.1539837105815</c:v>
                </c:pt>
                <c:pt idx="239">
                  <c:v>1108.2846283312751</c:v>
                </c:pt>
                <c:pt idx="240">
                  <c:v>1104.3312978530391</c:v>
                </c:pt>
                <c:pt idx="241">
                  <c:v>1100.2945600695273</c:v>
                </c:pt>
                <c:pt idx="242">
                  <c:v>1096.1749913148999</c:v>
                </c:pt>
                <c:pt idx="243">
                  <c:v>1091.9731761973151</c:v>
                </c:pt>
                <c:pt idx="244">
                  <c:v>1087.6897073297523</c:v>
                </c:pt>
                <c:pt idx="245">
                  <c:v>1083.3251850585584</c:v>
                </c:pt>
                <c:pt idx="246">
                  <c:v>1078.8802171900829</c:v>
                </c:pt>
                <c:pt idx="247">
                  <c:v>1074.3554187157586</c:v>
                </c:pt>
                <c:pt idx="248">
                  <c:v>1069.7514115359613</c:v>
                </c:pt>
                <c:pt idx="249">
                  <c:v>1065.0688241829755</c:v>
                </c:pt>
                <c:pt idx="250">
                  <c:v>1060.3082915433745</c:v>
                </c:pt>
                <c:pt idx="251">
                  <c:v>1055.4704545801139</c:v>
                </c:pt>
                <c:pt idx="252">
                  <c:v>1050.5559600546253</c:v>
                </c:pt>
                <c:pt idx="253">
                  <c:v>1045.565460249185</c:v>
                </c:pt>
                <c:pt idx="254">
                  <c:v>1040.4996126898247</c:v>
                </c:pt>
                <c:pt idx="255">
                  <c:v>1035.3590798700379</c:v>
                </c:pt>
                <c:pt idx="256">
                  <c:v>1030.1445289755272</c:v>
                </c:pt>
                <c:pt idx="257">
                  <c:v>1024.856631610231</c:v>
                </c:pt>
                <c:pt idx="258">
                  <c:v>1019.4960635238532</c:v>
                </c:pt>
                <c:pt idx="259">
                  <c:v>1014.0635043411161</c:v>
                </c:pt>
                <c:pt idx="260">
                  <c:v>1008.5596372929447</c:v>
                </c:pt>
                <c:pt idx="261">
                  <c:v>1002.9851489497829</c:v>
                </c:pt>
                <c:pt idx="262">
                  <c:v>997.34072895723364</c:v>
                </c:pt>
                <c:pt idx="263">
                  <c:v>991.62706977420589</c:v>
                </c:pt>
                <c:pt idx="264">
                  <c:v>985.84486641374497</c:v>
                </c:pt>
                <c:pt idx="265">
                  <c:v>979.99481618671211</c:v>
                </c:pt>
                <c:pt idx="266">
                  <c:v>974.07761844847232</c:v>
                </c:pt>
                <c:pt idx="267">
                  <c:v>968.09397434874245</c:v>
                </c:pt>
                <c:pt idx="268">
                  <c:v>962.04458658474141</c:v>
                </c:pt>
                <c:pt idx="269">
                  <c:v>955.93015915777846</c:v>
                </c:pt>
                <c:pt idx="270">
                  <c:v>949.75139713340729</c:v>
                </c:pt>
                <c:pt idx="271">
                  <c:v>943.50900640526504</c:v>
                </c:pt>
                <c:pt idx="272">
                  <c:v>937.20369346270957</c:v>
                </c:pt>
                <c:pt idx="273">
                  <c:v>930.83616516235986</c:v>
                </c:pt>
                <c:pt idx="274">
                  <c:v>924.40712850363661</c:v>
                </c:pt>
                <c:pt idx="275">
                  <c:v>917.91729040839471</c:v>
                </c:pt>
                <c:pt idx="276">
                  <c:v>911.36735750473008</c:v>
                </c:pt>
                <c:pt idx="277">
                  <c:v>904.75803591503779</c:v>
                </c:pt>
                <c:pt idx="278">
                  <c:v>898.09003104839167</c:v>
                </c:pt>
                <c:pt idx="279">
                  <c:v>891.36404739730756</c:v>
                </c:pt>
                <c:pt idx="280">
                  <c:v>884.5807883389474</c:v>
                </c:pt>
                <c:pt idx="281">
                  <c:v>877.74095594081382</c:v>
                </c:pt>
                <c:pt idx="282">
                  <c:v>870.84525077097942</c:v>
                </c:pt>
                <c:pt idx="283">
                  <c:v>863.89437171288807</c:v>
                </c:pt>
                <c:pt idx="284">
                  <c:v>856.8890157847602</c:v>
                </c:pt>
                <c:pt idx="285">
                  <c:v>849.82987796362818</c:v>
                </c:pt>
                <c:pt idx="286">
                  <c:v>842.71765101402116</c:v>
                </c:pt>
                <c:pt idx="287">
                  <c:v>835.55302532131589</c:v>
                </c:pt>
                <c:pt idx="288">
                  <c:v>828.33668872976136</c:v>
                </c:pt>
                <c:pt idx="289">
                  <c:v>821.06932638518219</c:v>
                </c:pt>
                <c:pt idx="290">
                  <c:v>813.75162058236083</c:v>
                </c:pt>
                <c:pt idx="291">
                  <c:v>806.38425061709177</c:v>
                </c:pt>
                <c:pt idx="292">
                  <c:v>798.96789264289896</c:v>
                </c:pt>
                <c:pt idx="293">
                  <c:v>791.50321953240143</c:v>
                </c:pt>
                <c:pt idx="294">
                  <c:v>783.99090074330763</c:v>
                </c:pt>
                <c:pt idx="295">
                  <c:v>776.43160218901698</c:v>
                </c:pt>
                <c:pt idx="296">
                  <c:v>768.82598611380047</c:v>
                </c:pt>
                <c:pt idx="297">
                  <c:v>761.17471097253008</c:v>
                </c:pt>
                <c:pt idx="298">
                  <c:v>753.47843131492334</c:v>
                </c:pt>
                <c:pt idx="299">
                  <c:v>745.73779767426458</c:v>
                </c:pt>
                <c:pt idx="300">
                  <c:v>737.95345646056228</c:v>
                </c:pt>
                <c:pt idx="301">
                  <c:v>730.12604985809855</c:v>
                </c:pt>
                <c:pt idx="302">
                  <c:v>722.25621572732439</c:v>
                </c:pt>
                <c:pt idx="303">
                  <c:v>714.34458751104967</c:v>
                </c:pt>
                <c:pt idx="304">
                  <c:v>706.39179414487705</c:v>
                </c:pt>
                <c:pt idx="305">
                  <c:v>698.39845997182454</c:v>
                </c:pt>
                <c:pt idx="306">
                  <c:v>690.36520466107982</c:v>
                </c:pt>
                <c:pt idx="307">
                  <c:v>682.29264313082706</c:v>
                </c:pt>
                <c:pt idx="308">
                  <c:v>674.18138547508579</c:v>
                </c:pt>
                <c:pt idx="309">
                  <c:v>666.03203689449856</c:v>
                </c:pt>
                <c:pt idx="310">
                  <c:v>657.84519763100297</c:v>
                </c:pt>
                <c:pt idx="311">
                  <c:v>649.62146290632199</c:v>
                </c:pt>
                <c:pt idx="312">
                  <c:v>641.36142286420568</c:v>
                </c:pt>
                <c:pt idx="313">
                  <c:v>633.06566251635491</c:v>
                </c:pt>
                <c:pt idx="314">
                  <c:v>624.7347616919576</c:v>
                </c:pt>
                <c:pt idx="315">
                  <c:v>616.36929499076689</c:v>
                </c:pt>
                <c:pt idx="316">
                  <c:v>607.96983173964952</c:v>
                </c:pt>
                <c:pt idx="317">
                  <c:v>599.53693595253185</c:v>
                </c:pt>
                <c:pt idx="318">
                  <c:v>591.07116629367033</c:v>
                </c:pt>
                <c:pt idx="319">
                  <c:v>582.5730760441736</c:v>
                </c:pt>
                <c:pt idx="320">
                  <c:v>574.04321307170119</c:v>
                </c:pt>
                <c:pt idx="321">
                  <c:v>565.48211980326528</c:v>
                </c:pt>
                <c:pt idx="322">
                  <c:v>556.89033320106091</c:v>
                </c:pt>
                <c:pt idx="323">
                  <c:v>548.26838474124929</c:v>
                </c:pt>
                <c:pt idx="324">
                  <c:v>539.616800395621</c:v>
                </c:pt>
                <c:pt idx="325">
                  <c:v>530.9361006160625</c:v>
                </c:pt>
                <c:pt idx="326">
                  <c:v>522.22680032175333</c:v>
                </c:pt>
                <c:pt idx="327">
                  <c:v>513.4894088890187</c:v>
                </c:pt>
                <c:pt idx="328">
                  <c:v>504.72443014376347</c:v>
                </c:pt>
                <c:pt idx="329">
                  <c:v>495.93236235641467</c:v>
                </c:pt>
                <c:pt idx="330">
                  <c:v>487.11369823929857</c:v>
                </c:pt>
                <c:pt idx="331">
                  <c:v>478.26892494638025</c:v>
                </c:pt>
                <c:pt idx="332">
                  <c:v>469.39852407529332</c:v>
                </c:pt>
                <c:pt idx="333">
                  <c:v>460.50297167158828</c:v>
                </c:pt>
                <c:pt idx="334">
                  <c:v>451.58273823512894</c:v>
                </c:pt>
                <c:pt idx="335">
                  <c:v>442.63828872856652</c:v>
                </c:pt>
                <c:pt idx="336">
                  <c:v>433.67008258782238</c:v>
                </c:pt>
                <c:pt idx="337">
                  <c:v>424.67857373451085</c:v>
                </c:pt>
                <c:pt idx="338">
                  <c:v>415.66421059023457</c:v>
                </c:pt>
                <c:pt idx="339">
                  <c:v>406.6274360926854</c:v>
                </c:pt>
                <c:pt idx="340">
                  <c:v>397.56868771348525</c:v>
                </c:pt>
                <c:pt idx="341">
                  <c:v>388.48839747770222</c:v>
                </c:pt>
                <c:pt idx="342">
                  <c:v>379.38699198497767</c:v>
                </c:pt>
                <c:pt idx="343">
                  <c:v>370.26489243220198</c:v>
                </c:pt>
                <c:pt idx="344">
                  <c:v>361.12251463767672</c:v>
                </c:pt>
                <c:pt idx="345">
                  <c:v>351.96026906670289</c:v>
                </c:pt>
                <c:pt idx="346">
                  <c:v>342.77856085853557</c:v>
                </c:pt>
                <c:pt idx="347">
                  <c:v>333.57778985464586</c:v>
                </c:pt>
                <c:pt idx="348">
                  <c:v>324.35835062823372</c:v>
                </c:pt>
                <c:pt idx="349">
                  <c:v>315.12063251493453</c:v>
                </c:pt>
                <c:pt idx="350">
                  <c:v>305.86501964466459</c:v>
                </c:pt>
                <c:pt idx="351">
                  <c:v>296.59189097455169</c:v>
                </c:pt>
                <c:pt idx="352">
                  <c:v>287.30162032289758</c:v>
                </c:pt>
                <c:pt idx="353">
                  <c:v>277.99457640412089</c:v>
                </c:pt>
                <c:pt idx="354">
                  <c:v>268.67112286462987</c:v>
                </c:pt>
                <c:pt idx="355">
                  <c:v>259.33161831957568</c:v>
                </c:pt>
                <c:pt idx="356">
                  <c:v>249.97641639043798</c:v>
                </c:pt>
                <c:pt idx="357">
                  <c:v>240.60586574339555</c:v>
                </c:pt>
                <c:pt idx="358">
                  <c:v>231.22031012843672</c:v>
                </c:pt>
                <c:pt idx="359">
                  <c:v>221.82008841916411</c:v>
                </c:pt>
                <c:pt idx="360">
                  <c:v>212.40553465325058</c:v>
                </c:pt>
                <c:pt idx="361">
                  <c:v>202.97697807350397</c:v>
                </c:pt>
                <c:pt idx="362">
                  <c:v>193.53474316949905</c:v>
                </c:pt>
                <c:pt idx="363">
                  <c:v>184.07914971973685</c:v>
                </c:pt>
                <c:pt idx="364">
                  <c:v>174.61051283429205</c:v>
                </c:pt>
                <c:pt idx="365">
                  <c:v>165.12914299791078</c:v>
                </c:pt>
                <c:pt idx="366">
                  <c:v>155.63534611352159</c:v>
                </c:pt>
                <c:pt idx="367">
                  <c:v>146.12942354612437</c:v>
                </c:pt>
                <c:pt idx="368">
                  <c:v>136.61167216702205</c:v>
                </c:pt>
                <c:pt idx="369">
                  <c:v>127.08238439836165</c:v>
                </c:pt>
                <c:pt idx="370">
                  <c:v>117.54184825795227</c:v>
                </c:pt>
                <c:pt idx="371">
                  <c:v>107.99034740432809</c:v>
                </c:pt>
                <c:pt idx="372">
                  <c:v>98.428161182026258</c:v>
                </c:pt>
                <c:pt idx="373">
                  <c:v>88.855564667049734</c:v>
                </c:pt>
                <c:pt idx="374">
                  <c:v>79.272828712486884</c:v>
                </c:pt>
                <c:pt idx="375">
                  <c:v>69.680219994259986</c:v>
                </c:pt>
                <c:pt idx="376">
                  <c:v>60.078001056976142</c:v>
                </c:pt>
                <c:pt idx="377">
                  <c:v>50.46643035985484</c:v>
                </c:pt>
                <c:pt idx="378">
                  <c:v>40.845762322707415</c:v>
                </c:pt>
                <c:pt idx="379">
                  <c:v>31.216247371944455</c:v>
                </c:pt>
                <c:pt idx="380">
                  <c:v>21.578131986588218</c:v>
                </c:pt>
                <c:pt idx="381">
                  <c:v>11.931658744267859</c:v>
                </c:pt>
                <c:pt idx="382">
                  <c:v>2.2770663671762055</c:v>
                </c:pt>
                <c:pt idx="383">
                  <c:v>-7.3854102320324149</c:v>
                </c:pt>
                <c:pt idx="384">
                  <c:v>-7.395076596257061</c:v>
                </c:pt>
                <c:pt idx="385">
                  <c:v>-7.4047429680200283</c:v>
                </c:pt>
                <c:pt idx="386">
                  <c:v>-7.4144093473210919</c:v>
                </c:pt>
                <c:pt idx="387">
                  <c:v>-7.4240757341600263</c:v>
                </c:pt>
                <c:pt idx="388">
                  <c:v>-7.4337421285366059</c:v>
                </c:pt>
                <c:pt idx="389">
                  <c:v>-7.4434085304506059</c:v>
                </c:pt>
                <c:pt idx="390">
                  <c:v>-7.4530749399018008</c:v>
                </c:pt>
                <c:pt idx="391">
                  <c:v>-7.462741356889965</c:v>
                </c:pt>
                <c:pt idx="392">
                  <c:v>-7.4724077814148728</c:v>
                </c:pt>
                <c:pt idx="393">
                  <c:v>-7.4820742134762996</c:v>
                </c:pt>
                <c:pt idx="394">
                  <c:v>-7.4917406530740207</c:v>
                </c:pt>
                <c:pt idx="395">
                  <c:v>-7.5014071002078104</c:v>
                </c:pt>
                <c:pt idx="396">
                  <c:v>-7.5110735548774432</c:v>
                </c:pt>
                <c:pt idx="397">
                  <c:v>-7.5207400170826935</c:v>
                </c:pt>
                <c:pt idx="398">
                  <c:v>-7.5304064868233365</c:v>
                </c:pt>
                <c:pt idx="399">
                  <c:v>-7.5400729640991466</c:v>
                </c:pt>
                <c:pt idx="400">
                  <c:v>-7.5497394489098992</c:v>
                </c:pt>
                <c:pt idx="401">
                  <c:v>-7.5594059412553687</c:v>
                </c:pt>
                <c:pt idx="402">
                  <c:v>-7.5690724411353294</c:v>
                </c:pt>
                <c:pt idx="403">
                  <c:v>-7.5787389485495567</c:v>
                </c:pt>
                <c:pt idx="404">
                  <c:v>-7.5884054634978249</c:v>
                </c:pt>
                <c:pt idx="405">
                  <c:v>-7.5980719859799093</c:v>
                </c:pt>
                <c:pt idx="406">
                  <c:v>-7.6077385159955844</c:v>
                </c:pt>
                <c:pt idx="407">
                  <c:v>-7.6174050535446254</c:v>
                </c:pt>
                <c:pt idx="408">
                  <c:v>-7.6270715986268058</c:v>
                </c:pt>
                <c:pt idx="409">
                  <c:v>-7.6367381512419019</c:v>
                </c:pt>
                <c:pt idx="410">
                  <c:v>-7.6464047113896871</c:v>
                </c:pt>
                <c:pt idx="411">
                  <c:v>-7.6560712790699377</c:v>
                </c:pt>
                <c:pt idx="412">
                  <c:v>-7.665737854282427</c:v>
                </c:pt>
                <c:pt idx="413">
                  <c:v>-7.6754044370269305</c:v>
                </c:pt>
                <c:pt idx="414">
                  <c:v>-7.6850710273032234</c:v>
                </c:pt>
                <c:pt idx="415">
                  <c:v>-7.6947376251110802</c:v>
                </c:pt>
                <c:pt idx="416">
                  <c:v>-7.7044042304502751</c:v>
                </c:pt>
                <c:pt idx="417">
                  <c:v>-7.7140708433205836</c:v>
                </c:pt>
                <c:pt idx="418">
                  <c:v>-7.7237374637217808</c:v>
                </c:pt>
                <c:pt idx="419">
                  <c:v>-7.7334040916536404</c:v>
                </c:pt>
                <c:pt idx="420">
                  <c:v>-7.7430707271159385</c:v>
                </c:pt>
                <c:pt idx="421">
                  <c:v>-7.7527373701084485</c:v>
                </c:pt>
                <c:pt idx="422">
                  <c:v>-7.7624040206309468</c:v>
                </c:pt>
                <c:pt idx="423">
                  <c:v>-7.7720706786832068</c:v>
                </c:pt>
                <c:pt idx="424">
                  <c:v>-7.7817373442650046</c:v>
                </c:pt>
                <c:pt idx="425">
                  <c:v>-7.7914040173761139</c:v>
                </c:pt>
                <c:pt idx="426">
                  <c:v>-7.8010706980163098</c:v>
                </c:pt>
                <c:pt idx="427">
                  <c:v>-7.8107373861853677</c:v>
                </c:pt>
                <c:pt idx="428">
                  <c:v>-7.820404081883062</c:v>
                </c:pt>
                <c:pt idx="429">
                  <c:v>-7.830070785109168</c:v>
                </c:pt>
                <c:pt idx="430">
                  <c:v>-7.83973749586346</c:v>
                </c:pt>
                <c:pt idx="431">
                  <c:v>-7.8494042141457134</c:v>
                </c:pt>
                <c:pt idx="432">
                  <c:v>-7.8590709399557026</c:v>
                </c:pt>
                <c:pt idx="433">
                  <c:v>-7.8687376732932028</c:v>
                </c:pt>
                <c:pt idx="434">
                  <c:v>-7.8784044141579885</c:v>
                </c:pt>
                <c:pt idx="435">
                  <c:v>-7.888071162549835</c:v>
                </c:pt>
                <c:pt idx="436">
                  <c:v>-7.8977379184685175</c:v>
                </c:pt>
                <c:pt idx="437">
                  <c:v>-7.9074046819138104</c:v>
                </c:pt>
                <c:pt idx="438">
                  <c:v>-7.9170714528854882</c:v>
                </c:pt>
                <c:pt idx="439">
                  <c:v>-7.9267382313833261</c:v>
                </c:pt>
                <c:pt idx="440">
                  <c:v>-7.9364050174070995</c:v>
                </c:pt>
                <c:pt idx="441">
                  <c:v>-7.9460718109565827</c:v>
                </c:pt>
                <c:pt idx="442">
                  <c:v>-7.9557386120315501</c:v>
                </c:pt>
                <c:pt idx="443">
                  <c:v>-7.9654054206317779</c:v>
                </c:pt>
                <c:pt idx="444">
                  <c:v>-7.9750722367570406</c:v>
                </c:pt>
                <c:pt idx="445">
                  <c:v>-7.9847390604071125</c:v>
                </c:pt>
                <c:pt idx="446">
                  <c:v>-7.9944058915817688</c:v>
                </c:pt>
                <c:pt idx="447">
                  <c:v>-8.0040727302807841</c:v>
                </c:pt>
                <c:pt idx="448">
                  <c:v>-8.0137395765039336</c:v>
                </c:pt>
                <c:pt idx="449">
                  <c:v>-8.0234064302509935</c:v>
                </c:pt>
                <c:pt idx="450">
                  <c:v>-8.0330732915217364</c:v>
                </c:pt>
                <c:pt idx="451">
                  <c:v>-8.0427401603159385</c:v>
                </c:pt>
                <c:pt idx="452">
                  <c:v>-8.052407036633376</c:v>
                </c:pt>
                <c:pt idx="453">
                  <c:v>-8.0620739204738214</c:v>
                </c:pt>
                <c:pt idx="454">
                  <c:v>-8.0717408118370511</c:v>
                </c:pt>
                <c:pt idx="455">
                  <c:v>-8.0814077107228393</c:v>
                </c:pt>
                <c:pt idx="456">
                  <c:v>-8.0910746171309622</c:v>
                </c:pt>
                <c:pt idx="457">
                  <c:v>-8.1007415310611925</c:v>
                </c:pt>
                <c:pt idx="458">
                  <c:v>-8.1104084525133082</c:v>
                </c:pt>
                <c:pt idx="459">
                  <c:v>-8.1200753814870819</c:v>
                </c:pt>
                <c:pt idx="460">
                  <c:v>-8.1297423179822896</c:v>
                </c:pt>
                <c:pt idx="461">
                  <c:v>-8.139409261998706</c:v>
                </c:pt>
                <c:pt idx="462">
                  <c:v>-8.1490762135361052</c:v>
                </c:pt>
                <c:pt idx="463">
                  <c:v>-8.1587431725942636</c:v>
                </c:pt>
                <c:pt idx="464">
                  <c:v>-8.1684101391729556</c:v>
                </c:pt>
                <c:pt idx="465">
                  <c:v>-8.1780771132719554</c:v>
                </c:pt>
                <c:pt idx="466">
                  <c:v>-8.1877440948910394</c:v>
                </c:pt>
                <c:pt idx="467">
                  <c:v>-8.1974110840299819</c:v>
                </c:pt>
                <c:pt idx="468">
                  <c:v>-8.2070780806885573</c:v>
                </c:pt>
                <c:pt idx="469">
                  <c:v>-8.2167450848665418</c:v>
                </c:pt>
                <c:pt idx="470">
                  <c:v>-8.2264120965637098</c:v>
                </c:pt>
                <c:pt idx="471">
                  <c:v>-8.2360791157798374</c:v>
                </c:pt>
                <c:pt idx="472">
                  <c:v>-8.2457461425146974</c:v>
                </c:pt>
                <c:pt idx="473">
                  <c:v>-8.2554131767680659</c:v>
                </c:pt>
                <c:pt idx="474">
                  <c:v>-8.265080218539719</c:v>
                </c:pt>
                <c:pt idx="475">
                  <c:v>-8.2747472678294294</c:v>
                </c:pt>
                <c:pt idx="476">
                  <c:v>-8.284414324636975</c:v>
                </c:pt>
                <c:pt idx="477">
                  <c:v>-8.2940813889621285</c:v>
                </c:pt>
                <c:pt idx="478">
                  <c:v>-8.3037484608046661</c:v>
                </c:pt>
                <c:pt idx="479">
                  <c:v>-8.3134155401643621</c:v>
                </c:pt>
                <c:pt idx="480">
                  <c:v>-8.3230826270409928</c:v>
                </c:pt>
                <c:pt idx="481">
                  <c:v>-8.3327497214343307</c:v>
                </c:pt>
                <c:pt idx="482">
                  <c:v>-8.3424168233441538</c:v>
                </c:pt>
                <c:pt idx="483">
                  <c:v>-8.3520839327702348</c:v>
                </c:pt>
                <c:pt idx="484">
                  <c:v>-8.3617510497123497</c:v>
                </c:pt>
                <c:pt idx="485">
                  <c:v>-8.3714181741702749</c:v>
                </c:pt>
                <c:pt idx="486">
                  <c:v>-8.3810853061437829</c:v>
                </c:pt>
                <c:pt idx="487">
                  <c:v>-8.3907524456326499</c:v>
                </c:pt>
                <c:pt idx="488">
                  <c:v>-8.4004195926366521</c:v>
                </c:pt>
                <c:pt idx="489">
                  <c:v>-8.4100867471555638</c:v>
                </c:pt>
                <c:pt idx="490">
                  <c:v>-8.4197539091891596</c:v>
                </c:pt>
                <c:pt idx="491">
                  <c:v>-8.4294210787372155</c:v>
                </c:pt>
                <c:pt idx="492">
                  <c:v>-8.4390882557995042</c:v>
                </c:pt>
                <c:pt idx="493">
                  <c:v>-8.4487554403758036</c:v>
                </c:pt>
                <c:pt idx="494">
                  <c:v>-8.4584226324658882</c:v>
                </c:pt>
                <c:pt idx="495">
                  <c:v>-8.4680898320695324</c:v>
                </c:pt>
                <c:pt idx="496">
                  <c:v>-8.4777570391865105</c:v>
                </c:pt>
                <c:pt idx="497">
                  <c:v>-8.4874242538165987</c:v>
                </c:pt>
                <c:pt idx="498">
                  <c:v>-8.4970914759595733</c:v>
                </c:pt>
                <c:pt idx="499">
                  <c:v>-8.5067587056152068</c:v>
                </c:pt>
                <c:pt idx="500">
                  <c:v>-8.5164259427832754</c:v>
                </c:pt>
                <c:pt idx="501">
                  <c:v>-8.5260931874635553</c:v>
                </c:pt>
                <c:pt idx="502">
                  <c:v>-8.5357604396558209</c:v>
                </c:pt>
                <c:pt idx="503">
                  <c:v>-8.5454276993598466</c:v>
                </c:pt>
                <c:pt idx="504">
                  <c:v>-8.5550949665754086</c:v>
                </c:pt>
                <c:pt idx="505">
                  <c:v>-8.5647622413022813</c:v>
                </c:pt>
                <c:pt idx="506">
                  <c:v>-8.5744295235402408</c:v>
                </c:pt>
                <c:pt idx="507">
                  <c:v>-8.5840968132890616</c:v>
                </c:pt>
                <c:pt idx="508">
                  <c:v>-8.5937641105485181</c:v>
                </c:pt>
                <c:pt idx="509">
                  <c:v>-8.6034314153183864</c:v>
                </c:pt>
                <c:pt idx="510">
                  <c:v>-8.613098727598441</c:v>
                </c:pt>
                <c:pt idx="511">
                  <c:v>-8.622766047388458</c:v>
                </c:pt>
                <c:pt idx="512">
                  <c:v>-8.6324333746882118</c:v>
                </c:pt>
                <c:pt idx="513">
                  <c:v>-8.6421007094974769</c:v>
                </c:pt>
                <c:pt idx="514">
                  <c:v>-8.6517680518160294</c:v>
                </c:pt>
                <c:pt idx="515">
                  <c:v>-8.6614354016436437</c:v>
                </c:pt>
                <c:pt idx="516">
                  <c:v>-8.671102758980096</c:v>
                </c:pt>
                <c:pt idx="517">
                  <c:v>-8.6807701238251607</c:v>
                </c:pt>
                <c:pt idx="518">
                  <c:v>-8.6904374961786139</c:v>
                </c:pt>
                <c:pt idx="519">
                  <c:v>-8.7001048760402302</c:v>
                </c:pt>
                <c:pt idx="520">
                  <c:v>-8.7097722634097856</c:v>
                </c:pt>
                <c:pt idx="521">
                  <c:v>-8.7194396582870546</c:v>
                </c:pt>
                <c:pt idx="522">
                  <c:v>-8.7291070606718115</c:v>
                </c:pt>
                <c:pt idx="523">
                  <c:v>-8.7387744705638326</c:v>
                </c:pt>
                <c:pt idx="524">
                  <c:v>-8.7484418879628922</c:v>
                </c:pt>
                <c:pt idx="525">
                  <c:v>-8.7581093128687666</c:v>
                </c:pt>
                <c:pt idx="526">
                  <c:v>-8.7677767452812301</c:v>
                </c:pt>
                <c:pt idx="527">
                  <c:v>-8.7774441852000589</c:v>
                </c:pt>
                <c:pt idx="528">
                  <c:v>-8.7871116326250274</c:v>
                </c:pt>
                <c:pt idx="529">
                  <c:v>-8.7967790875559118</c:v>
                </c:pt>
                <c:pt idx="530">
                  <c:v>-8.8064465499924864</c:v>
                </c:pt>
                <c:pt idx="531">
                  <c:v>-8.8161140199345258</c:v>
                </c:pt>
                <c:pt idx="532">
                  <c:v>-8.8257814973818061</c:v>
                </c:pt>
                <c:pt idx="533">
                  <c:v>-8.8354489823341016</c:v>
                </c:pt>
                <c:pt idx="534">
                  <c:v>-8.8451164747911886</c:v>
                </c:pt>
                <c:pt idx="535">
                  <c:v>-8.8547839747528432</c:v>
                </c:pt>
                <c:pt idx="536">
                  <c:v>-8.8644514822188398</c:v>
                </c:pt>
                <c:pt idx="537">
                  <c:v>-8.8741189971889529</c:v>
                </c:pt>
                <c:pt idx="538">
                  <c:v>-8.8837865196629586</c:v>
                </c:pt>
                <c:pt idx="539">
                  <c:v>-8.8934540496406314</c:v>
                </c:pt>
                <c:pt idx="540">
                  <c:v>-8.9031215871217473</c:v>
                </c:pt>
                <c:pt idx="541">
                  <c:v>-8.9127891321060808</c:v>
                </c:pt>
                <c:pt idx="542">
                  <c:v>-8.9224566845934081</c:v>
                </c:pt>
                <c:pt idx="543">
                  <c:v>-8.9321242445835036</c:v>
                </c:pt>
                <c:pt idx="544">
                  <c:v>-8.9417918120761435</c:v>
                </c:pt>
                <c:pt idx="545">
                  <c:v>-8.9514593870711021</c:v>
                </c:pt>
                <c:pt idx="546">
                  <c:v>-8.9611269695681539</c:v>
                </c:pt>
                <c:pt idx="547">
                  <c:v>-8.9707945595670768</c:v>
                </c:pt>
                <c:pt idx="548">
                  <c:v>-8.9804621570676435</c:v>
                </c:pt>
                <c:pt idx="549">
                  <c:v>-8.9901297620696301</c:v>
                </c:pt>
                <c:pt idx="550">
                  <c:v>-8.9997973745728128</c:v>
                </c:pt>
                <c:pt idx="551">
                  <c:v>-9.009464994576966</c:v>
                </c:pt>
                <c:pt idx="552">
                  <c:v>-9.0191326220818659</c:v>
                </c:pt>
                <c:pt idx="553">
                  <c:v>-9.028800257087287</c:v>
                </c:pt>
                <c:pt idx="554">
                  <c:v>-9.0384678995930052</c:v>
                </c:pt>
                <c:pt idx="555">
                  <c:v>-9.0481355495987952</c:v>
                </c:pt>
                <c:pt idx="556">
                  <c:v>-9.057803207104433</c:v>
                </c:pt>
                <c:pt idx="557">
                  <c:v>-9.067470872109693</c:v>
                </c:pt>
                <c:pt idx="558">
                  <c:v>-9.0771385446143515</c:v>
                </c:pt>
                <c:pt idx="559">
                  <c:v>-9.0868062246181829</c:v>
                </c:pt>
                <c:pt idx="560">
                  <c:v>-9.0964739121209632</c:v>
                </c:pt>
                <c:pt idx="561">
                  <c:v>-9.106141607122467</c:v>
                </c:pt>
                <c:pt idx="562">
                  <c:v>-9.1158093096224704</c:v>
                </c:pt>
                <c:pt idx="563">
                  <c:v>-9.1254770196207478</c:v>
                </c:pt>
                <c:pt idx="564">
                  <c:v>-9.1351447371170753</c:v>
                </c:pt>
                <c:pt idx="565">
                  <c:v>-9.1448124621112292</c:v>
                </c:pt>
                <c:pt idx="566">
                  <c:v>-9.1544801946029839</c:v>
                </c:pt>
                <c:pt idx="567">
                  <c:v>-9.1641479345921137</c:v>
                </c:pt>
                <c:pt idx="568">
                  <c:v>-9.1738156820783949</c:v>
                </c:pt>
                <c:pt idx="569">
                  <c:v>-9.1834834370616036</c:v>
                </c:pt>
                <c:pt idx="570">
                  <c:v>-9.1931511995415143</c:v>
                </c:pt>
                <c:pt idx="571">
                  <c:v>-9.202818969517903</c:v>
                </c:pt>
                <c:pt idx="572">
                  <c:v>-9.2124867469905443</c:v>
                </c:pt>
                <c:pt idx="573">
                  <c:v>-9.2221545319592124</c:v>
                </c:pt>
                <c:pt idx="574">
                  <c:v>-9.2318223244236854</c:v>
                </c:pt>
                <c:pt idx="575">
                  <c:v>-9.2414901243837377</c:v>
                </c:pt>
                <c:pt idx="576">
                  <c:v>-9.2511579318391437</c:v>
                </c:pt>
                <c:pt idx="577">
                  <c:v>-9.2608257467896795</c:v>
                </c:pt>
                <c:pt idx="578">
                  <c:v>-9.2704935692351214</c:v>
                </c:pt>
                <c:pt idx="579">
                  <c:v>-9.2801613991752436</c:v>
                </c:pt>
                <c:pt idx="580">
                  <c:v>-9.2898292366098207</c:v>
                </c:pt>
                <c:pt idx="581">
                  <c:v>-9.2994970815386306</c:v>
                </c:pt>
                <c:pt idx="582">
                  <c:v>-9.309164933961446</c:v>
                </c:pt>
                <c:pt idx="583">
                  <c:v>-9.3188327938780446</c:v>
                </c:pt>
                <c:pt idx="584">
                  <c:v>-9.3285006612882011</c:v>
                </c:pt>
                <c:pt idx="585">
                  <c:v>-9.3381685361916897</c:v>
                </c:pt>
                <c:pt idx="586">
                  <c:v>-9.3478364185882867</c:v>
                </c:pt>
                <c:pt idx="587">
                  <c:v>-9.3575043084777683</c:v>
                </c:pt>
                <c:pt idx="588">
                  <c:v>-9.3671722058599087</c:v>
                </c:pt>
                <c:pt idx="589">
                  <c:v>-9.3768401107344843</c:v>
                </c:pt>
                <c:pt idx="590">
                  <c:v>-9.3865080231012694</c:v>
                </c:pt>
                <c:pt idx="591">
                  <c:v>-9.3961759429600402</c:v>
                </c:pt>
                <c:pt idx="592">
                  <c:v>-9.4058438703105729</c:v>
                </c:pt>
                <c:pt idx="593">
                  <c:v>-9.4155118051526419</c:v>
                </c:pt>
                <c:pt idx="594">
                  <c:v>-9.4251797474860233</c:v>
                </c:pt>
                <c:pt idx="595">
                  <c:v>-9.4348476973104916</c:v>
                </c:pt>
                <c:pt idx="596">
                  <c:v>-9.4445156546258229</c:v>
                </c:pt>
                <c:pt idx="597">
                  <c:v>-9.4541836194317916</c:v>
                </c:pt>
                <c:pt idx="598">
                  <c:v>-9.463851591728174</c:v>
                </c:pt>
                <c:pt idx="599">
                  <c:v>-9.4735195715147462</c:v>
                </c:pt>
                <c:pt idx="600">
                  <c:v>-9.4831875587912826</c:v>
                </c:pt>
                <c:pt idx="601">
                  <c:v>-9.4928555535575594</c:v>
                </c:pt>
                <c:pt idx="602">
                  <c:v>-9.5025235558133527</c:v>
                </c:pt>
                <c:pt idx="603">
                  <c:v>-9.512191565558437</c:v>
                </c:pt>
                <c:pt idx="604">
                  <c:v>-9.5218595827925885</c:v>
                </c:pt>
                <c:pt idx="605">
                  <c:v>-9.5315276075155815</c:v>
                </c:pt>
                <c:pt idx="606">
                  <c:v>-9.5411956397271922</c:v>
                </c:pt>
                <c:pt idx="607">
                  <c:v>-9.5508636794271968</c:v>
                </c:pt>
                <c:pt idx="608">
                  <c:v>-9.5605317266153698</c:v>
                </c:pt>
                <c:pt idx="609">
                  <c:v>-9.5701997812914872</c:v>
                </c:pt>
                <c:pt idx="610">
                  <c:v>-9.5798678434553235</c:v>
                </c:pt>
                <c:pt idx="611">
                  <c:v>-9.5895359131066549</c:v>
                </c:pt>
                <c:pt idx="612">
                  <c:v>-9.5992039902452575</c:v>
                </c:pt>
                <c:pt idx="613">
                  <c:v>-9.6088720748709058</c:v>
                </c:pt>
                <c:pt idx="614">
                  <c:v>-9.6185401669833759</c:v>
                </c:pt>
                <c:pt idx="615">
                  <c:v>-9.628208266582444</c:v>
                </c:pt>
                <c:pt idx="616">
                  <c:v>-9.6378763736678845</c:v>
                </c:pt>
                <c:pt idx="617">
                  <c:v>-9.6475444882394736</c:v>
                </c:pt>
                <c:pt idx="618">
                  <c:v>-9.6572126102969875</c:v>
                </c:pt>
                <c:pt idx="619">
                  <c:v>-9.6668807398402006</c:v>
                </c:pt>
                <c:pt idx="620">
                  <c:v>-9.676548876868889</c:v>
                </c:pt>
                <c:pt idx="621">
                  <c:v>-9.6862170213828271</c:v>
                </c:pt>
                <c:pt idx="622">
                  <c:v>-9.6958851733817912</c:v>
                </c:pt>
                <c:pt idx="623">
                  <c:v>-9.7055533328655574</c:v>
                </c:pt>
                <c:pt idx="624">
                  <c:v>-9.7152214998339002</c:v>
                </c:pt>
                <c:pt idx="625">
                  <c:v>-9.7248896742865956</c:v>
                </c:pt>
                <c:pt idx="626">
                  <c:v>-9.7345578562234198</c:v>
                </c:pt>
                <c:pt idx="627">
                  <c:v>-9.7442260456441492</c:v>
                </c:pt>
                <c:pt idx="628">
                  <c:v>-9.753894242548558</c:v>
                </c:pt>
                <c:pt idx="629">
                  <c:v>-9.7635624469364206</c:v>
                </c:pt>
                <c:pt idx="630">
                  <c:v>-9.7732306588075151</c:v>
                </c:pt>
                <c:pt idx="631">
                  <c:v>-9.7828988781616157</c:v>
                </c:pt>
                <c:pt idx="632">
                  <c:v>-9.792567104998497</c:v>
                </c:pt>
                <c:pt idx="633">
                  <c:v>-9.8022353393179369</c:v>
                </c:pt>
                <c:pt idx="634">
                  <c:v>-9.8119035811197097</c:v>
                </c:pt>
                <c:pt idx="635">
                  <c:v>-9.8215718304035899</c:v>
                </c:pt>
                <c:pt idx="636">
                  <c:v>-9.8312400871693555</c:v>
                </c:pt>
                <c:pt idx="637">
                  <c:v>-9.8409083514167808</c:v>
                </c:pt>
                <c:pt idx="638">
                  <c:v>-9.850576623145642</c:v>
                </c:pt>
                <c:pt idx="639">
                  <c:v>-9.8602449023557135</c:v>
                </c:pt>
                <c:pt idx="640">
                  <c:v>-9.8699131890467715</c:v>
                </c:pt>
                <c:pt idx="641">
                  <c:v>-9.8795814832185922</c:v>
                </c:pt>
                <c:pt idx="642">
                  <c:v>-9.88924978487095</c:v>
                </c:pt>
                <c:pt idx="643">
                  <c:v>-9.8989180940036228</c:v>
                </c:pt>
                <c:pt idx="644">
                  <c:v>-9.908586410616385</c:v>
                </c:pt>
                <c:pt idx="645">
                  <c:v>-9.9182547347090111</c:v>
                </c:pt>
                <c:pt idx="646">
                  <c:v>-9.9279230662812772</c:v>
                </c:pt>
                <c:pt idx="647">
                  <c:v>-9.9375914053329595</c:v>
                </c:pt>
                <c:pt idx="648">
                  <c:v>-9.9472597518638342</c:v>
                </c:pt>
                <c:pt idx="649">
                  <c:v>-9.9569281058736756</c:v>
                </c:pt>
                <c:pt idx="650">
                  <c:v>-9.96659646736226</c:v>
                </c:pt>
                <c:pt idx="651">
                  <c:v>-9.9762648363293636</c:v>
                </c:pt>
                <c:pt idx="652">
                  <c:v>-9.9859332127747624</c:v>
                </c:pt>
                <c:pt idx="653">
                  <c:v>-9.995601596698231</c:v>
                </c:pt>
                <c:pt idx="654">
                  <c:v>-10.005269988099545</c:v>
                </c:pt>
                <c:pt idx="655">
                  <c:v>-10.01493838697848</c:v>
                </c:pt>
                <c:pt idx="656">
                  <c:v>-10.024606793334813</c:v>
                </c:pt>
                <c:pt idx="657">
                  <c:v>-10.034275207168319</c:v>
                </c:pt>
                <c:pt idx="658">
                  <c:v>-10.043943628478774</c:v>
                </c:pt>
                <c:pt idx="659">
                  <c:v>-10.053612057265951</c:v>
                </c:pt>
                <c:pt idx="660">
                  <c:v>-10.063280493529629</c:v>
                </c:pt>
                <c:pt idx="661">
                  <c:v>-10.072948937269581</c:v>
                </c:pt>
                <c:pt idx="662">
                  <c:v>-10.082617388485586</c:v>
                </c:pt>
                <c:pt idx="663">
                  <c:v>-10.092285847177417</c:v>
                </c:pt>
                <c:pt idx="664">
                  <c:v>-10.101954313344851</c:v>
                </c:pt>
                <c:pt idx="665">
                  <c:v>-10.111622786987663</c:v>
                </c:pt>
                <c:pt idx="666">
                  <c:v>-10.12129126810563</c:v>
                </c:pt>
                <c:pt idx="667">
                  <c:v>-10.130959756698525</c:v>
                </c:pt>
                <c:pt idx="668">
                  <c:v>-10.140628252766128</c:v>
                </c:pt>
                <c:pt idx="669">
                  <c:v>-10.15029675630821</c:v>
                </c:pt>
                <c:pt idx="670">
                  <c:v>-10.15996526732455</c:v>
                </c:pt>
                <c:pt idx="671">
                  <c:v>-10.169633785814922</c:v>
                </c:pt>
                <c:pt idx="672">
                  <c:v>-10.179302311779102</c:v>
                </c:pt>
                <c:pt idx="673">
                  <c:v>-10.188970845216867</c:v>
                </c:pt>
                <c:pt idx="674">
                  <c:v>-10.198639386127992</c:v>
                </c:pt>
                <c:pt idx="675">
                  <c:v>-10.208307934512252</c:v>
                </c:pt>
                <c:pt idx="676">
                  <c:v>-10.217976490369423</c:v>
                </c:pt>
                <c:pt idx="677">
                  <c:v>-10.227645053699282</c:v>
                </c:pt>
                <c:pt idx="678">
                  <c:v>-10.237313624501605</c:v>
                </c:pt>
                <c:pt idx="679">
                  <c:v>-10.246982202776165</c:v>
                </c:pt>
                <c:pt idx="680">
                  <c:v>-10.256650788522739</c:v>
                </c:pt>
                <c:pt idx="681">
                  <c:v>-10.266319381741104</c:v>
                </c:pt>
                <c:pt idx="682">
                  <c:v>-10.275987982431035</c:v>
                </c:pt>
                <c:pt idx="683">
                  <c:v>-10.285656590592307</c:v>
                </c:pt>
                <c:pt idx="684">
                  <c:v>-10.295325206224698</c:v>
                </c:pt>
                <c:pt idx="685">
                  <c:v>-10.304993829327982</c:v>
                </c:pt>
                <c:pt idx="686">
                  <c:v>-10.314662459901934</c:v>
                </c:pt>
                <c:pt idx="687">
                  <c:v>-10.324331097946331</c:v>
                </c:pt>
                <c:pt idx="688">
                  <c:v>-10.333999743460948</c:v>
                </c:pt>
                <c:pt idx="689">
                  <c:v>-10.343668396445564</c:v>
                </c:pt>
                <c:pt idx="690">
                  <c:v>-10.353337056899951</c:v>
                </c:pt>
                <c:pt idx="691">
                  <c:v>-10.363005724823886</c:v>
                </c:pt>
                <c:pt idx="692">
                  <c:v>-10.372674400217145</c:v>
                </c:pt>
                <c:pt idx="693">
                  <c:v>-10.382343083079503</c:v>
                </c:pt>
                <c:pt idx="694">
                  <c:v>-10.392011773410736</c:v>
                </c:pt>
                <c:pt idx="695">
                  <c:v>-10.401680471210621</c:v>
                </c:pt>
                <c:pt idx="696">
                  <c:v>-10.411349176478934</c:v>
                </c:pt>
                <c:pt idx="697">
                  <c:v>-10.421017889215449</c:v>
                </c:pt>
                <c:pt idx="698">
                  <c:v>-10.430686609419944</c:v>
                </c:pt>
                <c:pt idx="699">
                  <c:v>-10.440355337092193</c:v>
                </c:pt>
                <c:pt idx="700">
                  <c:v>-10.450024072231972</c:v>
                </c:pt>
                <c:pt idx="701">
                  <c:v>-10.459692814839057</c:v>
                </c:pt>
                <c:pt idx="702">
                  <c:v>-10.469361564913225</c:v>
                </c:pt>
                <c:pt idx="703">
                  <c:v>-10.47903032245425</c:v>
                </c:pt>
                <c:pt idx="704">
                  <c:v>-10.488699087461908</c:v>
                </c:pt>
                <c:pt idx="705">
                  <c:v>-10.498367859935977</c:v>
                </c:pt>
                <c:pt idx="706">
                  <c:v>-10.508036639876231</c:v>
                </c:pt>
                <c:pt idx="707">
                  <c:v>-10.517705427282447</c:v>
                </c:pt>
                <c:pt idx="708">
                  <c:v>-10.5273742221544</c:v>
                </c:pt>
                <c:pt idx="709">
                  <c:v>-10.537043024491865</c:v>
                </c:pt>
                <c:pt idx="710">
                  <c:v>-10.546711834294619</c:v>
                </c:pt>
                <c:pt idx="711">
                  <c:v>-10.556380651562439</c:v>
                </c:pt>
                <c:pt idx="712">
                  <c:v>-10.566049476295099</c:v>
                </c:pt>
                <c:pt idx="713">
                  <c:v>-10.575718308492377</c:v>
                </c:pt>
                <c:pt idx="714">
                  <c:v>-10.585387148154046</c:v>
                </c:pt>
                <c:pt idx="715">
                  <c:v>-10.595055995279884</c:v>
                </c:pt>
                <c:pt idx="716">
                  <c:v>-10.604724849869665</c:v>
                </c:pt>
                <c:pt idx="717">
                  <c:v>-10.614393711923167</c:v>
                </c:pt>
                <c:pt idx="718">
                  <c:v>-10.624062581440166</c:v>
                </c:pt>
                <c:pt idx="719">
                  <c:v>-10.633731458420437</c:v>
                </c:pt>
                <c:pt idx="720">
                  <c:v>-10.643400342863755</c:v>
                </c:pt>
                <c:pt idx="721">
                  <c:v>-10.653069234769898</c:v>
                </c:pt>
                <c:pt idx="722">
                  <c:v>-10.662738134138641</c:v>
                </c:pt>
                <c:pt idx="723">
                  <c:v>-10.672407040969759</c:v>
                </c:pt>
                <c:pt idx="724">
                  <c:v>-10.682075955263029</c:v>
                </c:pt>
                <c:pt idx="725">
                  <c:v>-10.691744877018225</c:v>
                </c:pt>
                <c:pt idx="726">
                  <c:v>-10.701413806235125</c:v>
                </c:pt>
                <c:pt idx="727">
                  <c:v>-10.711082742913504</c:v>
                </c:pt>
                <c:pt idx="728">
                  <c:v>-10.72075168705314</c:v>
                </c:pt>
                <c:pt idx="729">
                  <c:v>-10.730420638653806</c:v>
                </c:pt>
                <c:pt idx="730">
                  <c:v>-10.740089597715279</c:v>
                </c:pt>
                <c:pt idx="731">
                  <c:v>-10.749758564237336</c:v>
                </c:pt>
                <c:pt idx="732">
                  <c:v>-10.759427538219752</c:v>
                </c:pt>
                <c:pt idx="733">
                  <c:v>-10.769096519662302</c:v>
                </c:pt>
                <c:pt idx="734">
                  <c:v>-10.778765508564764</c:v>
                </c:pt>
                <c:pt idx="735">
                  <c:v>-10.788434504926911</c:v>
                </c:pt>
                <c:pt idx="736">
                  <c:v>-10.798103508748524</c:v>
                </c:pt>
                <c:pt idx="737">
                  <c:v>-10.807772520029374</c:v>
                </c:pt>
                <c:pt idx="738">
                  <c:v>-10.81744153876924</c:v>
                </c:pt>
                <c:pt idx="739">
                  <c:v>-10.827110564967896</c:v>
                </c:pt>
                <c:pt idx="740">
                  <c:v>-10.836779598625119</c:v>
                </c:pt>
                <c:pt idx="741">
                  <c:v>-10.846448639740684</c:v>
                </c:pt>
                <c:pt idx="742">
                  <c:v>-10.856117688314368</c:v>
                </c:pt>
                <c:pt idx="743">
                  <c:v>-10.865786744345947</c:v>
                </c:pt>
                <c:pt idx="744">
                  <c:v>-10.875455807835197</c:v>
                </c:pt>
                <c:pt idx="745">
                  <c:v>-10.885124878781893</c:v>
                </c:pt>
                <c:pt idx="746">
                  <c:v>-10.894793957185811</c:v>
                </c:pt>
                <c:pt idx="747">
                  <c:v>-10.90446304304673</c:v>
                </c:pt>
                <c:pt idx="748">
                  <c:v>-10.914132136364424</c:v>
                </c:pt>
                <c:pt idx="749">
                  <c:v>-10.923801237138667</c:v>
                </c:pt>
                <c:pt idx="750">
                  <c:v>-10.933470345369237</c:v>
                </c:pt>
                <c:pt idx="751">
                  <c:v>-10.94313946105591</c:v>
                </c:pt>
                <c:pt idx="752">
                  <c:v>-10.952808584198463</c:v>
                </c:pt>
                <c:pt idx="753">
                  <c:v>-10.96247771479667</c:v>
                </c:pt>
                <c:pt idx="754">
                  <c:v>-10.972146852850308</c:v>
                </c:pt>
                <c:pt idx="755">
                  <c:v>-10.981815998359153</c:v>
                </c:pt>
                <c:pt idx="756">
                  <c:v>-10.991485151322982</c:v>
                </c:pt>
                <c:pt idx="757">
                  <c:v>-11.001154311741569</c:v>
                </c:pt>
                <c:pt idx="758">
                  <c:v>-11.010823479614691</c:v>
                </c:pt>
                <c:pt idx="759">
                  <c:v>-11.020492654942124</c:v>
                </c:pt>
                <c:pt idx="760">
                  <c:v>-11.030161837723645</c:v>
                </c:pt>
                <c:pt idx="761">
                  <c:v>-11.039831027959028</c:v>
                </c:pt>
                <c:pt idx="762">
                  <c:v>-11.049500225648051</c:v>
                </c:pt>
                <c:pt idx="763">
                  <c:v>-11.05916943079049</c:v>
                </c:pt>
                <c:pt idx="764">
                  <c:v>-11.068838643386121</c:v>
                </c:pt>
                <c:pt idx="765">
                  <c:v>-11.078507863434718</c:v>
                </c:pt>
                <c:pt idx="766">
                  <c:v>-11.088177090936059</c:v>
                </c:pt>
                <c:pt idx="767">
                  <c:v>-11.097846325889918</c:v>
                </c:pt>
                <c:pt idx="768">
                  <c:v>-11.107515568296074</c:v>
                </c:pt>
                <c:pt idx="769">
                  <c:v>-11.117184818154302</c:v>
                </c:pt>
                <c:pt idx="770">
                  <c:v>-11.126854075464378</c:v>
                </c:pt>
                <c:pt idx="771">
                  <c:v>-11.136523340226077</c:v>
                </c:pt>
                <c:pt idx="772">
                  <c:v>-11.146192612439178</c:v>
                </c:pt>
                <c:pt idx="773">
                  <c:v>-11.155861892103454</c:v>
                </c:pt>
                <c:pt idx="774">
                  <c:v>-11.165531179218682</c:v>
                </c:pt>
                <c:pt idx="775">
                  <c:v>-11.175200473784638</c:v>
                </c:pt>
                <c:pt idx="776">
                  <c:v>-11.184869775801101</c:v>
                </c:pt>
                <c:pt idx="777">
                  <c:v>-11.194539085267843</c:v>
                </c:pt>
                <c:pt idx="778">
                  <c:v>-11.204208402184642</c:v>
                </c:pt>
                <c:pt idx="779">
                  <c:v>-11.213877726551274</c:v>
                </c:pt>
                <c:pt idx="780">
                  <c:v>-11.223547058367515</c:v>
                </c:pt>
                <c:pt idx="781">
                  <c:v>-11.233216397633141</c:v>
                </c:pt>
                <c:pt idx="782">
                  <c:v>-11.242885744347928</c:v>
                </c:pt>
                <c:pt idx="783">
                  <c:v>-11.252555098511653</c:v>
                </c:pt>
                <c:pt idx="784">
                  <c:v>-11.262224460124092</c:v>
                </c:pt>
                <c:pt idx="785">
                  <c:v>-11.27189382918502</c:v>
                </c:pt>
                <c:pt idx="786">
                  <c:v>-11.281563205694214</c:v>
                </c:pt>
                <c:pt idx="787">
                  <c:v>-11.291232589651448</c:v>
                </c:pt>
                <c:pt idx="788">
                  <c:v>-11.300901981056501</c:v>
                </c:pt>
                <c:pt idx="789">
                  <c:v>-11.310571379909149</c:v>
                </c:pt>
                <c:pt idx="790">
                  <c:v>-11.320240786209167</c:v>
                </c:pt>
                <c:pt idx="791">
                  <c:v>-11.329910199956332</c:v>
                </c:pt>
                <c:pt idx="792">
                  <c:v>-11.339579621150421</c:v>
                </c:pt>
                <c:pt idx="793">
                  <c:v>-11.349249049791206</c:v>
                </c:pt>
                <c:pt idx="794">
                  <c:v>-11.358918485878467</c:v>
                </c:pt>
                <c:pt idx="795">
                  <c:v>-11.36858792941198</c:v>
                </c:pt>
                <c:pt idx="796">
                  <c:v>-11.378257380391521</c:v>
                </c:pt>
                <c:pt idx="797">
                  <c:v>-11.387926838816865</c:v>
                </c:pt>
                <c:pt idx="798">
                  <c:v>-11.397596304687788</c:v>
                </c:pt>
                <c:pt idx="799">
                  <c:v>-11.407265778004067</c:v>
                </c:pt>
                <c:pt idx="800">
                  <c:v>-11.416935258765479</c:v>
                </c:pt>
                <c:pt idx="801">
                  <c:v>-11.426604746971799</c:v>
                </c:pt>
                <c:pt idx="802">
                  <c:v>-11.436274242622805</c:v>
                </c:pt>
                <c:pt idx="803">
                  <c:v>-11.445943745718271</c:v>
                </c:pt>
                <c:pt idx="804">
                  <c:v>-11.455613256257974</c:v>
                </c:pt>
                <c:pt idx="805">
                  <c:v>-11.465282774241691</c:v>
                </c:pt>
                <c:pt idx="806">
                  <c:v>-11.474952299669198</c:v>
                </c:pt>
                <c:pt idx="807">
                  <c:v>-11.48462183254027</c:v>
                </c:pt>
                <c:pt idx="808">
                  <c:v>-11.494291372854684</c:v>
                </c:pt>
                <c:pt idx="809">
                  <c:v>-11.503960920612217</c:v>
                </c:pt>
                <c:pt idx="810">
                  <c:v>-11.513630475812644</c:v>
                </c:pt>
                <c:pt idx="811">
                  <c:v>-11.523300038455741</c:v>
                </c:pt>
                <c:pt idx="812">
                  <c:v>-11.532969608541285</c:v>
                </c:pt>
                <c:pt idx="813">
                  <c:v>-11.542639186069051</c:v>
                </c:pt>
                <c:pt idx="814">
                  <c:v>-11.552308771038817</c:v>
                </c:pt>
                <c:pt idx="815">
                  <c:v>-11.561978363450358</c:v>
                </c:pt>
                <c:pt idx="816">
                  <c:v>-11.571647963303452</c:v>
                </c:pt>
                <c:pt idx="817">
                  <c:v>-11.581317570597873</c:v>
                </c:pt>
                <c:pt idx="818">
                  <c:v>-11.590987185333399</c:v>
                </c:pt>
                <c:pt idx="819">
                  <c:v>-11.600656807509806</c:v>
                </c:pt>
                <c:pt idx="820">
                  <c:v>-11.610326437126869</c:v>
                </c:pt>
                <c:pt idx="821">
                  <c:v>-11.619996074184366</c:v>
                </c:pt>
                <c:pt idx="822">
                  <c:v>-11.629665718682071</c:v>
                </c:pt>
                <c:pt idx="823">
                  <c:v>-11.639335370619763</c:v>
                </c:pt>
                <c:pt idx="824">
                  <c:v>-11.649005029997218</c:v>
                </c:pt>
                <c:pt idx="825">
                  <c:v>-11.658674696814211</c:v>
                </c:pt>
                <c:pt idx="826">
                  <c:v>-11.668344371070518</c:v>
                </c:pt>
                <c:pt idx="827">
                  <c:v>-11.678014052765915</c:v>
                </c:pt>
                <c:pt idx="828">
                  <c:v>-11.68768374190018</c:v>
                </c:pt>
                <c:pt idx="829">
                  <c:v>-11.697353438473089</c:v>
                </c:pt>
                <c:pt idx="830">
                  <c:v>-11.707023142484417</c:v>
                </c:pt>
                <c:pt idx="831">
                  <c:v>-11.716692853933942</c:v>
                </c:pt>
                <c:pt idx="832">
                  <c:v>-11.72636257282144</c:v>
                </c:pt>
                <c:pt idx="833">
                  <c:v>-11.736032299146686</c:v>
                </c:pt>
                <c:pt idx="834">
                  <c:v>-11.745702032909456</c:v>
                </c:pt>
                <c:pt idx="835">
                  <c:v>-11.755371774109529</c:v>
                </c:pt>
                <c:pt idx="836">
                  <c:v>-11.76504152274668</c:v>
                </c:pt>
                <c:pt idx="837">
                  <c:v>-11.774711278820684</c:v>
                </c:pt>
                <c:pt idx="838">
                  <c:v>-11.784381042331319</c:v>
                </c:pt>
                <c:pt idx="839">
                  <c:v>-11.794050813278361</c:v>
                </c:pt>
                <c:pt idx="840">
                  <c:v>-11.803720591661586</c:v>
                </c:pt>
                <c:pt idx="841">
                  <c:v>-11.81339037748077</c:v>
                </c:pt>
                <c:pt idx="842">
                  <c:v>-11.82306017073569</c:v>
                </c:pt>
                <c:pt idx="843">
                  <c:v>-11.832729971426122</c:v>
                </c:pt>
                <c:pt idx="844">
                  <c:v>-11.842399779551842</c:v>
                </c:pt>
                <c:pt idx="845">
                  <c:v>-11.852069595112628</c:v>
                </c:pt>
                <c:pt idx="846">
                  <c:v>-11.861739418108254</c:v>
                </c:pt>
                <c:pt idx="847">
                  <c:v>-11.871409248538498</c:v>
                </c:pt>
                <c:pt idx="848">
                  <c:v>-11.881079086403137</c:v>
                </c:pt>
                <c:pt idx="849">
                  <c:v>-11.890748931701944</c:v>
                </c:pt>
                <c:pt idx="850">
                  <c:v>-11.900418784434699</c:v>
                </c:pt>
                <c:pt idx="851">
                  <c:v>-11.910088644601176</c:v>
                </c:pt>
                <c:pt idx="852">
                  <c:v>-11.919758512201154</c:v>
                </c:pt>
                <c:pt idx="853">
                  <c:v>-11.929428387234408</c:v>
                </c:pt>
                <c:pt idx="854">
                  <c:v>-11.939098269700713</c:v>
                </c:pt>
                <c:pt idx="855">
                  <c:v>-11.948768159599847</c:v>
                </c:pt>
                <c:pt idx="856">
                  <c:v>-11.958438056931586</c:v>
                </c:pt>
                <c:pt idx="857">
                  <c:v>-11.968107961695706</c:v>
                </c:pt>
                <c:pt idx="858">
                  <c:v>-11.977777873891984</c:v>
                </c:pt>
                <c:pt idx="859">
                  <c:v>-11.987447793520197</c:v>
                </c:pt>
                <c:pt idx="860">
                  <c:v>-11.997117720580119</c:v>
                </c:pt>
                <c:pt idx="861">
                  <c:v>-12.00678765507153</c:v>
                </c:pt>
                <c:pt idx="862">
                  <c:v>-12.016457596994204</c:v>
                </c:pt>
                <c:pt idx="863">
                  <c:v>-12.026127546347919</c:v>
                </c:pt>
                <c:pt idx="864">
                  <c:v>-12.035797503132448</c:v>
                </c:pt>
                <c:pt idx="865">
                  <c:v>-12.045467467347571</c:v>
                </c:pt>
                <c:pt idx="866">
                  <c:v>-12.055137438993063</c:v>
                </c:pt>
                <c:pt idx="867">
                  <c:v>-12.0648074180687</c:v>
                </c:pt>
                <c:pt idx="868">
                  <c:v>-12.07447740457426</c:v>
                </c:pt>
                <c:pt idx="869">
                  <c:v>-12.084147398509518</c:v>
                </c:pt>
                <c:pt idx="870">
                  <c:v>-12.093817399874252</c:v>
                </c:pt>
                <c:pt idx="871">
                  <c:v>-12.103487408668236</c:v>
                </c:pt>
                <c:pt idx="872">
                  <c:v>-12.113157424891249</c:v>
                </c:pt>
                <c:pt idx="873">
                  <c:v>-12.122827448543065</c:v>
                </c:pt>
                <c:pt idx="874">
                  <c:v>-12.132497479623463</c:v>
                </c:pt>
                <c:pt idx="875">
                  <c:v>-12.142167518132219</c:v>
                </c:pt>
                <c:pt idx="876">
                  <c:v>-12.151837564069108</c:v>
                </c:pt>
                <c:pt idx="877">
                  <c:v>-12.161507617433907</c:v>
                </c:pt>
                <c:pt idx="878">
                  <c:v>-12.171177678226393</c:v>
                </c:pt>
                <c:pt idx="879">
                  <c:v>-12.180847746446341</c:v>
                </c:pt>
                <c:pt idx="880">
                  <c:v>-12.190517822093531</c:v>
                </c:pt>
                <c:pt idx="881">
                  <c:v>-12.200187905167736</c:v>
                </c:pt>
                <c:pt idx="882">
                  <c:v>-12.209857995668735</c:v>
                </c:pt>
                <c:pt idx="883">
                  <c:v>-12.219528093596301</c:v>
                </c:pt>
                <c:pt idx="884">
                  <c:v>-12.229198198950213</c:v>
                </c:pt>
                <c:pt idx="885">
                  <c:v>-12.238868311730247</c:v>
                </c:pt>
                <c:pt idx="886">
                  <c:v>-12.248538431936181</c:v>
                </c:pt>
                <c:pt idx="887">
                  <c:v>-12.258208559567789</c:v>
                </c:pt>
                <c:pt idx="888">
                  <c:v>-12.26787869462485</c:v>
                </c:pt>
                <c:pt idx="889">
                  <c:v>-12.277548837107139</c:v>
                </c:pt>
                <c:pt idx="890">
                  <c:v>-12.287218987014432</c:v>
                </c:pt>
                <c:pt idx="891">
                  <c:v>-12.296889144346506</c:v>
                </c:pt>
                <c:pt idx="892">
                  <c:v>-12.30655930910314</c:v>
                </c:pt>
                <c:pt idx="893">
                  <c:v>-12.316229481284106</c:v>
                </c:pt>
                <c:pt idx="894">
                  <c:v>-12.325899660889183</c:v>
                </c:pt>
                <c:pt idx="895">
                  <c:v>-12.335569847918148</c:v>
                </c:pt>
                <c:pt idx="896">
                  <c:v>-12.345240042370776</c:v>
                </c:pt>
                <c:pt idx="897">
                  <c:v>-12.354910244246845</c:v>
                </c:pt>
                <c:pt idx="898">
                  <c:v>-12.364580453546132</c:v>
                </c:pt>
                <c:pt idx="899">
                  <c:v>-12.374250670268413</c:v>
                </c:pt>
                <c:pt idx="900">
                  <c:v>-12.383920894413464</c:v>
                </c:pt>
                <c:pt idx="901">
                  <c:v>-12.393591125981061</c:v>
                </c:pt>
                <c:pt idx="902">
                  <c:v>-12.403261364970982</c:v>
                </c:pt>
                <c:pt idx="903">
                  <c:v>-12.412931611383001</c:v>
                </c:pt>
                <c:pt idx="904">
                  <c:v>-12.422601865216897</c:v>
                </c:pt>
                <c:pt idx="905">
                  <c:v>-12.432272126472448</c:v>
                </c:pt>
                <c:pt idx="906">
                  <c:v>-12.441942395149427</c:v>
                </c:pt>
                <c:pt idx="907">
                  <c:v>-12.451612671247613</c:v>
                </c:pt>
                <c:pt idx="908">
                  <c:v>-12.461282954766782</c:v>
                </c:pt>
                <c:pt idx="909">
                  <c:v>-12.47095324570671</c:v>
                </c:pt>
                <c:pt idx="910">
                  <c:v>-12.480623544067173</c:v>
                </c:pt>
                <c:pt idx="911">
                  <c:v>-12.49029384984795</c:v>
                </c:pt>
                <c:pt idx="912">
                  <c:v>-12.499964163048814</c:v>
                </c:pt>
                <c:pt idx="913">
                  <c:v>-12.509634483669545</c:v>
                </c:pt>
                <c:pt idx="914">
                  <c:v>-12.519304811709919</c:v>
                </c:pt>
                <c:pt idx="915">
                  <c:v>-12.52897514716971</c:v>
                </c:pt>
                <c:pt idx="916">
                  <c:v>-12.538645490048697</c:v>
                </c:pt>
                <c:pt idx="917">
                  <c:v>-12.548315840346657</c:v>
                </c:pt>
                <c:pt idx="918">
                  <c:v>-12.557986198063366</c:v>
                </c:pt>
                <c:pt idx="919">
                  <c:v>-12.5676565631986</c:v>
                </c:pt>
                <c:pt idx="920">
                  <c:v>-12.577326935752136</c:v>
                </c:pt>
                <c:pt idx="921">
                  <c:v>-12.586997315723751</c:v>
                </c:pt>
                <c:pt idx="922">
                  <c:v>-12.596667703113221</c:v>
                </c:pt>
                <c:pt idx="923">
                  <c:v>-12.606338097920323</c:v>
                </c:pt>
                <c:pt idx="924">
                  <c:v>-12.616008500144835</c:v>
                </c:pt>
                <c:pt idx="925">
                  <c:v>-12.625678909786531</c:v>
                </c:pt>
                <c:pt idx="926">
                  <c:v>-12.635349326845189</c:v>
                </c:pt>
                <c:pt idx="927">
                  <c:v>-12.645019751320586</c:v>
                </c:pt>
                <c:pt idx="928">
                  <c:v>-12.654690183212498</c:v>
                </c:pt>
                <c:pt idx="929">
                  <c:v>-12.664360622520702</c:v>
                </c:pt>
                <c:pt idx="930">
                  <c:v>-12.674031069244974</c:v>
                </c:pt>
                <c:pt idx="931">
                  <c:v>-12.683701523385091</c:v>
                </c:pt>
                <c:pt idx="932">
                  <c:v>-12.69337198494083</c:v>
                </c:pt>
                <c:pt idx="933">
                  <c:v>-12.703042453911968</c:v>
                </c:pt>
                <c:pt idx="934">
                  <c:v>-12.712712930298281</c:v>
                </c:pt>
                <c:pt idx="935">
                  <c:v>-12.722383414099546</c:v>
                </c:pt>
                <c:pt idx="936">
                  <c:v>-12.73205390531554</c:v>
                </c:pt>
                <c:pt idx="937">
                  <c:v>-12.741724403946039</c:v>
                </c:pt>
                <c:pt idx="938">
                  <c:v>-12.75139490999082</c:v>
                </c:pt>
                <c:pt idx="939">
                  <c:v>-12.76106542344966</c:v>
                </c:pt>
                <c:pt idx="940">
                  <c:v>-12.770735944322334</c:v>
                </c:pt>
                <c:pt idx="941">
                  <c:v>-12.780406472608622</c:v>
                </c:pt>
                <c:pt idx="942">
                  <c:v>-12.790077008308298</c:v>
                </c:pt>
                <c:pt idx="943">
                  <c:v>-12.79974755142114</c:v>
                </c:pt>
                <c:pt idx="944">
                  <c:v>-12.809418101946925</c:v>
                </c:pt>
                <c:pt idx="945">
                  <c:v>-12.819088659885429</c:v>
                </c:pt>
                <c:pt idx="946">
                  <c:v>-12.828759225236428</c:v>
                </c:pt>
                <c:pt idx="947">
                  <c:v>-12.8384297979997</c:v>
                </c:pt>
                <c:pt idx="948">
                  <c:v>-12.848100378175021</c:v>
                </c:pt>
                <c:pt idx="949">
                  <c:v>-12.857770965762167</c:v>
                </c:pt>
                <c:pt idx="950">
                  <c:v>-12.867441560760916</c:v>
                </c:pt>
                <c:pt idx="951">
                  <c:v>-12.877112163171045</c:v>
                </c:pt>
                <c:pt idx="952">
                  <c:v>-12.88678277299233</c:v>
                </c:pt>
                <c:pt idx="953">
                  <c:v>-12.896453390224547</c:v>
                </c:pt>
                <c:pt idx="954">
                  <c:v>-12.906124014867475</c:v>
                </c:pt>
                <c:pt idx="955">
                  <c:v>-12.915794646920888</c:v>
                </c:pt>
                <c:pt idx="956">
                  <c:v>-12.925465286384565</c:v>
                </c:pt>
                <c:pt idx="957">
                  <c:v>-12.935135933258282</c:v>
                </c:pt>
                <c:pt idx="958">
                  <c:v>-12.944806587541816</c:v>
                </c:pt>
                <c:pt idx="959">
                  <c:v>-12.954477249234943</c:v>
                </c:pt>
                <c:pt idx="960">
                  <c:v>-12.96414791833744</c:v>
                </c:pt>
                <c:pt idx="961">
                  <c:v>-12.973818594849085</c:v>
                </c:pt>
                <c:pt idx="962">
                  <c:v>-12.983489278769653</c:v>
                </c:pt>
                <c:pt idx="963">
                  <c:v>-12.993159970098922</c:v>
                </c:pt>
                <c:pt idx="964">
                  <c:v>-13.002830668836669</c:v>
                </c:pt>
                <c:pt idx="965">
                  <c:v>-13.012501374982669</c:v>
                </c:pt>
                <c:pt idx="966">
                  <c:v>-13.022172088536701</c:v>
                </c:pt>
                <c:pt idx="967">
                  <c:v>-13.03184280949854</c:v>
                </c:pt>
                <c:pt idx="968">
                  <c:v>-13.041513537867964</c:v>
                </c:pt>
                <c:pt idx="969">
                  <c:v>-13.051184273644749</c:v>
                </c:pt>
                <c:pt idx="970">
                  <c:v>-13.060855016828672</c:v>
                </c:pt>
                <c:pt idx="971">
                  <c:v>-13.070525767419509</c:v>
                </c:pt>
                <c:pt idx="972">
                  <c:v>-13.080196525417039</c:v>
                </c:pt>
                <c:pt idx="973">
                  <c:v>-13.089867290821037</c:v>
                </c:pt>
                <c:pt idx="974">
                  <c:v>-13.099538063631281</c:v>
                </c:pt>
                <c:pt idx="975">
                  <c:v>-13.109208843847547</c:v>
                </c:pt>
                <c:pt idx="976">
                  <c:v>-13.118879631469612</c:v>
                </c:pt>
                <c:pt idx="977">
                  <c:v>-13.128550426497254</c:v>
                </c:pt>
                <c:pt idx="978">
                  <c:v>-13.138221228930249</c:v>
                </c:pt>
                <c:pt idx="979">
                  <c:v>-13.147892038768372</c:v>
                </c:pt>
                <c:pt idx="980">
                  <c:v>-13.157562856011403</c:v>
                </c:pt>
                <c:pt idx="981">
                  <c:v>-13.167233680659116</c:v>
                </c:pt>
                <c:pt idx="982">
                  <c:v>-13.176904512711289</c:v>
                </c:pt>
                <c:pt idx="983">
                  <c:v>-13.186575352167699</c:v>
                </c:pt>
                <c:pt idx="984">
                  <c:v>-13.196246199028122</c:v>
                </c:pt>
                <c:pt idx="985">
                  <c:v>-13.205917053292337</c:v>
                </c:pt>
                <c:pt idx="986">
                  <c:v>-13.215587914960119</c:v>
                </c:pt>
                <c:pt idx="987">
                  <c:v>-13.225258784031247</c:v>
                </c:pt>
                <c:pt idx="988">
                  <c:v>-13.234929660505495</c:v>
                </c:pt>
                <c:pt idx="989">
                  <c:v>-13.244600544382642</c:v>
                </c:pt>
                <c:pt idx="990">
                  <c:v>-13.254271435662464</c:v>
                </c:pt>
                <c:pt idx="991">
                  <c:v>-13.263942334344737</c:v>
                </c:pt>
                <c:pt idx="992">
                  <c:v>-13.27361324042924</c:v>
                </c:pt>
                <c:pt idx="993">
                  <c:v>-13.28328415391575</c:v>
                </c:pt>
                <c:pt idx="994">
                  <c:v>-13.292955074804041</c:v>
                </c:pt>
                <c:pt idx="995">
                  <c:v>-13.302626003093891</c:v>
                </c:pt>
                <c:pt idx="996">
                  <c:v>-13.312296938785078</c:v>
                </c:pt>
                <c:pt idx="997">
                  <c:v>-13.321967881877379</c:v>
                </c:pt>
                <c:pt idx="998">
                  <c:v>-13.331638832370571</c:v>
                </c:pt>
                <c:pt idx="999">
                  <c:v>-13.341309790264429</c:v>
                </c:pt>
                <c:pt idx="1000">
                  <c:v>-13.350980755558732</c:v>
                </c:pt>
              </c:numCache>
            </c:numRef>
          </c:yVal>
          <c:smooth val="0"/>
          <c:extLst>
            <c:ext xmlns:c16="http://schemas.microsoft.com/office/drawing/2014/chart" uri="{C3380CC4-5D6E-409C-BE32-E72D297353CC}">
              <c16:uniqueId val="{00000001-B5CC-4BD6-9E0D-EA30945FB569}"/>
            </c:ext>
          </c:extLst>
        </c:ser>
        <c:dLbls>
          <c:showLegendKey val="0"/>
          <c:showVal val="0"/>
          <c:showCatName val="0"/>
          <c:showSerName val="0"/>
          <c:showPercent val="0"/>
          <c:showBubbleSize val="0"/>
        </c:dLbls>
        <c:axId val="149619072"/>
        <c:axId val="149620992"/>
      </c:scatterChart>
      <c:valAx>
        <c:axId val="149619072"/>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0"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620992"/>
        <c:crosses val="autoZero"/>
        <c:crossBetween val="midCat"/>
      </c:valAx>
      <c:valAx>
        <c:axId val="149620992"/>
        <c:scaling>
          <c:orientation val="minMax"/>
          <c:min val="0"/>
        </c:scaling>
        <c:delete val="0"/>
        <c:axPos val="l"/>
        <c:majorGridlines>
          <c:spPr>
            <a:ln w="3175">
              <a:solidFill>
                <a:srgbClr val="000000"/>
              </a:solidFill>
              <a:prstDash val="sysDash"/>
            </a:ln>
          </c:spPr>
        </c:majorGridlines>
        <c:title>
          <c:tx>
            <c:rich>
              <a:bodyPr/>
              <a:lstStyle/>
              <a:p>
                <a:pPr>
                  <a:defRPr sz="1175" b="1" i="0" u="none" strike="noStrike" baseline="0">
                    <a:solidFill>
                      <a:srgbClr val="000000"/>
                    </a:solidFill>
                    <a:latin typeface="Arial"/>
                    <a:ea typeface="Arial"/>
                    <a:cs typeface="Arial"/>
                  </a:defRPr>
                </a:pPr>
                <a:r>
                  <a:rPr lang="fr-FR"/>
                  <a:t>Positions [m]</a:t>
                </a:r>
              </a:p>
            </c:rich>
          </c:tx>
          <c:layout>
            <c:manualLayout>
              <c:xMode val="edge"/>
              <c:yMode val="edge"/>
              <c:x val="2.0047169811320761E-2"/>
              <c:y val="0.3006547681539808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619072"/>
        <c:crosses val="autoZero"/>
        <c:crossBetween val="midCat"/>
      </c:valAx>
      <c:spPr>
        <a:noFill/>
        <a:ln w="12700">
          <a:solidFill>
            <a:srgbClr val="808080"/>
          </a:solidFill>
          <a:prstDash val="solid"/>
        </a:ln>
      </c:spPr>
    </c:plotArea>
    <c:legend>
      <c:legendPos val="r"/>
      <c:layout>
        <c:manualLayout>
          <c:xMode val="edge"/>
          <c:yMode val="edge"/>
          <c:x val="0.8286169712276531"/>
          <c:y val="0.4888892388451444"/>
          <c:w val="0.13679257663546773"/>
          <c:h val="0.15777777777777779"/>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Propu!$A$2</c:f>
          <c:strCache>
            <c:ptCount val="1"/>
            <c:pt idx="0">
              <c:v>Aucun (2e ét. inerte)</c:v>
            </c:pt>
          </c:strCache>
        </c:strRef>
      </c:tx>
      <c:layout>
        <c:manualLayout>
          <c:xMode val="edge"/>
          <c:yMode val="edge"/>
          <c:x val="0.47127077646762688"/>
          <c:y val="3.9178592393174498E-2"/>
        </c:manualLayout>
      </c:layout>
      <c:overlay val="0"/>
      <c:txPr>
        <a:bodyPr/>
        <a:lstStyle/>
        <a:p>
          <a:pPr>
            <a:defRPr sz="1200" b="0" i="0" u="none" strike="noStrike" baseline="0">
              <a:solidFill>
                <a:srgbClr val="000000"/>
              </a:solidFill>
              <a:latin typeface="Arial"/>
              <a:ea typeface="Arial"/>
              <a:cs typeface="Arial"/>
            </a:defRPr>
          </a:pPr>
          <a:endParaRPr lang="fr-FR"/>
        </a:p>
      </c:txPr>
    </c:title>
    <c:autoTitleDeleted val="0"/>
    <c:plotArea>
      <c:layout>
        <c:manualLayout>
          <c:layoutTarget val="inner"/>
          <c:xMode val="edge"/>
          <c:yMode val="edge"/>
          <c:x val="7.2496559551677733E-2"/>
          <c:y val="5.5426586068345711E-2"/>
          <c:w val="0.88973722710617964"/>
          <c:h val="0.82390179871348956"/>
        </c:manualLayout>
      </c:layout>
      <c:scatterChart>
        <c:scatterStyle val="lineMarker"/>
        <c:varyColors val="0"/>
        <c:ser>
          <c:idx val="0"/>
          <c:order val="0"/>
          <c:tx>
            <c:strRef>
              <c:f>Propu!$A$4</c:f>
              <c:strCache>
                <c:ptCount val="1"/>
                <c:pt idx="0">
                  <c:v>Poussée (en N)</c:v>
                </c:pt>
              </c:strCache>
            </c:strRef>
          </c:tx>
          <c:spPr>
            <a:ln w="25400">
              <a:solidFill>
                <a:srgbClr val="004586"/>
              </a:solidFill>
              <a:prstDash val="solid"/>
            </a:ln>
          </c:spPr>
          <c:marker>
            <c:symbol val="square"/>
            <c:size val="4"/>
            <c:spPr>
              <a:solidFill>
                <a:srgbClr val="004586"/>
              </a:solidFill>
              <a:ln>
                <a:solidFill>
                  <a:srgbClr val="004586"/>
                </a:solidFill>
                <a:prstDash val="solid"/>
              </a:ln>
            </c:spPr>
          </c:marker>
          <c:xVal>
            <c:numRef>
              <c:f>Propu!$B$3:$X$3</c:f>
              <c:numCache>
                <c:formatCode>General</c:formatCode>
                <c:ptCount val="23"/>
                <c:pt idx="0">
                  <c:v>0</c:v>
                </c:pt>
                <c:pt idx="1">
                  <c:v>0.1</c:v>
                </c:pt>
                <c:pt idx="2">
                  <c:v>0.2</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numCache>
            </c:numRef>
          </c:xVal>
          <c:yVal>
            <c:numRef>
              <c:f>Propu!$B$4:$X$4</c:f>
              <c:numCache>
                <c:formatCode>General</c:formatCode>
                <c:ptCount val="23"/>
                <c:pt idx="0">
                  <c:v>0</c:v>
                </c:pt>
                <c:pt idx="1">
                  <c:v>0.01</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yVal>
          <c:smooth val="0"/>
          <c:extLst>
            <c:ext xmlns:c16="http://schemas.microsoft.com/office/drawing/2014/chart" uri="{C3380CC4-5D6E-409C-BE32-E72D297353CC}">
              <c16:uniqueId val="{00000000-8EF7-4299-9A20-8D075AE9918F}"/>
            </c:ext>
          </c:extLst>
        </c:ser>
        <c:dLbls>
          <c:showLegendKey val="0"/>
          <c:showVal val="0"/>
          <c:showCatName val="0"/>
          <c:showSerName val="0"/>
          <c:showPercent val="0"/>
          <c:showBubbleSize val="0"/>
        </c:dLbls>
        <c:axId val="193428480"/>
        <c:axId val="193451520"/>
      </c:scatterChart>
      <c:valAx>
        <c:axId val="193428480"/>
        <c:scaling>
          <c:orientation val="minMax"/>
        </c:scaling>
        <c:delete val="0"/>
        <c:axPos val="b"/>
        <c:majorGridlines>
          <c:spPr>
            <a:ln w="3175">
              <a:solidFill>
                <a:srgbClr val="B3B3B3"/>
              </a:solidFill>
              <a:prstDash val="sysDash"/>
            </a:ln>
          </c:spPr>
        </c:majorGridlines>
        <c:title>
          <c:tx>
            <c:rich>
              <a:bodyPr/>
              <a:lstStyle/>
              <a:p>
                <a:pPr>
                  <a:defRPr sz="1000" b="0" i="0" u="none" strike="noStrike" baseline="0">
                    <a:solidFill>
                      <a:srgbClr val="000000"/>
                    </a:solidFill>
                    <a:latin typeface="Arial"/>
                    <a:ea typeface="Arial"/>
                    <a:cs typeface="Arial"/>
                  </a:defRPr>
                </a:pPr>
                <a:r>
                  <a:rPr lang="fr-FR"/>
                  <a:t>Temps / Time [s]</a:t>
                </a:r>
              </a:p>
            </c:rich>
          </c:tx>
          <c:layout>
            <c:manualLayout>
              <c:xMode val="edge"/>
              <c:yMode val="edge"/>
              <c:x val="0.78665554917523417"/>
              <c:y val="0.68868125417484782"/>
            </c:manualLayout>
          </c:layout>
          <c:overlay val="0"/>
          <c:spPr>
            <a:noFill/>
            <a:ln w="25400">
              <a:noFill/>
            </a:ln>
          </c:spPr>
        </c:title>
        <c:numFmt formatCode="General" sourceLinked="1"/>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193451520"/>
        <c:crosses val="autoZero"/>
        <c:crossBetween val="midCat"/>
      </c:valAx>
      <c:valAx>
        <c:axId val="193451520"/>
        <c:scaling>
          <c:orientation val="minMax"/>
        </c:scaling>
        <c:delete val="0"/>
        <c:axPos val="l"/>
        <c:majorGridlines>
          <c:spPr>
            <a:ln w="3175">
              <a:solidFill>
                <a:srgbClr val="B3B3B3"/>
              </a:solidFill>
              <a:prstDash val="sysDash"/>
            </a:ln>
          </c:spPr>
        </c:majorGridlines>
        <c:title>
          <c:tx>
            <c:rich>
              <a:bodyPr/>
              <a:lstStyle/>
              <a:p>
                <a:pPr>
                  <a:defRPr sz="1000" b="0" i="0" u="none" strike="noStrike" baseline="0">
                    <a:solidFill>
                      <a:srgbClr val="000000"/>
                    </a:solidFill>
                    <a:latin typeface="Arial"/>
                    <a:ea typeface="Arial"/>
                    <a:cs typeface="Arial"/>
                  </a:defRPr>
                </a:pPr>
                <a:r>
                  <a:rPr lang="fr-FR"/>
                  <a:t>Poussée / Thrust [N]</a:t>
                </a:r>
              </a:p>
            </c:rich>
          </c:tx>
          <c:layout>
            <c:manualLayout>
              <c:xMode val="edge"/>
              <c:yMode val="edge"/>
              <c:x val="8.5144147191391295E-2"/>
              <c:y val="0.35327652166872459"/>
            </c:manualLayout>
          </c:layout>
          <c:overlay val="0"/>
          <c:spPr>
            <a:noFill/>
            <a:ln w="25400">
              <a:noFill/>
            </a:ln>
          </c:spPr>
        </c:title>
        <c:numFmt formatCode="General" sourceLinked="1"/>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193428480"/>
        <c:crosses val="autoZero"/>
        <c:crossBetween val="midCat"/>
      </c:valAx>
      <c:spPr>
        <a:noFill/>
        <a:ln w="3175">
          <a:solidFill>
            <a:srgbClr val="B3B3B3"/>
          </a:solidFill>
          <a:prstDash val="solid"/>
        </a:ln>
      </c:spPr>
    </c:plotArea>
    <c:plotVisOnly val="0"/>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orientation="landscape" horizontalDpi="1200" verticalDpi="1200"/>
  </c:printSettings>
</c:chartSpace>
</file>

<file path=xl/ctrlProps/ctrlProp1.xml><?xml version="1.0" encoding="utf-8"?>
<formControlPr xmlns="http://schemas.microsoft.com/office/spreadsheetml/2009/9/main" objectType="Spin" dx="15" fmlaLink="$C$23" inc="25" max="30000" noThreeD="1" page="10" val="252"/>
</file>

<file path=xl/ctrlProps/ctrlProp10.xml><?xml version="1.0" encoding="utf-8"?>
<formControlPr xmlns="http://schemas.microsoft.com/office/spreadsheetml/2009/9/main" objectType="Spin" dx="15" fmlaLink="$C$33" max="6" min="3" noThreeD="1" page="10" val="4"/>
</file>

<file path=xl/ctrlProps/ctrlProp11.xml><?xml version="1.0" encoding="utf-8"?>
<formControlPr xmlns="http://schemas.microsoft.com/office/spreadsheetml/2009/9/main" objectType="Spin" dx="15" fmlaLink="$C$14" inc="50" max="30000" noThreeD="1" page="10" val="992"/>
</file>

<file path=xl/ctrlProps/ctrlProp12.xml><?xml version="1.0" encoding="utf-8"?>
<formControlPr xmlns="http://schemas.microsoft.com/office/spreadsheetml/2009/9/main" objectType="Spin" dx="15" fmlaLink="$C$12" inc="100" max="30000" noThreeD="1" page="10" val="2595"/>
</file>

<file path=xl/ctrlProps/ctrlProp13.xml><?xml version="1.0" encoding="utf-8"?>
<formControlPr xmlns="http://schemas.microsoft.com/office/spreadsheetml/2009/9/main" objectType="Spin" dx="15" fmlaLink="$C$12" inc="100" max="30000" noThreeD="1" page="10" val="2595"/>
</file>

<file path=xl/ctrlProps/ctrlProp14.xml><?xml version="1.0" encoding="utf-8"?>
<formControlPr xmlns="http://schemas.microsoft.com/office/spreadsheetml/2009/9/main" objectType="Spin" dx="15" fmlaLink="Stabilito!C12" inc="100" max="30000" noThreeD="1" page="10" val="2595"/>
</file>

<file path=xl/ctrlProps/ctrlProp15.xml><?xml version="1.0" encoding="utf-8"?>
<formControlPr xmlns="http://schemas.microsoft.com/office/spreadsheetml/2009/9/main" objectType="Spin" dx="15" fmlaLink="$B$44" inc="50" max="30000" noThreeD="1" page="10" val="310"/>
</file>

<file path=xl/ctrlProps/ctrlProp16.xml><?xml version="1.0" encoding="utf-8"?>
<formControlPr xmlns="http://schemas.microsoft.com/office/spreadsheetml/2009/9/main" objectType="Spin" dx="15" fmlaLink="$B$46" inc="50" max="30000" noThreeD="1" page="10" val="310"/>
</file>

<file path=xl/ctrlProps/ctrlProp17.xml><?xml version="1.0" encoding="utf-8"?>
<formControlPr xmlns="http://schemas.microsoft.com/office/spreadsheetml/2009/9/main" objectType="Spin" dx="15" fmlaLink="$B$52" inc="50" max="30000" noThreeD="1" page="10" val="299"/>
</file>

<file path=xl/ctrlProps/ctrlProp18.xml><?xml version="1.0" encoding="utf-8"?>
<formControlPr xmlns="http://schemas.microsoft.com/office/spreadsheetml/2009/9/main" objectType="Spin" dx="15" fmlaLink="$B$54" inc="5" max="30000" noThreeD="1" page="10" val="29"/>
</file>

<file path=xl/ctrlProps/ctrlProp19.xml><?xml version="1.0" encoding="utf-8"?>
<formControlPr xmlns="http://schemas.microsoft.com/office/spreadsheetml/2009/9/main" objectType="Spin" dx="15" fmlaLink="Stabilito!C12" inc="100" max="30000" noThreeD="1" page="10" val="2595"/>
</file>

<file path=xl/ctrlProps/ctrlProp2.xml><?xml version="1.0" encoding="utf-8"?>
<formControlPr xmlns="http://schemas.microsoft.com/office/spreadsheetml/2009/9/main" objectType="Spin" dx="15" fmlaLink="$C$12" inc="100" max="30000" noThreeD="1" page="10" val="2595"/>
</file>

<file path=xl/ctrlProps/ctrlProp20.xml><?xml version="1.0" encoding="utf-8"?>
<formControlPr xmlns="http://schemas.microsoft.com/office/spreadsheetml/2009/9/main" objectType="Spin" dx="15" fmlaLink="Stabilito!C12" inc="100" max="30000" noThreeD="1" page="10" val="2595"/>
</file>

<file path=xl/ctrlProps/ctrlProp3.xml><?xml version="1.0" encoding="utf-8"?>
<formControlPr xmlns="http://schemas.microsoft.com/office/spreadsheetml/2009/9/main" objectType="Spin" dx="15" fmlaLink="$C$13" inc="50" max="30000" noThreeD="1" page="10" val="528"/>
</file>

<file path=xl/ctrlProps/ctrlProp4.xml><?xml version="1.0" encoding="utf-8"?>
<formControlPr xmlns="http://schemas.microsoft.com/office/spreadsheetml/2009/9/main" objectType="Spin" dx="15" fmlaLink="$C$24" inc="20" max="30000" noThreeD="1" page="10" val="84"/>
</file>

<file path=xl/ctrlProps/ctrlProp5.xml><?xml version="1.0" encoding="utf-8"?>
<formControlPr xmlns="http://schemas.microsoft.com/office/spreadsheetml/2009/9/main" objectType="Spin" dx="15" fmlaLink="$C$28" inc="10" max="30000" noThreeD="1" page="10" val="170"/>
</file>

<file path=xl/ctrlProps/ctrlProp6.xml><?xml version="1.0" encoding="utf-8"?>
<formControlPr xmlns="http://schemas.microsoft.com/office/spreadsheetml/2009/9/main" objectType="Spin" dx="15" fmlaLink="$C$29" inc="10" max="30000" noThreeD="1" page="10" val="80"/>
</file>

<file path=xl/ctrlProps/ctrlProp7.xml><?xml version="1.0" encoding="utf-8"?>
<formControlPr xmlns="http://schemas.microsoft.com/office/spreadsheetml/2009/9/main" objectType="Spin" dx="15" fmlaLink="$C$30" inc="10" max="30000" noThreeD="1" page="10" val="120"/>
</file>

<file path=xl/ctrlProps/ctrlProp8.xml><?xml version="1.0" encoding="utf-8"?>
<formControlPr xmlns="http://schemas.microsoft.com/office/spreadsheetml/2009/9/main" objectType="Spin" dx="15" fmlaLink="$C$31" inc="10" max="30000" noThreeD="1" page="10" val="107"/>
</file>

<file path=xl/ctrlProps/ctrlProp9.xml><?xml version="1.0" encoding="utf-8"?>
<formControlPr xmlns="http://schemas.microsoft.com/office/spreadsheetml/2009/9/main" objectType="Spin" dx="15" fmlaLink="$C$32" max="30000" noThreeD="1" page="10" val="3"/>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5.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4.png"/><Relationship Id="rId5" Type="http://schemas.openxmlformats.org/officeDocument/2006/relationships/image" Target="../media/image3.png"/><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image" Target="../media/image3.png"/><Relationship Id="rId4"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45.png"/><Relationship Id="rId1" Type="http://schemas.openxmlformats.org/officeDocument/2006/relationships/image" Target="../media/image44.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3.vml.rels><?xml version="1.0" encoding="UTF-8" standalone="yes"?>
<Relationships xmlns="http://schemas.openxmlformats.org/package/2006/relationships"><Relationship Id="rId13" Type="http://schemas.openxmlformats.org/officeDocument/2006/relationships/image" Target="../media/image19.emf"/><Relationship Id="rId18" Type="http://schemas.openxmlformats.org/officeDocument/2006/relationships/image" Target="../media/image24.emf"/><Relationship Id="rId26" Type="http://schemas.openxmlformats.org/officeDocument/2006/relationships/image" Target="../media/image32.emf"/><Relationship Id="rId3" Type="http://schemas.openxmlformats.org/officeDocument/2006/relationships/image" Target="../media/image9.emf"/><Relationship Id="rId21" Type="http://schemas.openxmlformats.org/officeDocument/2006/relationships/image" Target="../media/image27.emf"/><Relationship Id="rId34" Type="http://schemas.openxmlformats.org/officeDocument/2006/relationships/image" Target="../media/image40.emf"/><Relationship Id="rId7" Type="http://schemas.openxmlformats.org/officeDocument/2006/relationships/image" Target="../media/image13.emf"/><Relationship Id="rId12" Type="http://schemas.openxmlformats.org/officeDocument/2006/relationships/image" Target="../media/image18.emf"/><Relationship Id="rId17" Type="http://schemas.openxmlformats.org/officeDocument/2006/relationships/image" Target="../media/image23.emf"/><Relationship Id="rId25" Type="http://schemas.openxmlformats.org/officeDocument/2006/relationships/image" Target="../media/image31.emf"/><Relationship Id="rId33" Type="http://schemas.openxmlformats.org/officeDocument/2006/relationships/image" Target="../media/image39.emf"/><Relationship Id="rId2" Type="http://schemas.openxmlformats.org/officeDocument/2006/relationships/image" Target="../media/image8.emf"/><Relationship Id="rId16" Type="http://schemas.openxmlformats.org/officeDocument/2006/relationships/image" Target="../media/image22.emf"/><Relationship Id="rId20" Type="http://schemas.openxmlformats.org/officeDocument/2006/relationships/image" Target="../media/image26.emf"/><Relationship Id="rId29" Type="http://schemas.openxmlformats.org/officeDocument/2006/relationships/image" Target="../media/image35.emf"/><Relationship Id="rId1" Type="http://schemas.openxmlformats.org/officeDocument/2006/relationships/image" Target="../media/image7.emf"/><Relationship Id="rId6" Type="http://schemas.openxmlformats.org/officeDocument/2006/relationships/image" Target="../media/image12.emf"/><Relationship Id="rId11" Type="http://schemas.openxmlformats.org/officeDocument/2006/relationships/image" Target="../media/image17.emf"/><Relationship Id="rId24" Type="http://schemas.openxmlformats.org/officeDocument/2006/relationships/image" Target="../media/image30.emf"/><Relationship Id="rId32" Type="http://schemas.openxmlformats.org/officeDocument/2006/relationships/image" Target="../media/image38.emf"/><Relationship Id="rId5" Type="http://schemas.openxmlformats.org/officeDocument/2006/relationships/image" Target="../media/image11.emf"/><Relationship Id="rId15" Type="http://schemas.openxmlformats.org/officeDocument/2006/relationships/image" Target="../media/image21.emf"/><Relationship Id="rId23" Type="http://schemas.openxmlformats.org/officeDocument/2006/relationships/image" Target="../media/image29.emf"/><Relationship Id="rId28" Type="http://schemas.openxmlformats.org/officeDocument/2006/relationships/image" Target="../media/image34.emf"/><Relationship Id="rId36" Type="http://schemas.openxmlformats.org/officeDocument/2006/relationships/image" Target="../media/image42.emf"/><Relationship Id="rId10" Type="http://schemas.openxmlformats.org/officeDocument/2006/relationships/image" Target="../media/image16.emf"/><Relationship Id="rId19" Type="http://schemas.openxmlformats.org/officeDocument/2006/relationships/image" Target="../media/image25.emf"/><Relationship Id="rId31" Type="http://schemas.openxmlformats.org/officeDocument/2006/relationships/image" Target="../media/image37.emf"/><Relationship Id="rId4" Type="http://schemas.openxmlformats.org/officeDocument/2006/relationships/image" Target="../media/image10.emf"/><Relationship Id="rId9" Type="http://schemas.openxmlformats.org/officeDocument/2006/relationships/image" Target="../media/image15.emf"/><Relationship Id="rId14" Type="http://schemas.openxmlformats.org/officeDocument/2006/relationships/image" Target="../media/image20.emf"/><Relationship Id="rId22" Type="http://schemas.openxmlformats.org/officeDocument/2006/relationships/image" Target="../media/image28.emf"/><Relationship Id="rId27" Type="http://schemas.openxmlformats.org/officeDocument/2006/relationships/image" Target="../media/image33.emf"/><Relationship Id="rId30" Type="http://schemas.openxmlformats.org/officeDocument/2006/relationships/image" Target="../media/image36.emf"/><Relationship Id="rId35" Type="http://schemas.openxmlformats.org/officeDocument/2006/relationships/image" Target="../media/image41.emf"/><Relationship Id="rId8" Type="http://schemas.openxmlformats.org/officeDocument/2006/relationships/image" Target="../media/image14.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xdr:from>
      <xdr:col>12</xdr:col>
      <xdr:colOff>25400</xdr:colOff>
      <xdr:row>1</xdr:row>
      <xdr:rowOff>25400</xdr:rowOff>
    </xdr:from>
    <xdr:to>
      <xdr:col>12</xdr:col>
      <xdr:colOff>488950</xdr:colOff>
      <xdr:row>1</xdr:row>
      <xdr:rowOff>139700</xdr:rowOff>
    </xdr:to>
    <xdr:grpSp>
      <xdr:nvGrpSpPr>
        <xdr:cNvPr id="5096993" name="Groupe 1">
          <a:extLst>
            <a:ext uri="{FF2B5EF4-FFF2-40B4-BE49-F238E27FC236}">
              <a16:creationId xmlns:a16="http://schemas.microsoft.com/office/drawing/2014/main" id="{00000000-0008-0000-0000-000021C64D00}"/>
            </a:ext>
          </a:extLst>
        </xdr:cNvPr>
        <xdr:cNvGrpSpPr>
          <a:grpSpLocks/>
        </xdr:cNvGrpSpPr>
      </xdr:nvGrpSpPr>
      <xdr:grpSpPr bwMode="auto">
        <a:xfrm>
          <a:off x="7372074" y="191052"/>
          <a:ext cx="463550" cy="114300"/>
          <a:chOff x="7067550" y="190500"/>
          <a:chExt cx="438150" cy="114300"/>
        </a:xfrm>
      </xdr:grpSpPr>
      <xdr:pic>
        <xdr:nvPicPr>
          <xdr:cNvPr id="5096999" name="Image 1">
            <a:extLst>
              <a:ext uri="{FF2B5EF4-FFF2-40B4-BE49-F238E27FC236}">
                <a16:creationId xmlns:a16="http://schemas.microsoft.com/office/drawing/2014/main" id="{00000000-0008-0000-0000-000027C64D00}"/>
              </a:ext>
            </a:extLst>
          </xdr:cNvPr>
          <xdr:cNvPicPr>
            <a:picLocks noChangeAspect="1"/>
          </xdr:cNvPicPr>
        </xdr:nvPicPr>
        <xdr:blipFill>
          <a:blip xmlns:r="http://schemas.openxmlformats.org/officeDocument/2006/relationships" r:embed="rId1" cstate="print"/>
          <a:srcRect/>
          <a:stretch>
            <a:fillRect/>
          </a:stretch>
        </xdr:blipFill>
        <xdr:spPr bwMode="auto">
          <a:xfrm>
            <a:off x="7067550" y="190500"/>
            <a:ext cx="171450" cy="114300"/>
          </a:xfrm>
          <a:prstGeom prst="rect">
            <a:avLst/>
          </a:prstGeom>
          <a:noFill/>
          <a:ln w="9525">
            <a:noFill/>
            <a:miter lim="800000"/>
            <a:headEnd/>
            <a:tailEnd/>
          </a:ln>
        </xdr:spPr>
      </xdr:pic>
      <xdr:pic>
        <xdr:nvPicPr>
          <xdr:cNvPr id="5097000" name="Image 2">
            <a:extLst>
              <a:ext uri="{FF2B5EF4-FFF2-40B4-BE49-F238E27FC236}">
                <a16:creationId xmlns:a16="http://schemas.microsoft.com/office/drawing/2014/main" id="{00000000-0008-0000-0000-000028C64D00}"/>
              </a:ext>
            </a:extLst>
          </xdr:cNvPr>
          <xdr:cNvPicPr>
            <a:picLocks noChangeAspect="1"/>
          </xdr:cNvPicPr>
        </xdr:nvPicPr>
        <xdr:blipFill>
          <a:blip xmlns:r="http://schemas.openxmlformats.org/officeDocument/2006/relationships" r:embed="rId2" cstate="print"/>
          <a:srcRect/>
          <a:stretch>
            <a:fillRect/>
          </a:stretch>
        </xdr:blipFill>
        <xdr:spPr bwMode="auto">
          <a:xfrm>
            <a:off x="7277100" y="190500"/>
            <a:ext cx="228600" cy="114300"/>
          </a:xfrm>
          <a:prstGeom prst="rect">
            <a:avLst/>
          </a:prstGeom>
          <a:noFill/>
          <a:ln w="9525">
            <a:noFill/>
            <a:miter lim="800000"/>
            <a:headEnd/>
            <a:tailEnd/>
          </a:ln>
        </xdr:spPr>
      </xdr:pic>
    </xdr:grpSp>
    <xdr:clientData/>
  </xdr:twoCellAnchor>
  <xdr:twoCellAnchor>
    <xdr:from>
      <xdr:col>4</xdr:col>
      <xdr:colOff>279400</xdr:colOff>
      <xdr:row>1</xdr:row>
      <xdr:rowOff>0</xdr:rowOff>
    </xdr:from>
    <xdr:to>
      <xdr:col>10</xdr:col>
      <xdr:colOff>0</xdr:colOff>
      <xdr:row>24</xdr:row>
      <xdr:rowOff>0</xdr:rowOff>
    </xdr:to>
    <xdr:graphicFrame macro="">
      <xdr:nvGraphicFramePr>
        <xdr:cNvPr id="5096994" name="Graphique 9">
          <a:extLst>
            <a:ext uri="{FF2B5EF4-FFF2-40B4-BE49-F238E27FC236}">
              <a16:creationId xmlns:a16="http://schemas.microsoft.com/office/drawing/2014/main" id="{00000000-0008-0000-0000-000022C6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25</xdr:row>
      <xdr:rowOff>0</xdr:rowOff>
    </xdr:from>
    <xdr:to>
      <xdr:col>16</xdr:col>
      <xdr:colOff>0</xdr:colOff>
      <xdr:row>35</xdr:row>
      <xdr:rowOff>0</xdr:rowOff>
    </xdr:to>
    <xdr:graphicFrame macro="">
      <xdr:nvGraphicFramePr>
        <xdr:cNvPr id="5096995" name="Graphique 19">
          <a:extLst>
            <a:ext uri="{FF2B5EF4-FFF2-40B4-BE49-F238E27FC236}">
              <a16:creationId xmlns:a16="http://schemas.microsoft.com/office/drawing/2014/main" id="{00000000-0008-0000-0000-000023C6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0</xdr:colOff>
      <xdr:row>1</xdr:row>
      <xdr:rowOff>0</xdr:rowOff>
    </xdr:from>
    <xdr:to>
      <xdr:col>1</xdr:col>
      <xdr:colOff>981075</xdr:colOff>
      <xdr:row>4</xdr:row>
      <xdr:rowOff>152400</xdr:rowOff>
    </xdr:to>
    <xdr:pic>
      <xdr:nvPicPr>
        <xdr:cNvPr id="5096996" name="Picture 8" descr="logoplasci">
          <a:extLst>
            <a:ext uri="{FF2B5EF4-FFF2-40B4-BE49-F238E27FC236}">
              <a16:creationId xmlns:a16="http://schemas.microsoft.com/office/drawing/2014/main" id="{00000000-0008-0000-0000-000024C64D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152400" y="158750"/>
          <a:ext cx="984250" cy="628650"/>
        </a:xfrm>
        <a:prstGeom prst="rect">
          <a:avLst/>
        </a:prstGeom>
        <a:noFill/>
        <a:ln w="9525">
          <a:noFill/>
          <a:miter lim="800000"/>
          <a:headEnd/>
          <a:tailEnd/>
        </a:ln>
      </xdr:spPr>
    </xdr:pic>
    <xdr:clientData/>
  </xdr:twoCellAnchor>
  <xdr:twoCellAnchor editAs="oneCell">
    <xdr:from>
      <xdr:col>1</xdr:col>
      <xdr:colOff>0</xdr:colOff>
      <xdr:row>38</xdr:row>
      <xdr:rowOff>0</xdr:rowOff>
    </xdr:from>
    <xdr:to>
      <xdr:col>3</xdr:col>
      <xdr:colOff>1270</xdr:colOff>
      <xdr:row>49</xdr:row>
      <xdr:rowOff>66675</xdr:rowOff>
    </xdr:to>
    <xdr:pic>
      <xdr:nvPicPr>
        <xdr:cNvPr id="5096997" name="Image 1">
          <a:extLst>
            <a:ext uri="{FF2B5EF4-FFF2-40B4-BE49-F238E27FC236}">
              <a16:creationId xmlns:a16="http://schemas.microsoft.com/office/drawing/2014/main" id="{00000000-0008-0000-0000-000025C64D00}"/>
            </a:ext>
          </a:extLst>
        </xdr:cNvPr>
        <xdr:cNvPicPr>
          <a:picLocks noChangeAspect="1"/>
        </xdr:cNvPicPr>
      </xdr:nvPicPr>
      <xdr:blipFill>
        <a:blip xmlns:r="http://schemas.openxmlformats.org/officeDocument/2006/relationships" r:embed="rId6" cstate="print"/>
        <a:srcRect/>
        <a:stretch>
          <a:fillRect/>
        </a:stretch>
      </xdr:blipFill>
      <xdr:spPr bwMode="auto">
        <a:xfrm>
          <a:off x="152400" y="5873750"/>
          <a:ext cx="1987550" cy="1885950"/>
        </a:xfrm>
        <a:prstGeom prst="rect">
          <a:avLst/>
        </a:prstGeom>
        <a:noFill/>
        <a:ln w="9525">
          <a:noFill/>
          <a:miter lim="800000"/>
          <a:headEnd/>
          <a:tailEnd/>
        </a:ln>
      </xdr:spPr>
    </xdr:pic>
    <xdr:clientData/>
  </xdr:twoCellAnchor>
  <xdr:twoCellAnchor editAs="oneCell">
    <xdr:from>
      <xdr:col>18</xdr:col>
      <xdr:colOff>0</xdr:colOff>
      <xdr:row>3</xdr:row>
      <xdr:rowOff>12700</xdr:rowOff>
    </xdr:from>
    <xdr:to>
      <xdr:col>20</xdr:col>
      <xdr:colOff>561975</xdr:colOff>
      <xdr:row>9</xdr:row>
      <xdr:rowOff>20320</xdr:rowOff>
    </xdr:to>
    <xdr:pic>
      <xdr:nvPicPr>
        <xdr:cNvPr id="5096998" name="Image 2">
          <a:extLst>
            <a:ext uri="{FF2B5EF4-FFF2-40B4-BE49-F238E27FC236}">
              <a16:creationId xmlns:a16="http://schemas.microsoft.com/office/drawing/2014/main" id="{00000000-0008-0000-0000-000026C64D00}"/>
            </a:ext>
          </a:extLst>
        </xdr:cNvPr>
        <xdr:cNvPicPr>
          <a:picLocks noChangeAspect="1"/>
        </xdr:cNvPicPr>
      </xdr:nvPicPr>
      <xdr:blipFill>
        <a:blip xmlns:r="http://schemas.openxmlformats.org/officeDocument/2006/relationships" r:embed="rId7" cstate="print"/>
        <a:srcRect/>
        <a:stretch>
          <a:fillRect/>
        </a:stretch>
      </xdr:blipFill>
      <xdr:spPr bwMode="auto">
        <a:xfrm>
          <a:off x="9810750" y="488950"/>
          <a:ext cx="2152650" cy="9525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xdr:from>
          <xdr:col>3</xdr:col>
          <xdr:colOff>752475</xdr:colOff>
          <xdr:row>22</xdr:row>
          <xdr:rowOff>0</xdr:rowOff>
        </xdr:from>
        <xdr:to>
          <xdr:col>3</xdr:col>
          <xdr:colOff>895350</xdr:colOff>
          <xdr:row>23</xdr:row>
          <xdr:rowOff>0</xdr:rowOff>
        </xdr:to>
        <xdr:sp macro="" textlink="">
          <xdr:nvSpPr>
            <xdr:cNvPr id="36775" name="Spinner 935" hidden="1">
              <a:extLst>
                <a:ext uri="{63B3BB69-23CF-44E3-9099-C40C66FF867C}">
                  <a14:compatExt spid="_x0000_s36775"/>
                </a:ext>
                <a:ext uri="{FF2B5EF4-FFF2-40B4-BE49-F238E27FC236}">
                  <a16:creationId xmlns:a16="http://schemas.microsoft.com/office/drawing/2014/main" id="{00000000-0008-0000-0000-0000A7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11</xdr:row>
          <xdr:rowOff>0</xdr:rowOff>
        </xdr:from>
        <xdr:to>
          <xdr:col>2</xdr:col>
          <xdr:colOff>895350</xdr:colOff>
          <xdr:row>12</xdr:row>
          <xdr:rowOff>0</xdr:rowOff>
        </xdr:to>
        <xdr:sp macro="" textlink="">
          <xdr:nvSpPr>
            <xdr:cNvPr id="36781" name="Spinner 941" hidden="1">
              <a:extLst>
                <a:ext uri="{63B3BB69-23CF-44E3-9099-C40C66FF867C}">
                  <a14:compatExt spid="_x0000_s36781"/>
                </a:ext>
                <a:ext uri="{FF2B5EF4-FFF2-40B4-BE49-F238E27FC236}">
                  <a16:creationId xmlns:a16="http://schemas.microsoft.com/office/drawing/2014/main" id="{00000000-0008-0000-0000-0000AD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12</xdr:row>
          <xdr:rowOff>0</xdr:rowOff>
        </xdr:from>
        <xdr:to>
          <xdr:col>2</xdr:col>
          <xdr:colOff>895350</xdr:colOff>
          <xdr:row>13</xdr:row>
          <xdr:rowOff>0</xdr:rowOff>
        </xdr:to>
        <xdr:sp macro="" textlink="">
          <xdr:nvSpPr>
            <xdr:cNvPr id="36782" name="Spinner 942" hidden="1">
              <a:extLst>
                <a:ext uri="{63B3BB69-23CF-44E3-9099-C40C66FF867C}">
                  <a14:compatExt spid="_x0000_s36782"/>
                </a:ext>
                <a:ext uri="{FF2B5EF4-FFF2-40B4-BE49-F238E27FC236}">
                  <a16:creationId xmlns:a16="http://schemas.microsoft.com/office/drawing/2014/main" id="{00000000-0008-0000-0000-0000AE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752475</xdr:colOff>
          <xdr:row>22</xdr:row>
          <xdr:rowOff>161925</xdr:rowOff>
        </xdr:from>
        <xdr:to>
          <xdr:col>3</xdr:col>
          <xdr:colOff>895350</xdr:colOff>
          <xdr:row>24</xdr:row>
          <xdr:rowOff>0</xdr:rowOff>
        </xdr:to>
        <xdr:sp macro="" textlink="">
          <xdr:nvSpPr>
            <xdr:cNvPr id="36783" name="Spinner 943" hidden="1">
              <a:extLst>
                <a:ext uri="{63B3BB69-23CF-44E3-9099-C40C66FF867C}">
                  <a14:compatExt spid="_x0000_s36783"/>
                </a:ext>
                <a:ext uri="{FF2B5EF4-FFF2-40B4-BE49-F238E27FC236}">
                  <a16:creationId xmlns:a16="http://schemas.microsoft.com/office/drawing/2014/main" id="{00000000-0008-0000-0000-0000AF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27</xdr:row>
          <xdr:rowOff>0</xdr:rowOff>
        </xdr:from>
        <xdr:to>
          <xdr:col>3</xdr:col>
          <xdr:colOff>0</xdr:colOff>
          <xdr:row>28</xdr:row>
          <xdr:rowOff>9525</xdr:rowOff>
        </xdr:to>
        <xdr:sp macro="" textlink="">
          <xdr:nvSpPr>
            <xdr:cNvPr id="36789" name="Spinner 949" hidden="1">
              <a:extLst>
                <a:ext uri="{63B3BB69-23CF-44E3-9099-C40C66FF867C}">
                  <a14:compatExt spid="_x0000_s36789"/>
                </a:ext>
                <a:ext uri="{FF2B5EF4-FFF2-40B4-BE49-F238E27FC236}">
                  <a16:creationId xmlns:a16="http://schemas.microsoft.com/office/drawing/2014/main" id="{00000000-0008-0000-0000-0000B5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28</xdr:row>
          <xdr:rowOff>0</xdr:rowOff>
        </xdr:from>
        <xdr:to>
          <xdr:col>3</xdr:col>
          <xdr:colOff>0</xdr:colOff>
          <xdr:row>29</xdr:row>
          <xdr:rowOff>9525</xdr:rowOff>
        </xdr:to>
        <xdr:sp macro="" textlink="">
          <xdr:nvSpPr>
            <xdr:cNvPr id="36795" name="Spinner 955" hidden="1">
              <a:extLst>
                <a:ext uri="{63B3BB69-23CF-44E3-9099-C40C66FF867C}">
                  <a14:compatExt spid="_x0000_s36795"/>
                </a:ext>
                <a:ext uri="{FF2B5EF4-FFF2-40B4-BE49-F238E27FC236}">
                  <a16:creationId xmlns:a16="http://schemas.microsoft.com/office/drawing/2014/main" id="{00000000-0008-0000-0000-0000BB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28</xdr:row>
          <xdr:rowOff>161925</xdr:rowOff>
        </xdr:from>
        <xdr:to>
          <xdr:col>3</xdr:col>
          <xdr:colOff>0</xdr:colOff>
          <xdr:row>30</xdr:row>
          <xdr:rowOff>0</xdr:rowOff>
        </xdr:to>
        <xdr:sp macro="" textlink="">
          <xdr:nvSpPr>
            <xdr:cNvPr id="36796" name="Spinner 956" hidden="1">
              <a:extLst>
                <a:ext uri="{63B3BB69-23CF-44E3-9099-C40C66FF867C}">
                  <a14:compatExt spid="_x0000_s36796"/>
                </a:ext>
                <a:ext uri="{FF2B5EF4-FFF2-40B4-BE49-F238E27FC236}">
                  <a16:creationId xmlns:a16="http://schemas.microsoft.com/office/drawing/2014/main" id="{00000000-0008-0000-0000-0000BC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30</xdr:row>
          <xdr:rowOff>0</xdr:rowOff>
        </xdr:from>
        <xdr:to>
          <xdr:col>3</xdr:col>
          <xdr:colOff>0</xdr:colOff>
          <xdr:row>30</xdr:row>
          <xdr:rowOff>161925</xdr:rowOff>
        </xdr:to>
        <xdr:sp macro="" textlink="">
          <xdr:nvSpPr>
            <xdr:cNvPr id="36797" name="Spinner 957" hidden="1">
              <a:extLst>
                <a:ext uri="{63B3BB69-23CF-44E3-9099-C40C66FF867C}">
                  <a14:compatExt spid="_x0000_s36797"/>
                </a:ext>
                <a:ext uri="{FF2B5EF4-FFF2-40B4-BE49-F238E27FC236}">
                  <a16:creationId xmlns:a16="http://schemas.microsoft.com/office/drawing/2014/main" id="{00000000-0008-0000-0000-0000BD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31</xdr:row>
          <xdr:rowOff>0</xdr:rowOff>
        </xdr:from>
        <xdr:to>
          <xdr:col>2</xdr:col>
          <xdr:colOff>895350</xdr:colOff>
          <xdr:row>32</xdr:row>
          <xdr:rowOff>0</xdr:rowOff>
        </xdr:to>
        <xdr:sp macro="" textlink="">
          <xdr:nvSpPr>
            <xdr:cNvPr id="36798" name="Spinner 958" hidden="1">
              <a:extLst>
                <a:ext uri="{63B3BB69-23CF-44E3-9099-C40C66FF867C}">
                  <a14:compatExt spid="_x0000_s36798"/>
                </a:ext>
                <a:ext uri="{FF2B5EF4-FFF2-40B4-BE49-F238E27FC236}">
                  <a16:creationId xmlns:a16="http://schemas.microsoft.com/office/drawing/2014/main" id="{00000000-0008-0000-0000-0000BE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32</xdr:row>
          <xdr:rowOff>0</xdr:rowOff>
        </xdr:from>
        <xdr:to>
          <xdr:col>3</xdr:col>
          <xdr:colOff>0</xdr:colOff>
          <xdr:row>33</xdr:row>
          <xdr:rowOff>0</xdr:rowOff>
        </xdr:to>
        <xdr:sp macro="" textlink="">
          <xdr:nvSpPr>
            <xdr:cNvPr id="36799" name="Spinner 959" hidden="1">
              <a:extLst>
                <a:ext uri="{63B3BB69-23CF-44E3-9099-C40C66FF867C}">
                  <a14:compatExt spid="_x0000_s36799"/>
                </a:ext>
                <a:ext uri="{FF2B5EF4-FFF2-40B4-BE49-F238E27FC236}">
                  <a16:creationId xmlns:a16="http://schemas.microsoft.com/office/drawing/2014/main" id="{00000000-0008-0000-0000-0000BF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752475</xdr:colOff>
          <xdr:row>12</xdr:row>
          <xdr:rowOff>161925</xdr:rowOff>
        </xdr:from>
        <xdr:to>
          <xdr:col>4</xdr:col>
          <xdr:colOff>0</xdr:colOff>
          <xdr:row>13</xdr:row>
          <xdr:rowOff>161925</xdr:rowOff>
        </xdr:to>
        <xdr:sp macro="" textlink="">
          <xdr:nvSpPr>
            <xdr:cNvPr id="36801" name="Spinner 961" hidden="1">
              <a:extLst>
                <a:ext uri="{63B3BB69-23CF-44E3-9099-C40C66FF867C}">
                  <a14:compatExt spid="_x0000_s36801"/>
                </a:ext>
                <a:ext uri="{FF2B5EF4-FFF2-40B4-BE49-F238E27FC236}">
                  <a16:creationId xmlns:a16="http://schemas.microsoft.com/office/drawing/2014/main" id="{00000000-0008-0000-0000-0000C1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19</xdr:col>
          <xdr:colOff>0</xdr:colOff>
          <xdr:row>35</xdr:row>
          <xdr:rowOff>9525</xdr:rowOff>
        </xdr:from>
        <xdr:to>
          <xdr:col>19</xdr:col>
          <xdr:colOff>0</xdr:colOff>
          <xdr:row>36</xdr:row>
          <xdr:rowOff>0</xdr:rowOff>
        </xdr:to>
        <xdr:sp macro="" textlink="">
          <xdr:nvSpPr>
            <xdr:cNvPr id="5096691" name="Spinner 3315" hidden="1">
              <a:extLst>
                <a:ext uri="{63B3BB69-23CF-44E3-9099-C40C66FF867C}">
                  <a14:compatExt spid="_x0000_s5096691"/>
                </a:ext>
                <a:ext uri="{FF2B5EF4-FFF2-40B4-BE49-F238E27FC236}">
                  <a16:creationId xmlns:a16="http://schemas.microsoft.com/office/drawing/2014/main" id="{00000000-0008-0000-0000-0000F3C44D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19</xdr:col>
          <xdr:colOff>0</xdr:colOff>
          <xdr:row>35</xdr:row>
          <xdr:rowOff>9525</xdr:rowOff>
        </xdr:from>
        <xdr:to>
          <xdr:col>19</xdr:col>
          <xdr:colOff>0</xdr:colOff>
          <xdr:row>36</xdr:row>
          <xdr:rowOff>0</xdr:rowOff>
        </xdr:to>
        <xdr:sp macro="" textlink="">
          <xdr:nvSpPr>
            <xdr:cNvPr id="5096692" name="Spinner 3316" hidden="1">
              <a:extLst>
                <a:ext uri="{63B3BB69-23CF-44E3-9099-C40C66FF867C}">
                  <a14:compatExt spid="_x0000_s5096692"/>
                </a:ext>
                <a:ext uri="{FF2B5EF4-FFF2-40B4-BE49-F238E27FC236}">
                  <a16:creationId xmlns:a16="http://schemas.microsoft.com/office/drawing/2014/main" id="{00000000-0008-0000-0000-0000F4C44D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5</xdr:col>
      <xdr:colOff>0</xdr:colOff>
      <xdr:row>1</xdr:row>
      <xdr:rowOff>0</xdr:rowOff>
    </xdr:from>
    <xdr:to>
      <xdr:col>8</xdr:col>
      <xdr:colOff>609600</xdr:colOff>
      <xdr:row>21</xdr:row>
      <xdr:rowOff>38100</xdr:rowOff>
    </xdr:to>
    <xdr:graphicFrame macro="">
      <xdr:nvGraphicFramePr>
        <xdr:cNvPr id="4779983" name="Graphique 1">
          <a:extLst>
            <a:ext uri="{FF2B5EF4-FFF2-40B4-BE49-F238E27FC236}">
              <a16:creationId xmlns:a16="http://schemas.microsoft.com/office/drawing/2014/main" id="{00000000-0008-0000-0100-0000CFEF48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xdr:row>
      <xdr:rowOff>0</xdr:rowOff>
    </xdr:from>
    <xdr:to>
      <xdr:col>13</xdr:col>
      <xdr:colOff>0</xdr:colOff>
      <xdr:row>21</xdr:row>
      <xdr:rowOff>47625</xdr:rowOff>
    </xdr:to>
    <xdr:graphicFrame macro="">
      <xdr:nvGraphicFramePr>
        <xdr:cNvPr id="4779984" name="Graphique 2">
          <a:extLst>
            <a:ext uri="{FF2B5EF4-FFF2-40B4-BE49-F238E27FC236}">
              <a16:creationId xmlns:a16="http://schemas.microsoft.com/office/drawing/2014/main" id="{00000000-0008-0000-0100-0000D0EF48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1</xdr:row>
      <xdr:rowOff>0</xdr:rowOff>
    </xdr:from>
    <xdr:to>
      <xdr:col>1</xdr:col>
      <xdr:colOff>979170</xdr:colOff>
      <xdr:row>4</xdr:row>
      <xdr:rowOff>152400</xdr:rowOff>
    </xdr:to>
    <xdr:pic>
      <xdr:nvPicPr>
        <xdr:cNvPr id="4779985" name="Picture 8" descr="logoplasci">
          <a:extLst>
            <a:ext uri="{FF2B5EF4-FFF2-40B4-BE49-F238E27FC236}">
              <a16:creationId xmlns:a16="http://schemas.microsoft.com/office/drawing/2014/main" id="{00000000-0008-0000-0100-0000D1EF48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52400" y="165100"/>
          <a:ext cx="984250" cy="628650"/>
        </a:xfrm>
        <a:prstGeom prst="rect">
          <a:avLst/>
        </a:prstGeom>
        <a:noFill/>
        <a:ln w="9525">
          <a:noFill/>
          <a:miter lim="800000"/>
          <a:headEnd/>
          <a:tailEnd/>
        </a:ln>
      </xdr:spPr>
    </xdr:pic>
    <xdr:clientData/>
  </xdr:twoCellAnchor>
  <xdr:twoCellAnchor>
    <xdr:from>
      <xdr:col>2</xdr:col>
      <xdr:colOff>397377</xdr:colOff>
      <xdr:row>49</xdr:row>
      <xdr:rowOff>132682</xdr:rowOff>
    </xdr:from>
    <xdr:to>
      <xdr:col>3</xdr:col>
      <xdr:colOff>583998</xdr:colOff>
      <xdr:row>56</xdr:row>
      <xdr:rowOff>50436</xdr:rowOff>
    </xdr:to>
    <xdr:grpSp>
      <xdr:nvGrpSpPr>
        <xdr:cNvPr id="4" name="Groupe 3">
          <a:extLst>
            <a:ext uri="{FF2B5EF4-FFF2-40B4-BE49-F238E27FC236}">
              <a16:creationId xmlns:a16="http://schemas.microsoft.com/office/drawing/2014/main" id="{00000000-0008-0000-0100-000004000000}"/>
            </a:ext>
          </a:extLst>
        </xdr:cNvPr>
        <xdr:cNvGrpSpPr/>
      </xdr:nvGrpSpPr>
      <xdr:grpSpPr>
        <a:xfrm>
          <a:off x="1616577" y="8076532"/>
          <a:ext cx="1043871" cy="1051229"/>
          <a:chOff x="1543718" y="8304129"/>
          <a:chExt cx="1082306" cy="1064096"/>
        </a:xfrm>
      </xdr:grpSpPr>
      <xdr:sp macro="" textlink="">
        <xdr:nvSpPr>
          <xdr:cNvPr id="4779987" name="Oval 323">
            <a:extLst>
              <a:ext uri="{FF2B5EF4-FFF2-40B4-BE49-F238E27FC236}">
                <a16:creationId xmlns:a16="http://schemas.microsoft.com/office/drawing/2014/main" id="{00000000-0008-0000-0100-0000D3EF4800}"/>
              </a:ext>
            </a:extLst>
          </xdr:cNvPr>
          <xdr:cNvSpPr>
            <a:spLocks noChangeArrowheads="1"/>
          </xdr:cNvSpPr>
        </xdr:nvSpPr>
        <xdr:spPr bwMode="auto">
          <a:xfrm>
            <a:off x="1543718" y="8304129"/>
            <a:ext cx="1082306" cy="1064096"/>
          </a:xfrm>
          <a:prstGeom prst="ellipse">
            <a:avLst/>
          </a:prstGeom>
          <a:solidFill>
            <a:srgbClr val="F2F2F2"/>
          </a:solidFill>
          <a:ln w="9525">
            <a:solidFill>
              <a:srgbClr val="000000"/>
            </a:solidFill>
            <a:round/>
            <a:headEnd/>
            <a:tailEnd/>
          </a:ln>
        </xdr:spPr>
      </xdr:sp>
      <xdr:sp macro="" textlink="">
        <xdr:nvSpPr>
          <xdr:cNvPr id="4779988" name="Oval 323">
            <a:extLst>
              <a:ext uri="{FF2B5EF4-FFF2-40B4-BE49-F238E27FC236}">
                <a16:creationId xmlns:a16="http://schemas.microsoft.com/office/drawing/2014/main" id="{00000000-0008-0000-0100-0000D4EF4800}"/>
              </a:ext>
            </a:extLst>
          </xdr:cNvPr>
          <xdr:cNvSpPr>
            <a:spLocks noChangeArrowheads="1"/>
          </xdr:cNvSpPr>
        </xdr:nvSpPr>
        <xdr:spPr bwMode="auto">
          <a:xfrm>
            <a:off x="1939718" y="8694827"/>
            <a:ext cx="290306" cy="282700"/>
          </a:xfrm>
          <a:prstGeom prst="ellipse">
            <a:avLst/>
          </a:prstGeom>
          <a:solidFill>
            <a:srgbClr val="FFFFFF"/>
          </a:solidFill>
          <a:ln w="9525">
            <a:solidFill>
              <a:srgbClr val="000000"/>
            </a:solidFill>
            <a:round/>
            <a:headEnd/>
            <a:tailEnd/>
          </a:ln>
        </xdr:spPr>
      </xdr:sp>
      <xdr:sp macro="" textlink="">
        <xdr:nvSpPr>
          <xdr:cNvPr id="4779989" name="Line 324">
            <a:extLst>
              <a:ext uri="{FF2B5EF4-FFF2-40B4-BE49-F238E27FC236}">
                <a16:creationId xmlns:a16="http://schemas.microsoft.com/office/drawing/2014/main" id="{00000000-0008-0000-0100-0000D5EF4800}"/>
              </a:ext>
            </a:extLst>
          </xdr:cNvPr>
          <xdr:cNvSpPr>
            <a:spLocks noChangeShapeType="1"/>
          </xdr:cNvSpPr>
        </xdr:nvSpPr>
        <xdr:spPr bwMode="auto">
          <a:xfrm>
            <a:off x="2083718" y="8304129"/>
            <a:ext cx="0" cy="540000"/>
          </a:xfrm>
          <a:prstGeom prst="line">
            <a:avLst/>
          </a:prstGeom>
          <a:noFill/>
          <a:ln w="9525">
            <a:solidFill>
              <a:srgbClr val="000000"/>
            </a:solidFill>
            <a:round/>
            <a:headEnd type="triangle" w="med" len="med"/>
            <a:tailEnd type="triangle" w="med" len="med"/>
          </a:ln>
        </xdr:spPr>
      </xdr:sp>
      <xdr:sp macro="" textlink="">
        <xdr:nvSpPr>
          <xdr:cNvPr id="4779990" name="Line 324">
            <a:extLst>
              <a:ext uri="{FF2B5EF4-FFF2-40B4-BE49-F238E27FC236}">
                <a16:creationId xmlns:a16="http://schemas.microsoft.com/office/drawing/2014/main" id="{00000000-0008-0000-0100-0000D6EF4800}"/>
              </a:ext>
            </a:extLst>
          </xdr:cNvPr>
          <xdr:cNvSpPr>
            <a:spLocks noChangeShapeType="1"/>
          </xdr:cNvSpPr>
        </xdr:nvSpPr>
        <xdr:spPr bwMode="auto">
          <a:xfrm>
            <a:off x="2083718" y="8838866"/>
            <a:ext cx="0" cy="144000"/>
          </a:xfrm>
          <a:prstGeom prst="line">
            <a:avLst/>
          </a:prstGeom>
          <a:noFill/>
          <a:ln w="9525">
            <a:solidFill>
              <a:srgbClr val="000000"/>
            </a:solidFill>
            <a:round/>
            <a:headEnd type="triangle" w="sm" len="sm"/>
            <a:tailEnd type="triangle" w="sm" len="sm"/>
          </a:ln>
        </xdr:spPr>
      </xdr:sp>
    </xdr:grpSp>
    <xdr:clientData/>
  </xdr:twoCellAnchor>
  <mc:AlternateContent xmlns:mc="http://schemas.openxmlformats.org/markup-compatibility/2006">
    <mc:Choice xmlns:a14="http://schemas.microsoft.com/office/drawing/2010/main" Requires="a14">
      <xdr:twoCellAnchor>
        <xdr:from>
          <xdr:col>3</xdr:col>
          <xdr:colOff>647700</xdr:colOff>
          <xdr:row>9</xdr:row>
          <xdr:rowOff>161925</xdr:rowOff>
        </xdr:from>
        <xdr:to>
          <xdr:col>4</xdr:col>
          <xdr:colOff>0</xdr:colOff>
          <xdr:row>11</xdr:row>
          <xdr:rowOff>9525</xdr:rowOff>
        </xdr:to>
        <xdr:sp macro="" textlink="">
          <xdr:nvSpPr>
            <xdr:cNvPr id="1424424" name="Spinner 1064" hidden="1">
              <a:extLst>
                <a:ext uri="{63B3BB69-23CF-44E3-9099-C40C66FF867C}">
                  <a14:compatExt spid="_x0000_s1424424"/>
                </a:ext>
                <a:ext uri="{FF2B5EF4-FFF2-40B4-BE49-F238E27FC236}">
                  <a16:creationId xmlns:a16="http://schemas.microsoft.com/office/drawing/2014/main" id="{00000000-0008-0000-0100-000028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43</xdr:row>
          <xdr:rowOff>9525</xdr:rowOff>
        </xdr:from>
        <xdr:to>
          <xdr:col>2</xdr:col>
          <xdr:colOff>0</xdr:colOff>
          <xdr:row>44</xdr:row>
          <xdr:rowOff>0</xdr:rowOff>
        </xdr:to>
        <xdr:sp macro="" textlink="">
          <xdr:nvSpPr>
            <xdr:cNvPr id="1424589" name="Spinner 1229" hidden="1">
              <a:extLst>
                <a:ext uri="{63B3BB69-23CF-44E3-9099-C40C66FF867C}">
                  <a14:compatExt spid="_x0000_s1424589"/>
                </a:ext>
                <a:ext uri="{FF2B5EF4-FFF2-40B4-BE49-F238E27FC236}">
                  <a16:creationId xmlns:a16="http://schemas.microsoft.com/office/drawing/2014/main" id="{00000000-0008-0000-0100-0000CD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45</xdr:row>
          <xdr:rowOff>9525</xdr:rowOff>
        </xdr:from>
        <xdr:to>
          <xdr:col>2</xdr:col>
          <xdr:colOff>0</xdr:colOff>
          <xdr:row>46</xdr:row>
          <xdr:rowOff>0</xdr:rowOff>
        </xdr:to>
        <xdr:sp macro="" textlink="">
          <xdr:nvSpPr>
            <xdr:cNvPr id="1424590" name="Spinner 1230" hidden="1">
              <a:extLst>
                <a:ext uri="{63B3BB69-23CF-44E3-9099-C40C66FF867C}">
                  <a14:compatExt spid="_x0000_s1424590"/>
                </a:ext>
                <a:ext uri="{FF2B5EF4-FFF2-40B4-BE49-F238E27FC236}">
                  <a16:creationId xmlns:a16="http://schemas.microsoft.com/office/drawing/2014/main" id="{00000000-0008-0000-0100-0000CE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51</xdr:row>
          <xdr:rowOff>9525</xdr:rowOff>
        </xdr:from>
        <xdr:to>
          <xdr:col>2</xdr:col>
          <xdr:colOff>0</xdr:colOff>
          <xdr:row>52</xdr:row>
          <xdr:rowOff>0</xdr:rowOff>
        </xdr:to>
        <xdr:sp macro="" textlink="">
          <xdr:nvSpPr>
            <xdr:cNvPr id="1424591" name="Spinner 1231" hidden="1">
              <a:extLst>
                <a:ext uri="{63B3BB69-23CF-44E3-9099-C40C66FF867C}">
                  <a14:compatExt spid="_x0000_s1424591"/>
                </a:ext>
                <a:ext uri="{FF2B5EF4-FFF2-40B4-BE49-F238E27FC236}">
                  <a16:creationId xmlns:a16="http://schemas.microsoft.com/office/drawing/2014/main" id="{00000000-0008-0000-0100-0000CF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94</xdr:row>
          <xdr:rowOff>76200</xdr:rowOff>
        </xdr:from>
        <xdr:to>
          <xdr:col>3</xdr:col>
          <xdr:colOff>762000</xdr:colOff>
          <xdr:row>100</xdr:row>
          <xdr:rowOff>95250</xdr:rowOff>
        </xdr:to>
        <xdr:sp macro="" textlink="">
          <xdr:nvSpPr>
            <xdr:cNvPr id="1425294" name="Object 1934" hidden="1">
              <a:extLst>
                <a:ext uri="{63B3BB69-23CF-44E3-9099-C40C66FF867C}">
                  <a14:compatExt spid="_x0000_s1425294"/>
                </a:ext>
                <a:ext uri="{FF2B5EF4-FFF2-40B4-BE49-F238E27FC236}">
                  <a16:creationId xmlns:a16="http://schemas.microsoft.com/office/drawing/2014/main" id="{00000000-0008-0000-0100-00008EBF15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53</xdr:row>
          <xdr:rowOff>9525</xdr:rowOff>
        </xdr:from>
        <xdr:to>
          <xdr:col>2</xdr:col>
          <xdr:colOff>0</xdr:colOff>
          <xdr:row>54</xdr:row>
          <xdr:rowOff>0</xdr:rowOff>
        </xdr:to>
        <xdr:sp macro="" textlink="">
          <xdr:nvSpPr>
            <xdr:cNvPr id="4779462" name="Spinner 4550" hidden="1">
              <a:extLst>
                <a:ext uri="{63B3BB69-23CF-44E3-9099-C40C66FF867C}">
                  <a14:compatExt spid="_x0000_s4779462"/>
                </a:ext>
                <a:ext uri="{FF2B5EF4-FFF2-40B4-BE49-F238E27FC236}">
                  <a16:creationId xmlns:a16="http://schemas.microsoft.com/office/drawing/2014/main" id="{00000000-0008-0000-0100-0000C6ED48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twoCellAnchor>
    <xdr:from>
      <xdr:col>2</xdr:col>
      <xdr:colOff>111065</xdr:colOff>
      <xdr:row>40</xdr:row>
      <xdr:rowOff>120650</xdr:rowOff>
    </xdr:from>
    <xdr:to>
      <xdr:col>3</xdr:col>
      <xdr:colOff>723899</xdr:colOff>
      <xdr:row>47</xdr:row>
      <xdr:rowOff>163763</xdr:rowOff>
    </xdr:to>
    <xdr:grpSp>
      <xdr:nvGrpSpPr>
        <xdr:cNvPr id="5" name="Groupe 4">
          <a:extLst>
            <a:ext uri="{FF2B5EF4-FFF2-40B4-BE49-F238E27FC236}">
              <a16:creationId xmlns:a16="http://schemas.microsoft.com/office/drawing/2014/main" id="{00000000-0008-0000-0100-000005000000}"/>
            </a:ext>
          </a:extLst>
        </xdr:cNvPr>
        <xdr:cNvGrpSpPr/>
      </xdr:nvGrpSpPr>
      <xdr:grpSpPr>
        <a:xfrm>
          <a:off x="1330265" y="6607175"/>
          <a:ext cx="1470084" cy="1176588"/>
          <a:chOff x="1206570" y="6604334"/>
          <a:chExt cx="1696381" cy="1189455"/>
        </a:xfrm>
      </xdr:grpSpPr>
      <xdr:grpSp>
        <xdr:nvGrpSpPr>
          <xdr:cNvPr id="4779986" name="Groupe 1">
            <a:extLst>
              <a:ext uri="{FF2B5EF4-FFF2-40B4-BE49-F238E27FC236}">
                <a16:creationId xmlns:a16="http://schemas.microsoft.com/office/drawing/2014/main" id="{00000000-0008-0000-0100-0000D2EF4800}"/>
              </a:ext>
            </a:extLst>
          </xdr:cNvPr>
          <xdr:cNvGrpSpPr>
            <a:grpSpLocks/>
          </xdr:cNvGrpSpPr>
        </xdr:nvGrpSpPr>
        <xdr:grpSpPr bwMode="auto">
          <a:xfrm>
            <a:off x="1423067" y="6604334"/>
            <a:ext cx="1479884" cy="1189455"/>
            <a:chOff x="1362074" y="6410325"/>
            <a:chExt cx="1319467" cy="1181100"/>
          </a:xfrm>
        </xdr:grpSpPr>
        <xdr:sp macro="" textlink="">
          <xdr:nvSpPr>
            <xdr:cNvPr id="4779991" name="Line 320">
              <a:extLst>
                <a:ext uri="{FF2B5EF4-FFF2-40B4-BE49-F238E27FC236}">
                  <a16:creationId xmlns:a16="http://schemas.microsoft.com/office/drawing/2014/main" id="{00000000-0008-0000-0100-0000D7EF4800}"/>
                </a:ext>
              </a:extLst>
            </xdr:cNvPr>
            <xdr:cNvSpPr>
              <a:spLocks noChangeShapeType="1"/>
            </xdr:cNvSpPr>
          </xdr:nvSpPr>
          <xdr:spPr bwMode="auto">
            <a:xfrm flipH="1">
              <a:off x="1481627" y="7305580"/>
              <a:ext cx="342769" cy="0"/>
            </a:xfrm>
            <a:prstGeom prst="line">
              <a:avLst/>
            </a:prstGeom>
            <a:noFill/>
            <a:ln w="9525">
              <a:solidFill>
                <a:srgbClr val="000000"/>
              </a:solidFill>
              <a:round/>
              <a:headEnd type="triangle" w="med" len="med"/>
              <a:tailEnd type="triangle" w="med" len="med"/>
            </a:ln>
          </xdr:spPr>
        </xdr:sp>
        <xdr:sp macro="" textlink="">
          <xdr:nvSpPr>
            <xdr:cNvPr id="4779992" name="Rectangle 314">
              <a:extLst>
                <a:ext uri="{FF2B5EF4-FFF2-40B4-BE49-F238E27FC236}">
                  <a16:creationId xmlns:a16="http://schemas.microsoft.com/office/drawing/2014/main" id="{00000000-0008-0000-0100-0000D8EF4800}"/>
                </a:ext>
              </a:extLst>
            </xdr:cNvPr>
            <xdr:cNvSpPr>
              <a:spLocks noChangeArrowheads="1"/>
            </xdr:cNvSpPr>
          </xdr:nvSpPr>
          <xdr:spPr bwMode="auto">
            <a:xfrm>
              <a:off x="1838688" y="6410325"/>
              <a:ext cx="481630" cy="1181100"/>
            </a:xfrm>
            <a:prstGeom prst="rect">
              <a:avLst/>
            </a:prstGeom>
            <a:solidFill>
              <a:srgbClr val="F2F2F2"/>
            </a:solidFill>
            <a:ln w="9525">
              <a:solidFill>
                <a:srgbClr val="000000"/>
              </a:solidFill>
              <a:miter lim="800000"/>
              <a:headEnd/>
              <a:tailEnd/>
            </a:ln>
          </xdr:spPr>
        </xdr:sp>
        <xdr:sp macro="" textlink="">
          <xdr:nvSpPr>
            <xdr:cNvPr id="4779993" name="Rectangle 315">
              <a:extLst>
                <a:ext uri="{FF2B5EF4-FFF2-40B4-BE49-F238E27FC236}">
                  <a16:creationId xmlns:a16="http://schemas.microsoft.com/office/drawing/2014/main" id="{00000000-0008-0000-0100-0000D9EF4800}"/>
                </a:ext>
              </a:extLst>
            </xdr:cNvPr>
            <xdr:cNvSpPr>
              <a:spLocks noChangeArrowheads="1"/>
            </xdr:cNvSpPr>
          </xdr:nvSpPr>
          <xdr:spPr bwMode="auto">
            <a:xfrm rot="16200000">
              <a:off x="1842199" y="6398837"/>
              <a:ext cx="474608" cy="1204076"/>
            </a:xfrm>
            <a:prstGeom prst="rect">
              <a:avLst/>
            </a:prstGeom>
            <a:solidFill>
              <a:srgbClr val="F2F2F2"/>
            </a:solidFill>
            <a:ln w="9525">
              <a:solidFill>
                <a:srgbClr val="000000"/>
              </a:solidFill>
              <a:miter lim="800000"/>
              <a:headEnd/>
              <a:tailEnd/>
            </a:ln>
          </xdr:spPr>
        </xdr:sp>
        <xdr:sp macro="" textlink="">
          <xdr:nvSpPr>
            <xdr:cNvPr id="4779994" name="Line 316">
              <a:extLst>
                <a:ext uri="{FF2B5EF4-FFF2-40B4-BE49-F238E27FC236}">
                  <a16:creationId xmlns:a16="http://schemas.microsoft.com/office/drawing/2014/main" id="{00000000-0008-0000-0100-0000DAEF4800}"/>
                </a:ext>
              </a:extLst>
            </xdr:cNvPr>
            <xdr:cNvSpPr>
              <a:spLocks noChangeShapeType="1"/>
            </xdr:cNvSpPr>
          </xdr:nvSpPr>
          <xdr:spPr bwMode="auto">
            <a:xfrm>
              <a:off x="1839552" y="6759733"/>
              <a:ext cx="0" cy="482283"/>
            </a:xfrm>
            <a:prstGeom prst="line">
              <a:avLst/>
            </a:prstGeom>
            <a:noFill/>
            <a:ln w="9525">
              <a:solidFill>
                <a:srgbClr val="000000"/>
              </a:solidFill>
              <a:round/>
              <a:headEnd/>
              <a:tailEnd/>
            </a:ln>
          </xdr:spPr>
        </xdr:sp>
        <xdr:sp macro="" textlink="">
          <xdr:nvSpPr>
            <xdr:cNvPr id="4779995" name="Line 317">
              <a:extLst>
                <a:ext uri="{FF2B5EF4-FFF2-40B4-BE49-F238E27FC236}">
                  <a16:creationId xmlns:a16="http://schemas.microsoft.com/office/drawing/2014/main" id="{00000000-0008-0000-0100-0000DBEF4800}"/>
                </a:ext>
              </a:extLst>
            </xdr:cNvPr>
            <xdr:cNvSpPr>
              <a:spLocks noChangeShapeType="1"/>
            </xdr:cNvSpPr>
          </xdr:nvSpPr>
          <xdr:spPr bwMode="auto">
            <a:xfrm>
              <a:off x="2320389" y="6759733"/>
              <a:ext cx="0" cy="482283"/>
            </a:xfrm>
            <a:prstGeom prst="line">
              <a:avLst/>
            </a:prstGeom>
            <a:noFill/>
            <a:ln w="9525">
              <a:solidFill>
                <a:srgbClr val="000000"/>
              </a:solidFill>
              <a:round/>
              <a:headEnd/>
              <a:tailEnd/>
            </a:ln>
          </xdr:spPr>
          <xdr:txBody>
            <a:bodyPr/>
            <a:lstStyle/>
            <a:p>
              <a:endParaRPr lang="fr-FR"/>
            </a:p>
          </xdr:txBody>
        </xdr:sp>
        <xdr:sp macro="" textlink="">
          <xdr:nvSpPr>
            <xdr:cNvPr id="4779996" name="Line 319">
              <a:extLst>
                <a:ext uri="{FF2B5EF4-FFF2-40B4-BE49-F238E27FC236}">
                  <a16:creationId xmlns:a16="http://schemas.microsoft.com/office/drawing/2014/main" id="{00000000-0008-0000-0100-0000DCEF4800}"/>
                </a:ext>
              </a:extLst>
            </xdr:cNvPr>
            <xdr:cNvSpPr>
              <a:spLocks noChangeShapeType="1"/>
            </xdr:cNvSpPr>
          </xdr:nvSpPr>
          <xdr:spPr bwMode="auto">
            <a:xfrm>
              <a:off x="1362074" y="6762863"/>
              <a:ext cx="0" cy="476023"/>
            </a:xfrm>
            <a:prstGeom prst="line">
              <a:avLst/>
            </a:prstGeom>
            <a:noFill/>
            <a:ln w="9525">
              <a:solidFill>
                <a:srgbClr val="000000"/>
              </a:solidFill>
              <a:round/>
              <a:headEnd type="triangle" w="med" len="med"/>
              <a:tailEnd type="triangle" w="med" len="med"/>
            </a:ln>
          </xdr:spPr>
        </xdr:sp>
      </xdr:grpSp>
      <xdr:sp macro="" textlink="">
        <xdr:nvSpPr>
          <xdr:cNvPr id="2" name="ZoneTexte 1">
            <a:extLst>
              <a:ext uri="{FF2B5EF4-FFF2-40B4-BE49-F238E27FC236}">
                <a16:creationId xmlns:a16="http://schemas.microsoft.com/office/drawing/2014/main" id="{00000000-0008-0000-0100-000002000000}"/>
              </a:ext>
            </a:extLst>
          </xdr:cNvPr>
          <xdr:cNvSpPr txBox="1"/>
        </xdr:nvSpPr>
        <xdr:spPr>
          <a:xfrm>
            <a:off x="1206570" y="7066782"/>
            <a:ext cx="25224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100" b="1"/>
              <a:t>a</a:t>
            </a:r>
          </a:p>
        </xdr:txBody>
      </xdr:sp>
      <xdr:sp macro="" textlink="">
        <xdr:nvSpPr>
          <xdr:cNvPr id="3" name="ZoneTexte 2">
            <a:extLst>
              <a:ext uri="{FF2B5EF4-FFF2-40B4-BE49-F238E27FC236}">
                <a16:creationId xmlns:a16="http://schemas.microsoft.com/office/drawing/2014/main" id="{00000000-0008-0000-0100-000003000000}"/>
              </a:ext>
            </a:extLst>
          </xdr:cNvPr>
          <xdr:cNvSpPr txBox="1"/>
        </xdr:nvSpPr>
        <xdr:spPr>
          <a:xfrm>
            <a:off x="1607218" y="7462419"/>
            <a:ext cx="2603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100" b="1"/>
              <a:t>b</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165100</xdr:colOff>
      <xdr:row>1</xdr:row>
      <xdr:rowOff>0</xdr:rowOff>
    </xdr:from>
    <xdr:to>
      <xdr:col>10</xdr:col>
      <xdr:colOff>622300</xdr:colOff>
      <xdr:row>19</xdr:row>
      <xdr:rowOff>0</xdr:rowOff>
    </xdr:to>
    <xdr:graphicFrame macro="">
      <xdr:nvGraphicFramePr>
        <xdr:cNvPr id="5105813" name="Graphique 1">
          <a:extLst>
            <a:ext uri="{FF2B5EF4-FFF2-40B4-BE49-F238E27FC236}">
              <a16:creationId xmlns:a16="http://schemas.microsoft.com/office/drawing/2014/main" id="{00000000-0008-0000-0200-000095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165100</xdr:colOff>
      <xdr:row>37</xdr:row>
      <xdr:rowOff>0</xdr:rowOff>
    </xdr:from>
    <xdr:to>
      <xdr:col>10</xdr:col>
      <xdr:colOff>622300</xdr:colOff>
      <xdr:row>55</xdr:row>
      <xdr:rowOff>0</xdr:rowOff>
    </xdr:to>
    <xdr:graphicFrame macro="">
      <xdr:nvGraphicFramePr>
        <xdr:cNvPr id="5105814" name="Graphique 2">
          <a:extLst>
            <a:ext uri="{FF2B5EF4-FFF2-40B4-BE49-F238E27FC236}">
              <a16:creationId xmlns:a16="http://schemas.microsoft.com/office/drawing/2014/main" id="{00000000-0008-0000-0200-000096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165100</xdr:colOff>
      <xdr:row>19</xdr:row>
      <xdr:rowOff>0</xdr:rowOff>
    </xdr:from>
    <xdr:to>
      <xdr:col>10</xdr:col>
      <xdr:colOff>622300</xdr:colOff>
      <xdr:row>37</xdr:row>
      <xdr:rowOff>0</xdr:rowOff>
    </xdr:to>
    <xdr:graphicFrame macro="">
      <xdr:nvGraphicFramePr>
        <xdr:cNvPr id="5105815" name="Graphique 3">
          <a:extLst>
            <a:ext uri="{FF2B5EF4-FFF2-40B4-BE49-F238E27FC236}">
              <a16:creationId xmlns:a16="http://schemas.microsoft.com/office/drawing/2014/main" id="{00000000-0008-0000-0200-000097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165100</xdr:colOff>
      <xdr:row>55</xdr:row>
      <xdr:rowOff>0</xdr:rowOff>
    </xdr:from>
    <xdr:to>
      <xdr:col>10</xdr:col>
      <xdr:colOff>622300</xdr:colOff>
      <xdr:row>73</xdr:row>
      <xdr:rowOff>0</xdr:rowOff>
    </xdr:to>
    <xdr:graphicFrame macro="">
      <xdr:nvGraphicFramePr>
        <xdr:cNvPr id="5105816" name="Graphique 4">
          <a:extLst>
            <a:ext uri="{FF2B5EF4-FFF2-40B4-BE49-F238E27FC236}">
              <a16:creationId xmlns:a16="http://schemas.microsoft.com/office/drawing/2014/main" id="{00000000-0008-0000-0200-000098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12700</xdr:colOff>
      <xdr:row>4</xdr:row>
      <xdr:rowOff>44450</xdr:rowOff>
    </xdr:from>
    <xdr:to>
      <xdr:col>7</xdr:col>
      <xdr:colOff>215900</xdr:colOff>
      <xdr:row>19</xdr:row>
      <xdr:rowOff>133350</xdr:rowOff>
    </xdr:to>
    <xdr:graphicFrame macro="">
      <xdr:nvGraphicFramePr>
        <xdr:cNvPr id="5110822" name="Graphique 1">
          <a:extLst>
            <a:ext uri="{FF2B5EF4-FFF2-40B4-BE49-F238E27FC236}">
              <a16:creationId xmlns:a16="http://schemas.microsoft.com/office/drawing/2014/main" id="{00000000-0008-0000-0300-000026FC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12</xdr:col>
      <xdr:colOff>273050</xdr:colOff>
      <xdr:row>1008</xdr:row>
      <xdr:rowOff>146050</xdr:rowOff>
    </xdr:from>
    <xdr:to>
      <xdr:col>16</xdr:col>
      <xdr:colOff>152400</xdr:colOff>
      <xdr:row>1010</xdr:row>
      <xdr:rowOff>82550</xdr:rowOff>
    </xdr:to>
    <xdr:sp macro="" textlink="">
      <xdr:nvSpPr>
        <xdr:cNvPr id="3393" name="Line 60">
          <a:extLst>
            <a:ext uri="{FF2B5EF4-FFF2-40B4-BE49-F238E27FC236}">
              <a16:creationId xmlns:a16="http://schemas.microsoft.com/office/drawing/2014/main" id="{00000000-0008-0000-0400-0000410D0000}"/>
            </a:ext>
          </a:extLst>
        </xdr:cNvPr>
        <xdr:cNvSpPr>
          <a:spLocks noChangeShapeType="1"/>
        </xdr:cNvSpPr>
      </xdr:nvSpPr>
      <xdr:spPr bwMode="auto">
        <a:xfrm flipH="1">
          <a:off x="5759450" y="160172400"/>
          <a:ext cx="1098550" cy="254000"/>
        </a:xfrm>
        <a:prstGeom prst="line">
          <a:avLst/>
        </a:prstGeom>
        <a:noFill/>
        <a:ln w="9525">
          <a:solidFill>
            <a:srgbClr val="000000"/>
          </a:solidFill>
          <a:round/>
          <a:headEnd/>
          <a:tailEnd type="triangle" w="med" len="med"/>
        </a:ln>
      </xdr:spPr>
    </xdr:sp>
    <xdr:clientData/>
  </xdr:twoCellAnchor>
  <xdr:twoCellAnchor>
    <xdr:from>
      <xdr:col>12</xdr:col>
      <xdr:colOff>279400</xdr:colOff>
      <xdr:row>1011</xdr:row>
      <xdr:rowOff>95250</xdr:rowOff>
    </xdr:from>
    <xdr:to>
      <xdr:col>17</xdr:col>
      <xdr:colOff>349250</xdr:colOff>
      <xdr:row>1013</xdr:row>
      <xdr:rowOff>139700</xdr:rowOff>
    </xdr:to>
    <xdr:sp macro="" textlink="">
      <xdr:nvSpPr>
        <xdr:cNvPr id="3394" name="Line 71">
          <a:extLst>
            <a:ext uri="{FF2B5EF4-FFF2-40B4-BE49-F238E27FC236}">
              <a16:creationId xmlns:a16="http://schemas.microsoft.com/office/drawing/2014/main" id="{00000000-0008-0000-0400-0000420D0000}"/>
            </a:ext>
          </a:extLst>
        </xdr:cNvPr>
        <xdr:cNvSpPr>
          <a:spLocks noChangeShapeType="1"/>
        </xdr:cNvSpPr>
      </xdr:nvSpPr>
      <xdr:spPr bwMode="auto">
        <a:xfrm flipH="1" flipV="1">
          <a:off x="5765800" y="160597850"/>
          <a:ext cx="1892300" cy="361950"/>
        </a:xfrm>
        <a:prstGeom prst="line">
          <a:avLst/>
        </a:prstGeom>
        <a:noFill/>
        <a:ln w="9525">
          <a:solidFill>
            <a:srgbClr val="000000"/>
          </a:solidFill>
          <a:round/>
          <a:headEnd/>
          <a:tailEnd type="triangle" w="med" len="med"/>
        </a:ln>
      </xdr:spPr>
    </xdr:sp>
    <xdr:clientData/>
  </xdr:twoCellAnchor>
  <xdr:twoCellAnchor>
    <xdr:from>
      <xdr:col>12</xdr:col>
      <xdr:colOff>279400</xdr:colOff>
      <xdr:row>1012</xdr:row>
      <xdr:rowOff>139700</xdr:rowOff>
    </xdr:from>
    <xdr:to>
      <xdr:col>17</xdr:col>
      <xdr:colOff>349250</xdr:colOff>
      <xdr:row>1015</xdr:row>
      <xdr:rowOff>25400</xdr:rowOff>
    </xdr:to>
    <xdr:sp macro="" textlink="">
      <xdr:nvSpPr>
        <xdr:cNvPr id="3395" name="Line 71">
          <a:extLst>
            <a:ext uri="{FF2B5EF4-FFF2-40B4-BE49-F238E27FC236}">
              <a16:creationId xmlns:a16="http://schemas.microsoft.com/office/drawing/2014/main" id="{00000000-0008-0000-0400-0000430D0000}"/>
            </a:ext>
          </a:extLst>
        </xdr:cNvPr>
        <xdr:cNvSpPr>
          <a:spLocks noChangeShapeType="1"/>
        </xdr:cNvSpPr>
      </xdr:nvSpPr>
      <xdr:spPr bwMode="auto">
        <a:xfrm flipH="1" flipV="1">
          <a:off x="5765800" y="160801050"/>
          <a:ext cx="1892300" cy="361950"/>
        </a:xfrm>
        <a:prstGeom prst="line">
          <a:avLst/>
        </a:prstGeom>
        <a:noFill/>
        <a:ln w="9525">
          <a:solidFill>
            <a:srgbClr val="000000"/>
          </a:solidFill>
          <a:round/>
          <a:headEnd/>
          <a:tailEnd type="triangle" w="med" len="med"/>
        </a:ln>
      </xdr:spPr>
    </xdr:sp>
    <xdr:clientData/>
  </xdr:twoCellAnchor>
  <mc:AlternateContent xmlns:mc="http://schemas.openxmlformats.org/markup-compatibility/2006">
    <mc:Choice xmlns:a14="http://schemas.microsoft.com/office/drawing/2010/main" Requires="a14">
      <xdr:twoCellAnchor editAs="oneCell">
        <xdr:from>
          <xdr:col>18</xdr:col>
          <xdr:colOff>9525</xdr:colOff>
          <xdr:row>1010</xdr:row>
          <xdr:rowOff>104775</xdr:rowOff>
        </xdr:from>
        <xdr:to>
          <xdr:col>20</xdr:col>
          <xdr:colOff>295275</xdr:colOff>
          <xdr:row>1013</xdr:row>
          <xdr:rowOff>28575</xdr:rowOff>
        </xdr:to>
        <xdr:sp macro="" textlink="">
          <xdr:nvSpPr>
            <xdr:cNvPr id="3091" name="Object 19" hidden="1">
              <a:extLst>
                <a:ext uri="{63B3BB69-23CF-44E3-9099-C40C66FF867C}">
                  <a14:compatExt spid="_x0000_s3091"/>
                </a:ext>
                <a:ext uri="{FF2B5EF4-FFF2-40B4-BE49-F238E27FC236}">
                  <a16:creationId xmlns:a16="http://schemas.microsoft.com/office/drawing/2014/main" id="{00000000-0008-0000-0400-000013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28575</xdr:colOff>
          <xdr:row>1024</xdr:row>
          <xdr:rowOff>161925</xdr:rowOff>
        </xdr:from>
        <xdr:to>
          <xdr:col>25</xdr:col>
          <xdr:colOff>457200</xdr:colOff>
          <xdr:row>1026</xdr:row>
          <xdr:rowOff>76200</xdr:rowOff>
        </xdr:to>
        <xdr:sp macro="" textlink="">
          <xdr:nvSpPr>
            <xdr:cNvPr id="3092" name="Object 20" hidden="1">
              <a:extLst>
                <a:ext uri="{63B3BB69-23CF-44E3-9099-C40C66FF867C}">
                  <a14:compatExt spid="_x0000_s3092"/>
                </a:ext>
                <a:ext uri="{FF2B5EF4-FFF2-40B4-BE49-F238E27FC236}">
                  <a16:creationId xmlns:a16="http://schemas.microsoft.com/office/drawing/2014/main" id="{00000000-0008-0000-0400-00001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257175</xdr:colOff>
          <xdr:row>1006</xdr:row>
          <xdr:rowOff>28575</xdr:rowOff>
        </xdr:from>
        <xdr:to>
          <xdr:col>24</xdr:col>
          <xdr:colOff>152400</xdr:colOff>
          <xdr:row>1007</xdr:row>
          <xdr:rowOff>104775</xdr:rowOff>
        </xdr:to>
        <xdr:sp macro="" textlink="">
          <xdr:nvSpPr>
            <xdr:cNvPr id="3096" name="Object 24" hidden="1">
              <a:extLst>
                <a:ext uri="{63B3BB69-23CF-44E3-9099-C40C66FF867C}">
                  <a14:compatExt spid="_x0000_s3096"/>
                </a:ext>
                <a:ext uri="{FF2B5EF4-FFF2-40B4-BE49-F238E27FC236}">
                  <a16:creationId xmlns:a16="http://schemas.microsoft.com/office/drawing/2014/main" id="{00000000-0008-0000-0400-000018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1017</xdr:row>
          <xdr:rowOff>161925</xdr:rowOff>
        </xdr:from>
        <xdr:to>
          <xdr:col>10</xdr:col>
          <xdr:colOff>581025</xdr:colOff>
          <xdr:row>1019</xdr:row>
          <xdr:rowOff>142875</xdr:rowOff>
        </xdr:to>
        <xdr:sp macro="" textlink="">
          <xdr:nvSpPr>
            <xdr:cNvPr id="3112" name="Object 40" hidden="1">
              <a:extLst>
                <a:ext uri="{63B3BB69-23CF-44E3-9099-C40C66FF867C}">
                  <a14:compatExt spid="_x0000_s3112"/>
                </a:ext>
                <a:ext uri="{FF2B5EF4-FFF2-40B4-BE49-F238E27FC236}">
                  <a16:creationId xmlns:a16="http://schemas.microsoft.com/office/drawing/2014/main" id="{00000000-0008-0000-0400-000028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1014</xdr:row>
          <xdr:rowOff>180975</xdr:rowOff>
        </xdr:from>
        <xdr:to>
          <xdr:col>11</xdr:col>
          <xdr:colOff>266700</xdr:colOff>
          <xdr:row>1016</xdr:row>
          <xdr:rowOff>66675</xdr:rowOff>
        </xdr:to>
        <xdr:sp macro="" textlink="">
          <xdr:nvSpPr>
            <xdr:cNvPr id="3114" name="Object 42" hidden="1">
              <a:extLst>
                <a:ext uri="{63B3BB69-23CF-44E3-9099-C40C66FF867C}">
                  <a14:compatExt spid="_x0000_s3114"/>
                </a:ext>
                <a:ext uri="{FF2B5EF4-FFF2-40B4-BE49-F238E27FC236}">
                  <a16:creationId xmlns:a16="http://schemas.microsoft.com/office/drawing/2014/main" id="{00000000-0008-0000-0400-00002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1016</xdr:row>
          <xdr:rowOff>76200</xdr:rowOff>
        </xdr:from>
        <xdr:to>
          <xdr:col>11</xdr:col>
          <xdr:colOff>238125</xdr:colOff>
          <xdr:row>1017</xdr:row>
          <xdr:rowOff>161925</xdr:rowOff>
        </xdr:to>
        <xdr:sp macro="" textlink="">
          <xdr:nvSpPr>
            <xdr:cNvPr id="3115" name="Object 43" hidden="1">
              <a:extLst>
                <a:ext uri="{63B3BB69-23CF-44E3-9099-C40C66FF867C}">
                  <a14:compatExt spid="_x0000_s3115"/>
                </a:ext>
                <a:ext uri="{FF2B5EF4-FFF2-40B4-BE49-F238E27FC236}">
                  <a16:creationId xmlns:a16="http://schemas.microsoft.com/office/drawing/2014/main" id="{00000000-0008-0000-0400-00002B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1022</xdr:row>
          <xdr:rowOff>66675</xdr:rowOff>
        </xdr:from>
        <xdr:to>
          <xdr:col>17</xdr:col>
          <xdr:colOff>276225</xdr:colOff>
          <xdr:row>1024</xdr:row>
          <xdr:rowOff>161925</xdr:rowOff>
        </xdr:to>
        <xdr:sp macro="" textlink="">
          <xdr:nvSpPr>
            <xdr:cNvPr id="3119" name="Object 47" hidden="1">
              <a:extLst>
                <a:ext uri="{63B3BB69-23CF-44E3-9099-C40C66FF867C}">
                  <a14:compatExt spid="_x0000_s3119"/>
                </a:ext>
                <a:ext uri="{FF2B5EF4-FFF2-40B4-BE49-F238E27FC236}">
                  <a16:creationId xmlns:a16="http://schemas.microsoft.com/office/drawing/2014/main" id="{00000000-0008-0000-0400-00002F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1008</xdr:row>
          <xdr:rowOff>0</xdr:rowOff>
        </xdr:from>
        <xdr:to>
          <xdr:col>11</xdr:col>
          <xdr:colOff>238125</xdr:colOff>
          <xdr:row>1010</xdr:row>
          <xdr:rowOff>85725</xdr:rowOff>
        </xdr:to>
        <xdr:sp macro="" textlink="">
          <xdr:nvSpPr>
            <xdr:cNvPr id="3120" name="Object 48" hidden="1">
              <a:extLst>
                <a:ext uri="{63B3BB69-23CF-44E3-9099-C40C66FF867C}">
                  <a14:compatExt spid="_x0000_s3120"/>
                </a:ext>
                <a:ext uri="{FF2B5EF4-FFF2-40B4-BE49-F238E27FC236}">
                  <a16:creationId xmlns:a16="http://schemas.microsoft.com/office/drawing/2014/main" id="{00000000-0008-0000-0400-000030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1010</xdr:row>
          <xdr:rowOff>104775</xdr:rowOff>
        </xdr:from>
        <xdr:to>
          <xdr:col>12</xdr:col>
          <xdr:colOff>238125</xdr:colOff>
          <xdr:row>1013</xdr:row>
          <xdr:rowOff>0</xdr:rowOff>
        </xdr:to>
        <xdr:sp macro="" textlink="">
          <xdr:nvSpPr>
            <xdr:cNvPr id="3121" name="Object 49" hidden="1">
              <a:extLst>
                <a:ext uri="{63B3BB69-23CF-44E3-9099-C40C66FF867C}">
                  <a14:compatExt spid="_x0000_s3121"/>
                </a:ext>
                <a:ext uri="{FF2B5EF4-FFF2-40B4-BE49-F238E27FC236}">
                  <a16:creationId xmlns:a16="http://schemas.microsoft.com/office/drawing/2014/main" id="{00000000-0008-0000-0400-00003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1006</xdr:row>
          <xdr:rowOff>104775</xdr:rowOff>
        </xdr:from>
        <xdr:to>
          <xdr:col>3</xdr:col>
          <xdr:colOff>542925</xdr:colOff>
          <xdr:row>1007</xdr:row>
          <xdr:rowOff>180975</xdr:rowOff>
        </xdr:to>
        <xdr:sp macro="" textlink="">
          <xdr:nvSpPr>
            <xdr:cNvPr id="3122" name="Object 50" hidden="1">
              <a:extLst>
                <a:ext uri="{63B3BB69-23CF-44E3-9099-C40C66FF867C}">
                  <a14:compatExt spid="_x0000_s3122"/>
                </a:ext>
                <a:ext uri="{FF2B5EF4-FFF2-40B4-BE49-F238E27FC236}">
                  <a16:creationId xmlns:a16="http://schemas.microsoft.com/office/drawing/2014/main" id="{00000000-0008-0000-0400-000032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1024</xdr:row>
          <xdr:rowOff>180975</xdr:rowOff>
        </xdr:from>
        <xdr:to>
          <xdr:col>16</xdr:col>
          <xdr:colOff>0</xdr:colOff>
          <xdr:row>1026</xdr:row>
          <xdr:rowOff>142875</xdr:rowOff>
        </xdr:to>
        <xdr:sp macro="" textlink="">
          <xdr:nvSpPr>
            <xdr:cNvPr id="3124" name="Object 52" hidden="1">
              <a:extLst>
                <a:ext uri="{63B3BB69-23CF-44E3-9099-C40C66FF867C}">
                  <a14:compatExt spid="_x0000_s3124"/>
                </a:ext>
                <a:ext uri="{FF2B5EF4-FFF2-40B4-BE49-F238E27FC236}">
                  <a16:creationId xmlns:a16="http://schemas.microsoft.com/office/drawing/2014/main" id="{00000000-0008-0000-0400-00003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9525</xdr:colOff>
          <xdr:row>1013</xdr:row>
          <xdr:rowOff>28575</xdr:rowOff>
        </xdr:from>
        <xdr:to>
          <xdr:col>21</xdr:col>
          <xdr:colOff>28575</xdr:colOff>
          <xdr:row>1014</xdr:row>
          <xdr:rowOff>114300</xdr:rowOff>
        </xdr:to>
        <xdr:sp macro="" textlink="">
          <xdr:nvSpPr>
            <xdr:cNvPr id="3125" name="Object 53" hidden="1">
              <a:extLst>
                <a:ext uri="{63B3BB69-23CF-44E3-9099-C40C66FF867C}">
                  <a14:compatExt spid="_x0000_s3125"/>
                </a:ext>
                <a:ext uri="{FF2B5EF4-FFF2-40B4-BE49-F238E27FC236}">
                  <a16:creationId xmlns:a16="http://schemas.microsoft.com/office/drawing/2014/main" id="{00000000-0008-0000-0400-00003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1005</xdr:row>
          <xdr:rowOff>9525</xdr:rowOff>
        </xdr:from>
        <xdr:to>
          <xdr:col>10</xdr:col>
          <xdr:colOff>409575</xdr:colOff>
          <xdr:row>1006</xdr:row>
          <xdr:rowOff>85725</xdr:rowOff>
        </xdr:to>
        <xdr:sp macro="" textlink="">
          <xdr:nvSpPr>
            <xdr:cNvPr id="3127" name="Object 55" hidden="1">
              <a:extLst>
                <a:ext uri="{63B3BB69-23CF-44E3-9099-C40C66FF867C}">
                  <a14:compatExt spid="_x0000_s3127"/>
                </a:ext>
                <a:ext uri="{FF2B5EF4-FFF2-40B4-BE49-F238E27FC236}">
                  <a16:creationId xmlns:a16="http://schemas.microsoft.com/office/drawing/2014/main" id="{00000000-0008-0000-0400-000037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1013</xdr:row>
          <xdr:rowOff>9525</xdr:rowOff>
        </xdr:from>
        <xdr:to>
          <xdr:col>8</xdr:col>
          <xdr:colOff>190500</xdr:colOff>
          <xdr:row>1014</xdr:row>
          <xdr:rowOff>161925</xdr:rowOff>
        </xdr:to>
        <xdr:sp macro="" textlink="">
          <xdr:nvSpPr>
            <xdr:cNvPr id="3129" name="Object 57" hidden="1">
              <a:extLst>
                <a:ext uri="{63B3BB69-23CF-44E3-9099-C40C66FF867C}">
                  <a14:compatExt spid="_x0000_s3129"/>
                </a:ext>
                <a:ext uri="{FF2B5EF4-FFF2-40B4-BE49-F238E27FC236}">
                  <a16:creationId xmlns:a16="http://schemas.microsoft.com/office/drawing/2014/main" id="{00000000-0008-0000-0400-000039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xdr:colOff>
          <xdr:row>1018</xdr:row>
          <xdr:rowOff>47625</xdr:rowOff>
        </xdr:from>
        <xdr:to>
          <xdr:col>24</xdr:col>
          <xdr:colOff>1076325</xdr:colOff>
          <xdr:row>1019</xdr:row>
          <xdr:rowOff>142875</xdr:rowOff>
        </xdr:to>
        <xdr:sp macro="" textlink="">
          <xdr:nvSpPr>
            <xdr:cNvPr id="3131" name="Object 59" hidden="1">
              <a:extLst>
                <a:ext uri="{63B3BB69-23CF-44E3-9099-C40C66FF867C}">
                  <a14:compatExt spid="_x0000_s3131"/>
                </a:ext>
                <a:ext uri="{FF2B5EF4-FFF2-40B4-BE49-F238E27FC236}">
                  <a16:creationId xmlns:a16="http://schemas.microsoft.com/office/drawing/2014/main" id="{00000000-0008-0000-0400-00003B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1019</xdr:row>
          <xdr:rowOff>142875</xdr:rowOff>
        </xdr:from>
        <xdr:to>
          <xdr:col>20</xdr:col>
          <xdr:colOff>581025</xdr:colOff>
          <xdr:row>1022</xdr:row>
          <xdr:rowOff>47625</xdr:rowOff>
        </xdr:to>
        <xdr:sp macro="" textlink="">
          <xdr:nvSpPr>
            <xdr:cNvPr id="3134" name="Object 62" hidden="1">
              <a:extLst>
                <a:ext uri="{63B3BB69-23CF-44E3-9099-C40C66FF867C}">
                  <a14:compatExt spid="_x0000_s3134"/>
                </a:ext>
                <a:ext uri="{FF2B5EF4-FFF2-40B4-BE49-F238E27FC236}">
                  <a16:creationId xmlns:a16="http://schemas.microsoft.com/office/drawing/2014/main" id="{00000000-0008-0000-0400-00003E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1018</xdr:row>
          <xdr:rowOff>47625</xdr:rowOff>
        </xdr:from>
        <xdr:to>
          <xdr:col>19</xdr:col>
          <xdr:colOff>180975</xdr:colOff>
          <xdr:row>1019</xdr:row>
          <xdr:rowOff>142875</xdr:rowOff>
        </xdr:to>
        <xdr:sp macro="" textlink="">
          <xdr:nvSpPr>
            <xdr:cNvPr id="3135" name="Object 63" hidden="1">
              <a:extLst>
                <a:ext uri="{63B3BB69-23CF-44E3-9099-C40C66FF867C}">
                  <a14:compatExt spid="_x0000_s3135"/>
                </a:ext>
                <a:ext uri="{FF2B5EF4-FFF2-40B4-BE49-F238E27FC236}">
                  <a16:creationId xmlns:a16="http://schemas.microsoft.com/office/drawing/2014/main" id="{00000000-0008-0000-0400-00003F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9525</xdr:colOff>
          <xdr:row>1007</xdr:row>
          <xdr:rowOff>123825</xdr:rowOff>
        </xdr:from>
        <xdr:to>
          <xdr:col>37</xdr:col>
          <xdr:colOff>276225</xdr:colOff>
          <xdr:row>1010</xdr:row>
          <xdr:rowOff>76200</xdr:rowOff>
        </xdr:to>
        <xdr:sp macro="" textlink="">
          <xdr:nvSpPr>
            <xdr:cNvPr id="3141" name="Object 69" hidden="1">
              <a:extLst>
                <a:ext uri="{63B3BB69-23CF-44E3-9099-C40C66FF867C}">
                  <a14:compatExt spid="_x0000_s3141"/>
                </a:ext>
                <a:ext uri="{FF2B5EF4-FFF2-40B4-BE49-F238E27FC236}">
                  <a16:creationId xmlns:a16="http://schemas.microsoft.com/office/drawing/2014/main" id="{00000000-0008-0000-0400-00004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9525</xdr:colOff>
          <xdr:row>1010</xdr:row>
          <xdr:rowOff>85725</xdr:rowOff>
        </xdr:from>
        <xdr:to>
          <xdr:col>35</xdr:col>
          <xdr:colOff>723900</xdr:colOff>
          <xdr:row>1013</xdr:row>
          <xdr:rowOff>47625</xdr:rowOff>
        </xdr:to>
        <xdr:sp macro="" textlink="">
          <xdr:nvSpPr>
            <xdr:cNvPr id="3142" name="Object 70" hidden="1">
              <a:extLst>
                <a:ext uri="{63B3BB69-23CF-44E3-9099-C40C66FF867C}">
                  <a14:compatExt spid="_x0000_s3142"/>
                </a:ext>
                <a:ext uri="{FF2B5EF4-FFF2-40B4-BE49-F238E27FC236}">
                  <a16:creationId xmlns:a16="http://schemas.microsoft.com/office/drawing/2014/main" id="{00000000-0008-0000-0400-00004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1035</xdr:row>
          <xdr:rowOff>28575</xdr:rowOff>
        </xdr:from>
        <xdr:to>
          <xdr:col>11</xdr:col>
          <xdr:colOff>561975</xdr:colOff>
          <xdr:row>1038</xdr:row>
          <xdr:rowOff>28575</xdr:rowOff>
        </xdr:to>
        <xdr:sp macro="" textlink="">
          <xdr:nvSpPr>
            <xdr:cNvPr id="3157" name="Object 85" hidden="1">
              <a:extLst>
                <a:ext uri="{63B3BB69-23CF-44E3-9099-C40C66FF867C}">
                  <a14:compatExt spid="_x0000_s3157"/>
                </a:ext>
                <a:ext uri="{FF2B5EF4-FFF2-40B4-BE49-F238E27FC236}">
                  <a16:creationId xmlns:a16="http://schemas.microsoft.com/office/drawing/2014/main" id="{00000000-0008-0000-0400-00005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1040</xdr:row>
          <xdr:rowOff>28575</xdr:rowOff>
        </xdr:from>
        <xdr:to>
          <xdr:col>12</xdr:col>
          <xdr:colOff>28575</xdr:colOff>
          <xdr:row>1043</xdr:row>
          <xdr:rowOff>28575</xdr:rowOff>
        </xdr:to>
        <xdr:sp macro="" textlink="">
          <xdr:nvSpPr>
            <xdr:cNvPr id="3158" name="Object 86" hidden="1">
              <a:extLst>
                <a:ext uri="{63B3BB69-23CF-44E3-9099-C40C66FF867C}">
                  <a14:compatExt spid="_x0000_s3158"/>
                </a:ext>
                <a:ext uri="{FF2B5EF4-FFF2-40B4-BE49-F238E27FC236}">
                  <a16:creationId xmlns:a16="http://schemas.microsoft.com/office/drawing/2014/main" id="{00000000-0008-0000-0400-00005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9525</xdr:colOff>
          <xdr:row>1014</xdr:row>
          <xdr:rowOff>123825</xdr:rowOff>
        </xdr:from>
        <xdr:to>
          <xdr:col>20</xdr:col>
          <xdr:colOff>333375</xdr:colOff>
          <xdr:row>1016</xdr:row>
          <xdr:rowOff>9525</xdr:rowOff>
        </xdr:to>
        <xdr:sp macro="" textlink="">
          <xdr:nvSpPr>
            <xdr:cNvPr id="3161" name="Object 89" hidden="1">
              <a:extLst>
                <a:ext uri="{63B3BB69-23CF-44E3-9099-C40C66FF867C}">
                  <a14:compatExt spid="_x0000_s3161"/>
                </a:ext>
                <a:ext uri="{FF2B5EF4-FFF2-40B4-BE49-F238E27FC236}">
                  <a16:creationId xmlns:a16="http://schemas.microsoft.com/office/drawing/2014/main" id="{00000000-0008-0000-0400-000059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257175</xdr:colOff>
          <xdr:row>1007</xdr:row>
          <xdr:rowOff>114300</xdr:rowOff>
        </xdr:from>
        <xdr:to>
          <xdr:col>32</xdr:col>
          <xdr:colOff>161925</xdr:colOff>
          <xdr:row>1010</xdr:row>
          <xdr:rowOff>85725</xdr:rowOff>
        </xdr:to>
        <xdr:sp macro="" textlink="">
          <xdr:nvSpPr>
            <xdr:cNvPr id="3162" name="Object 90" hidden="1">
              <a:extLst>
                <a:ext uri="{63B3BB69-23CF-44E3-9099-C40C66FF867C}">
                  <a14:compatExt spid="_x0000_s3162"/>
                </a:ext>
                <a:ext uri="{FF2B5EF4-FFF2-40B4-BE49-F238E27FC236}">
                  <a16:creationId xmlns:a16="http://schemas.microsoft.com/office/drawing/2014/main" id="{00000000-0008-0000-0400-00005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1055</xdr:row>
          <xdr:rowOff>28575</xdr:rowOff>
        </xdr:from>
        <xdr:to>
          <xdr:col>12</xdr:col>
          <xdr:colOff>333375</xdr:colOff>
          <xdr:row>1058</xdr:row>
          <xdr:rowOff>47625</xdr:rowOff>
        </xdr:to>
        <xdr:sp macro="" textlink="">
          <xdr:nvSpPr>
            <xdr:cNvPr id="3167" name="Object 95" hidden="1">
              <a:extLst>
                <a:ext uri="{63B3BB69-23CF-44E3-9099-C40C66FF867C}">
                  <a14:compatExt spid="_x0000_s3167"/>
                </a:ext>
                <a:ext uri="{FF2B5EF4-FFF2-40B4-BE49-F238E27FC236}">
                  <a16:creationId xmlns:a16="http://schemas.microsoft.com/office/drawing/2014/main" id="{00000000-0008-0000-0400-00005F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1060</xdr:row>
          <xdr:rowOff>28575</xdr:rowOff>
        </xdr:from>
        <xdr:to>
          <xdr:col>15</xdr:col>
          <xdr:colOff>47625</xdr:colOff>
          <xdr:row>1063</xdr:row>
          <xdr:rowOff>47625</xdr:rowOff>
        </xdr:to>
        <xdr:sp macro="" textlink="">
          <xdr:nvSpPr>
            <xdr:cNvPr id="3168" name="Object 96" hidden="1">
              <a:extLst>
                <a:ext uri="{63B3BB69-23CF-44E3-9099-C40C66FF867C}">
                  <a14:compatExt spid="_x0000_s3168"/>
                </a:ext>
                <a:ext uri="{FF2B5EF4-FFF2-40B4-BE49-F238E27FC236}">
                  <a16:creationId xmlns:a16="http://schemas.microsoft.com/office/drawing/2014/main" id="{00000000-0008-0000-0400-000060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1065</xdr:row>
          <xdr:rowOff>28575</xdr:rowOff>
        </xdr:from>
        <xdr:to>
          <xdr:col>16</xdr:col>
          <xdr:colOff>676275</xdr:colOff>
          <xdr:row>1068</xdr:row>
          <xdr:rowOff>47625</xdr:rowOff>
        </xdr:to>
        <xdr:sp macro="" textlink="">
          <xdr:nvSpPr>
            <xdr:cNvPr id="3169" name="Object 97" hidden="1">
              <a:extLst>
                <a:ext uri="{63B3BB69-23CF-44E3-9099-C40C66FF867C}">
                  <a14:compatExt spid="_x0000_s3169"/>
                </a:ext>
                <a:ext uri="{FF2B5EF4-FFF2-40B4-BE49-F238E27FC236}">
                  <a16:creationId xmlns:a16="http://schemas.microsoft.com/office/drawing/2014/main" id="{00000000-0008-0000-0400-00006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1045</xdr:row>
          <xdr:rowOff>28575</xdr:rowOff>
        </xdr:from>
        <xdr:to>
          <xdr:col>16</xdr:col>
          <xdr:colOff>104775</xdr:colOff>
          <xdr:row>1048</xdr:row>
          <xdr:rowOff>28575</xdr:rowOff>
        </xdr:to>
        <xdr:sp macro="" textlink="">
          <xdr:nvSpPr>
            <xdr:cNvPr id="3173" name="Object 101" hidden="1">
              <a:extLst>
                <a:ext uri="{63B3BB69-23CF-44E3-9099-C40C66FF867C}">
                  <a14:compatExt spid="_x0000_s3173"/>
                </a:ext>
                <a:ext uri="{FF2B5EF4-FFF2-40B4-BE49-F238E27FC236}">
                  <a16:creationId xmlns:a16="http://schemas.microsoft.com/office/drawing/2014/main" id="{00000000-0008-0000-0400-00006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1050</xdr:row>
          <xdr:rowOff>28575</xdr:rowOff>
        </xdr:from>
        <xdr:to>
          <xdr:col>16</xdr:col>
          <xdr:colOff>390525</xdr:colOff>
          <xdr:row>1053</xdr:row>
          <xdr:rowOff>47625</xdr:rowOff>
        </xdr:to>
        <xdr:sp macro="" textlink="">
          <xdr:nvSpPr>
            <xdr:cNvPr id="3174" name="Object 102" hidden="1">
              <a:extLst>
                <a:ext uri="{63B3BB69-23CF-44E3-9099-C40C66FF867C}">
                  <a14:compatExt spid="_x0000_s3174"/>
                </a:ext>
                <a:ext uri="{FF2B5EF4-FFF2-40B4-BE49-F238E27FC236}">
                  <a16:creationId xmlns:a16="http://schemas.microsoft.com/office/drawing/2014/main" id="{00000000-0008-0000-0400-00006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1070</xdr:row>
          <xdr:rowOff>28575</xdr:rowOff>
        </xdr:from>
        <xdr:to>
          <xdr:col>12</xdr:col>
          <xdr:colOff>409575</xdr:colOff>
          <xdr:row>1073</xdr:row>
          <xdr:rowOff>47625</xdr:rowOff>
        </xdr:to>
        <xdr:sp macro="" textlink="">
          <xdr:nvSpPr>
            <xdr:cNvPr id="3178" name="Object 106" hidden="1">
              <a:extLst>
                <a:ext uri="{63B3BB69-23CF-44E3-9099-C40C66FF867C}">
                  <a14:compatExt spid="_x0000_s3178"/>
                </a:ext>
                <a:ext uri="{FF2B5EF4-FFF2-40B4-BE49-F238E27FC236}">
                  <a16:creationId xmlns:a16="http://schemas.microsoft.com/office/drawing/2014/main" id="{00000000-0008-0000-0400-00006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1053</xdr:row>
          <xdr:rowOff>28575</xdr:rowOff>
        </xdr:from>
        <xdr:to>
          <xdr:col>32</xdr:col>
          <xdr:colOff>419100</xdr:colOff>
          <xdr:row>1056</xdr:row>
          <xdr:rowOff>28575</xdr:rowOff>
        </xdr:to>
        <xdr:sp macro="" textlink="">
          <xdr:nvSpPr>
            <xdr:cNvPr id="3188" name="Object 116" hidden="1">
              <a:extLst>
                <a:ext uri="{63B3BB69-23CF-44E3-9099-C40C66FF867C}">
                  <a14:compatExt spid="_x0000_s3188"/>
                </a:ext>
                <a:ext uri="{FF2B5EF4-FFF2-40B4-BE49-F238E27FC236}">
                  <a16:creationId xmlns:a16="http://schemas.microsoft.com/office/drawing/2014/main" id="{00000000-0008-0000-0400-00007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28575</xdr:colOff>
          <xdr:row>1022</xdr:row>
          <xdr:rowOff>47625</xdr:rowOff>
        </xdr:from>
        <xdr:to>
          <xdr:col>32</xdr:col>
          <xdr:colOff>266700</xdr:colOff>
          <xdr:row>1024</xdr:row>
          <xdr:rowOff>142875</xdr:rowOff>
        </xdr:to>
        <xdr:sp macro="" textlink="">
          <xdr:nvSpPr>
            <xdr:cNvPr id="3192" name="Object 120" hidden="1">
              <a:extLst>
                <a:ext uri="{63B3BB69-23CF-44E3-9099-C40C66FF867C}">
                  <a14:compatExt spid="_x0000_s3192"/>
                </a:ext>
                <a:ext uri="{FF2B5EF4-FFF2-40B4-BE49-F238E27FC236}">
                  <a16:creationId xmlns:a16="http://schemas.microsoft.com/office/drawing/2014/main" id="{00000000-0008-0000-0400-000078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1017</xdr:row>
          <xdr:rowOff>28575</xdr:rowOff>
        </xdr:from>
        <xdr:to>
          <xdr:col>36</xdr:col>
          <xdr:colOff>161925</xdr:colOff>
          <xdr:row>1020</xdr:row>
          <xdr:rowOff>28575</xdr:rowOff>
        </xdr:to>
        <xdr:sp macro="" textlink="">
          <xdr:nvSpPr>
            <xdr:cNvPr id="3220" name="Object 148" hidden="1">
              <a:extLst>
                <a:ext uri="{63B3BB69-23CF-44E3-9099-C40C66FF867C}">
                  <a14:compatExt spid="_x0000_s3220"/>
                </a:ext>
                <a:ext uri="{FF2B5EF4-FFF2-40B4-BE49-F238E27FC236}">
                  <a16:creationId xmlns:a16="http://schemas.microsoft.com/office/drawing/2014/main" id="{00000000-0008-0000-0400-00009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1014</xdr:row>
          <xdr:rowOff>0</xdr:rowOff>
        </xdr:from>
        <xdr:to>
          <xdr:col>36</xdr:col>
          <xdr:colOff>695325</xdr:colOff>
          <xdr:row>1017</xdr:row>
          <xdr:rowOff>0</xdr:rowOff>
        </xdr:to>
        <xdr:sp macro="" textlink="">
          <xdr:nvSpPr>
            <xdr:cNvPr id="3222" name="Object 150" hidden="1">
              <a:extLst>
                <a:ext uri="{63B3BB69-23CF-44E3-9099-C40C66FF867C}">
                  <a14:compatExt spid="_x0000_s3222"/>
                </a:ext>
                <a:ext uri="{FF2B5EF4-FFF2-40B4-BE49-F238E27FC236}">
                  <a16:creationId xmlns:a16="http://schemas.microsoft.com/office/drawing/2014/main" id="{00000000-0008-0000-0400-00009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1020</xdr:row>
          <xdr:rowOff>47625</xdr:rowOff>
        </xdr:from>
        <xdr:to>
          <xdr:col>35</xdr:col>
          <xdr:colOff>142875</xdr:colOff>
          <xdr:row>1023</xdr:row>
          <xdr:rowOff>47625</xdr:rowOff>
        </xdr:to>
        <xdr:sp macro="" textlink="">
          <xdr:nvSpPr>
            <xdr:cNvPr id="3223" name="Object 151" hidden="1">
              <a:extLst>
                <a:ext uri="{63B3BB69-23CF-44E3-9099-C40C66FF867C}">
                  <a14:compatExt spid="_x0000_s3223"/>
                </a:ext>
                <a:ext uri="{FF2B5EF4-FFF2-40B4-BE49-F238E27FC236}">
                  <a16:creationId xmlns:a16="http://schemas.microsoft.com/office/drawing/2014/main" id="{00000000-0008-0000-0400-000097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1023</xdr:row>
          <xdr:rowOff>66675</xdr:rowOff>
        </xdr:from>
        <xdr:to>
          <xdr:col>36</xdr:col>
          <xdr:colOff>47625</xdr:colOff>
          <xdr:row>1026</xdr:row>
          <xdr:rowOff>66675</xdr:rowOff>
        </xdr:to>
        <xdr:sp macro="" textlink="">
          <xdr:nvSpPr>
            <xdr:cNvPr id="3225" name="Object 153" hidden="1">
              <a:extLst>
                <a:ext uri="{63B3BB69-23CF-44E3-9099-C40C66FF867C}">
                  <a14:compatExt spid="_x0000_s3225"/>
                </a:ext>
                <a:ext uri="{FF2B5EF4-FFF2-40B4-BE49-F238E27FC236}">
                  <a16:creationId xmlns:a16="http://schemas.microsoft.com/office/drawing/2014/main" id="{00000000-0008-0000-0400-000099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1048</xdr:row>
          <xdr:rowOff>28575</xdr:rowOff>
        </xdr:from>
        <xdr:to>
          <xdr:col>34</xdr:col>
          <xdr:colOff>352425</xdr:colOff>
          <xdr:row>1051</xdr:row>
          <xdr:rowOff>85725</xdr:rowOff>
        </xdr:to>
        <xdr:sp macro="" textlink="">
          <xdr:nvSpPr>
            <xdr:cNvPr id="3281" name="Object 209" hidden="1">
              <a:extLst>
                <a:ext uri="{63B3BB69-23CF-44E3-9099-C40C66FF867C}">
                  <a14:compatExt spid="_x0000_s3281"/>
                </a:ext>
                <a:ext uri="{FF2B5EF4-FFF2-40B4-BE49-F238E27FC236}">
                  <a16:creationId xmlns:a16="http://schemas.microsoft.com/office/drawing/2014/main" id="{00000000-0008-0000-0400-0000D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984250</xdr:colOff>
      <xdr:row>4</xdr:row>
      <xdr:rowOff>152400</xdr:rowOff>
    </xdr:to>
    <xdr:pic>
      <xdr:nvPicPr>
        <xdr:cNvPr id="2604352" name="Picture 8" descr="logoplasci">
          <a:extLst>
            <a:ext uri="{FF2B5EF4-FFF2-40B4-BE49-F238E27FC236}">
              <a16:creationId xmlns:a16="http://schemas.microsoft.com/office/drawing/2014/main" id="{00000000-0008-0000-0500-000040BD27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52400" y="165100"/>
          <a:ext cx="984250" cy="635000"/>
        </a:xfrm>
        <a:prstGeom prst="rect">
          <a:avLst/>
        </a:prstGeom>
        <a:noFill/>
        <a:ln w="9525">
          <a:noFill/>
          <a:miter lim="800000"/>
          <a:headEnd/>
          <a:tailEnd/>
        </a:ln>
      </xdr:spPr>
    </xdr:pic>
    <xdr:clientData/>
  </xdr:twoCellAnchor>
  <xdr:twoCellAnchor>
    <xdr:from>
      <xdr:col>6</xdr:col>
      <xdr:colOff>450850</xdr:colOff>
      <xdr:row>0</xdr:row>
      <xdr:rowOff>120650</xdr:rowOff>
    </xdr:from>
    <xdr:to>
      <xdr:col>12</xdr:col>
      <xdr:colOff>450850</xdr:colOff>
      <xdr:row>18</xdr:row>
      <xdr:rowOff>25400</xdr:rowOff>
    </xdr:to>
    <xdr:graphicFrame macro="">
      <xdr:nvGraphicFramePr>
        <xdr:cNvPr id="2604353" name="Graphique 2">
          <a:extLst>
            <a:ext uri="{FF2B5EF4-FFF2-40B4-BE49-F238E27FC236}">
              <a16:creationId xmlns:a16="http://schemas.microsoft.com/office/drawing/2014/main" id="{00000000-0008-0000-0500-000041BD2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450850</xdr:colOff>
      <xdr:row>18</xdr:row>
      <xdr:rowOff>25400</xdr:rowOff>
    </xdr:from>
    <xdr:to>
      <xdr:col>12</xdr:col>
      <xdr:colOff>450850</xdr:colOff>
      <xdr:row>36</xdr:row>
      <xdr:rowOff>19050</xdr:rowOff>
    </xdr:to>
    <xdr:graphicFrame macro="">
      <xdr:nvGraphicFramePr>
        <xdr:cNvPr id="2604354" name="Graphique 2">
          <a:extLst>
            <a:ext uri="{FF2B5EF4-FFF2-40B4-BE49-F238E27FC236}">
              <a16:creationId xmlns:a16="http://schemas.microsoft.com/office/drawing/2014/main" id="{00000000-0008-0000-0500-000042BD2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12700</xdr:colOff>
      <xdr:row>18</xdr:row>
      <xdr:rowOff>25400</xdr:rowOff>
    </xdr:from>
    <xdr:to>
      <xdr:col>6</xdr:col>
      <xdr:colOff>450850</xdr:colOff>
      <xdr:row>36</xdr:row>
      <xdr:rowOff>19050</xdr:rowOff>
    </xdr:to>
    <xdr:graphicFrame macro="">
      <xdr:nvGraphicFramePr>
        <xdr:cNvPr id="2604355" name="Graphique 2">
          <a:extLst>
            <a:ext uri="{FF2B5EF4-FFF2-40B4-BE49-F238E27FC236}">
              <a16:creationId xmlns:a16="http://schemas.microsoft.com/office/drawing/2014/main" id="{00000000-0008-0000-0500-000043BD2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mc:AlternateContent xmlns:mc="http://schemas.openxmlformats.org/markup-compatibility/2006">
    <mc:Choice xmlns:a14="http://schemas.microsoft.com/office/drawing/2010/main" Requires="a14">
      <xdr:twoCellAnchor>
        <xdr:from>
          <xdr:col>3</xdr:col>
          <xdr:colOff>657225</xdr:colOff>
          <xdr:row>9</xdr:row>
          <xdr:rowOff>200025</xdr:rowOff>
        </xdr:from>
        <xdr:to>
          <xdr:col>4</xdr:col>
          <xdr:colOff>0</xdr:colOff>
          <xdr:row>11</xdr:row>
          <xdr:rowOff>0</xdr:rowOff>
        </xdr:to>
        <xdr:sp macro="" textlink="">
          <xdr:nvSpPr>
            <xdr:cNvPr id="2604063" name="Spinner 31" hidden="1">
              <a:extLst>
                <a:ext uri="{63B3BB69-23CF-44E3-9099-C40C66FF867C}">
                  <a14:compatExt spid="_x0000_s2604063"/>
                </a:ext>
                <a:ext uri="{FF2B5EF4-FFF2-40B4-BE49-F238E27FC236}">
                  <a16:creationId xmlns:a16="http://schemas.microsoft.com/office/drawing/2014/main" id="{00000000-0008-0000-0500-00001FBC27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390525</xdr:colOff>
          <xdr:row>70</xdr:row>
          <xdr:rowOff>28575</xdr:rowOff>
        </xdr:from>
        <xdr:to>
          <xdr:col>12</xdr:col>
          <xdr:colOff>904875</xdr:colOff>
          <xdr:row>87</xdr:row>
          <xdr:rowOff>9525</xdr:rowOff>
        </xdr:to>
        <xdr:sp macro="" textlink="">
          <xdr:nvSpPr>
            <xdr:cNvPr id="2604101" name="Object 69" hidden="1">
              <a:extLst>
                <a:ext uri="{63B3BB69-23CF-44E3-9099-C40C66FF867C}">
                  <a14:compatExt spid="_x0000_s2604101"/>
                </a:ext>
                <a:ext uri="{FF2B5EF4-FFF2-40B4-BE49-F238E27FC236}">
                  <a16:creationId xmlns:a16="http://schemas.microsoft.com/office/drawing/2014/main" id="{00000000-0008-0000-0500-000045BC27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657225</xdr:colOff>
          <xdr:row>11</xdr:row>
          <xdr:rowOff>0</xdr:rowOff>
        </xdr:from>
        <xdr:to>
          <xdr:col>4</xdr:col>
          <xdr:colOff>0</xdr:colOff>
          <xdr:row>12</xdr:row>
          <xdr:rowOff>0</xdr:rowOff>
        </xdr:to>
        <xdr:sp macro="" textlink="">
          <xdr:nvSpPr>
            <xdr:cNvPr id="2604202" name="Spinner 170" hidden="1">
              <a:extLst>
                <a:ext uri="{63B3BB69-23CF-44E3-9099-C40C66FF867C}">
                  <a14:compatExt spid="_x0000_s2604202"/>
                </a:ext>
                <a:ext uri="{FF2B5EF4-FFF2-40B4-BE49-F238E27FC236}">
                  <a16:creationId xmlns:a16="http://schemas.microsoft.com/office/drawing/2014/main" id="{00000000-0008-0000-0500-0000AABC27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7.xml><?xml version="1.0" encoding="utf-8"?>
<xdr:wsDr xmlns:xdr="http://schemas.openxmlformats.org/drawingml/2006/spreadsheetDrawing" xmlns:a="http://schemas.openxmlformats.org/drawingml/2006/main">
  <xdr:twoCellAnchor editAs="oneCell">
    <xdr:from>
      <xdr:col>0</xdr:col>
      <xdr:colOff>69850</xdr:colOff>
      <xdr:row>33</xdr:row>
      <xdr:rowOff>25400</xdr:rowOff>
    </xdr:from>
    <xdr:to>
      <xdr:col>2</xdr:col>
      <xdr:colOff>20320</xdr:colOff>
      <xdr:row>44</xdr:row>
      <xdr:rowOff>19050</xdr:rowOff>
    </xdr:to>
    <xdr:pic>
      <xdr:nvPicPr>
        <xdr:cNvPr id="5938" name="Image 1">
          <a:extLst>
            <a:ext uri="{FF2B5EF4-FFF2-40B4-BE49-F238E27FC236}">
              <a16:creationId xmlns:a16="http://schemas.microsoft.com/office/drawing/2014/main" id="{00000000-0008-0000-0600-000032170000}"/>
            </a:ext>
          </a:extLst>
        </xdr:cNvPr>
        <xdr:cNvPicPr>
          <a:picLocks noChangeAspect="1"/>
        </xdr:cNvPicPr>
      </xdr:nvPicPr>
      <xdr:blipFill>
        <a:blip xmlns:r="http://schemas.openxmlformats.org/officeDocument/2006/relationships" r:embed="rId1" cstate="print"/>
        <a:srcRect/>
        <a:stretch>
          <a:fillRect/>
        </a:stretch>
      </xdr:blipFill>
      <xdr:spPr bwMode="auto">
        <a:xfrm>
          <a:off x="69850" y="5295900"/>
          <a:ext cx="1231900" cy="1739900"/>
        </a:xfrm>
        <a:prstGeom prst="rect">
          <a:avLst/>
        </a:prstGeom>
        <a:noFill/>
        <a:ln w="9525">
          <a:noFill/>
          <a:miter lim="800000"/>
          <a:headEnd/>
          <a:tailEnd/>
        </a:ln>
      </xdr:spPr>
    </xdr:pic>
    <xdr:clientData/>
  </xdr:twoCellAnchor>
  <xdr:twoCellAnchor editAs="oneCell">
    <xdr:from>
      <xdr:col>1</xdr:col>
      <xdr:colOff>1123950</xdr:colOff>
      <xdr:row>55</xdr:row>
      <xdr:rowOff>44450</xdr:rowOff>
    </xdr:from>
    <xdr:to>
      <xdr:col>10</xdr:col>
      <xdr:colOff>609600</xdr:colOff>
      <xdr:row>83</xdr:row>
      <xdr:rowOff>17780</xdr:rowOff>
    </xdr:to>
    <xdr:pic>
      <xdr:nvPicPr>
        <xdr:cNvPr id="5939" name="Image 2">
          <a:extLst>
            <a:ext uri="{FF2B5EF4-FFF2-40B4-BE49-F238E27FC236}">
              <a16:creationId xmlns:a16="http://schemas.microsoft.com/office/drawing/2014/main" id="{00000000-0008-0000-0600-000033170000}"/>
            </a:ext>
          </a:extLst>
        </xdr:cNvPr>
        <xdr:cNvPicPr>
          <a:picLocks noChangeAspect="1"/>
        </xdr:cNvPicPr>
      </xdr:nvPicPr>
      <xdr:blipFill>
        <a:blip xmlns:r="http://schemas.openxmlformats.org/officeDocument/2006/relationships" r:embed="rId2" cstate="print"/>
        <a:srcRect/>
        <a:stretch>
          <a:fillRect/>
        </a:stretch>
      </xdr:blipFill>
      <xdr:spPr bwMode="auto">
        <a:xfrm>
          <a:off x="1276350" y="8331200"/>
          <a:ext cx="7099300" cy="4425950"/>
        </a:xfrm>
        <a:prstGeom prst="rect">
          <a:avLst/>
        </a:prstGeom>
        <a:noFill/>
        <a:ln w="9525">
          <a:noFill/>
          <a:miter lim="800000"/>
          <a:headEnd/>
          <a:tailEnd/>
        </a:ln>
      </xdr:spPr>
    </xdr:pic>
    <xdr:clientData/>
  </xdr:twoCellAnchor>
  <xdr:twoCellAnchor editAs="oneCell">
    <xdr:from>
      <xdr:col>1</xdr:col>
      <xdr:colOff>0</xdr:colOff>
      <xdr:row>1</xdr:row>
      <xdr:rowOff>0</xdr:rowOff>
    </xdr:from>
    <xdr:to>
      <xdr:col>1</xdr:col>
      <xdr:colOff>980440</xdr:colOff>
      <xdr:row>4</xdr:row>
      <xdr:rowOff>152400</xdr:rowOff>
    </xdr:to>
    <xdr:pic>
      <xdr:nvPicPr>
        <xdr:cNvPr id="5940" name="Picture 8" descr="logoplasci">
          <a:extLst>
            <a:ext uri="{FF2B5EF4-FFF2-40B4-BE49-F238E27FC236}">
              <a16:creationId xmlns:a16="http://schemas.microsoft.com/office/drawing/2014/main" id="{00000000-0008-0000-0600-00003417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52400" y="158750"/>
          <a:ext cx="984250" cy="628650"/>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6</xdr:col>
      <xdr:colOff>69850</xdr:colOff>
      <xdr:row>80</xdr:row>
      <xdr:rowOff>12700</xdr:rowOff>
    </xdr:from>
    <xdr:to>
      <xdr:col>8</xdr:col>
      <xdr:colOff>0</xdr:colOff>
      <xdr:row>102</xdr:row>
      <xdr:rowOff>107950</xdr:rowOff>
    </xdr:to>
    <xdr:grpSp>
      <xdr:nvGrpSpPr>
        <xdr:cNvPr id="5501606" name="Group 232">
          <a:extLst>
            <a:ext uri="{FF2B5EF4-FFF2-40B4-BE49-F238E27FC236}">
              <a16:creationId xmlns:a16="http://schemas.microsoft.com/office/drawing/2014/main" id="{00000000-0008-0000-0700-0000A6F25300}"/>
            </a:ext>
          </a:extLst>
        </xdr:cNvPr>
        <xdr:cNvGrpSpPr>
          <a:grpSpLocks/>
        </xdr:cNvGrpSpPr>
      </xdr:nvGrpSpPr>
      <xdr:grpSpPr bwMode="auto">
        <a:xfrm>
          <a:off x="4137025" y="13214350"/>
          <a:ext cx="2159000" cy="3752850"/>
          <a:chOff x="3421" y="5379"/>
          <a:chExt cx="2289" cy="5759"/>
        </a:xfrm>
      </xdr:grpSpPr>
      <xdr:grpSp>
        <xdr:nvGrpSpPr>
          <xdr:cNvPr id="5501710" name="Group 233">
            <a:extLst>
              <a:ext uri="{FF2B5EF4-FFF2-40B4-BE49-F238E27FC236}">
                <a16:creationId xmlns:a16="http://schemas.microsoft.com/office/drawing/2014/main" id="{00000000-0008-0000-0700-00000EF35300}"/>
              </a:ext>
            </a:extLst>
          </xdr:cNvPr>
          <xdr:cNvGrpSpPr>
            <a:grpSpLocks/>
          </xdr:cNvGrpSpPr>
        </xdr:nvGrpSpPr>
        <xdr:grpSpPr bwMode="auto">
          <a:xfrm>
            <a:off x="4047" y="5379"/>
            <a:ext cx="515" cy="4096"/>
            <a:chOff x="4047" y="5379"/>
            <a:chExt cx="515" cy="4096"/>
          </a:xfrm>
        </xdr:grpSpPr>
        <xdr:sp macro="" textlink="">
          <xdr:nvSpPr>
            <xdr:cNvPr id="5501728" name="Arc 234">
              <a:extLst>
                <a:ext uri="{FF2B5EF4-FFF2-40B4-BE49-F238E27FC236}">
                  <a16:creationId xmlns:a16="http://schemas.microsoft.com/office/drawing/2014/main" id="{00000000-0008-0000-0700-000020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729" name="Group 235">
              <a:extLst>
                <a:ext uri="{FF2B5EF4-FFF2-40B4-BE49-F238E27FC236}">
                  <a16:creationId xmlns:a16="http://schemas.microsoft.com/office/drawing/2014/main" id="{00000000-0008-0000-0700-000021F35300}"/>
                </a:ext>
              </a:extLst>
            </xdr:cNvPr>
            <xdr:cNvGrpSpPr>
              <a:grpSpLocks/>
            </xdr:cNvGrpSpPr>
          </xdr:nvGrpSpPr>
          <xdr:grpSpPr bwMode="auto">
            <a:xfrm>
              <a:off x="4047" y="6306"/>
              <a:ext cx="285" cy="3169"/>
              <a:chOff x="4050" y="6306"/>
              <a:chExt cx="285" cy="3169"/>
            </a:xfrm>
          </xdr:grpSpPr>
          <xdr:sp macro="" textlink="">
            <xdr:nvSpPr>
              <xdr:cNvPr id="5501730" name="Line 236">
                <a:extLst>
                  <a:ext uri="{FF2B5EF4-FFF2-40B4-BE49-F238E27FC236}">
                    <a16:creationId xmlns:a16="http://schemas.microsoft.com/office/drawing/2014/main" id="{00000000-0008-0000-0700-000022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731" name="Line 237">
                <a:extLst>
                  <a:ext uri="{FF2B5EF4-FFF2-40B4-BE49-F238E27FC236}">
                    <a16:creationId xmlns:a16="http://schemas.microsoft.com/office/drawing/2014/main" id="{00000000-0008-0000-0700-000023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32" name="Line 238">
                <a:extLst>
                  <a:ext uri="{FF2B5EF4-FFF2-40B4-BE49-F238E27FC236}">
                    <a16:creationId xmlns:a16="http://schemas.microsoft.com/office/drawing/2014/main" id="{00000000-0008-0000-0700-000024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33" name="Line 239">
                <a:extLst>
                  <a:ext uri="{FF2B5EF4-FFF2-40B4-BE49-F238E27FC236}">
                    <a16:creationId xmlns:a16="http://schemas.microsoft.com/office/drawing/2014/main" id="{00000000-0008-0000-0700-000025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34" name="Line 240">
                <a:extLst>
                  <a:ext uri="{FF2B5EF4-FFF2-40B4-BE49-F238E27FC236}">
                    <a16:creationId xmlns:a16="http://schemas.microsoft.com/office/drawing/2014/main" id="{00000000-0008-0000-0700-000026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grpSp>
        <xdr:nvGrpSpPr>
          <xdr:cNvPr id="5501711" name="Group 241">
            <a:extLst>
              <a:ext uri="{FF2B5EF4-FFF2-40B4-BE49-F238E27FC236}">
                <a16:creationId xmlns:a16="http://schemas.microsoft.com/office/drawing/2014/main" id="{00000000-0008-0000-0700-00000FF35300}"/>
              </a:ext>
            </a:extLst>
          </xdr:cNvPr>
          <xdr:cNvGrpSpPr>
            <a:grpSpLocks/>
          </xdr:cNvGrpSpPr>
        </xdr:nvGrpSpPr>
        <xdr:grpSpPr bwMode="auto">
          <a:xfrm flipH="1">
            <a:off x="4560" y="5379"/>
            <a:ext cx="515" cy="4096"/>
            <a:chOff x="4047" y="5379"/>
            <a:chExt cx="515" cy="4096"/>
          </a:xfrm>
        </xdr:grpSpPr>
        <xdr:sp macro="" textlink="">
          <xdr:nvSpPr>
            <xdr:cNvPr id="5501721" name="Arc 242">
              <a:extLst>
                <a:ext uri="{FF2B5EF4-FFF2-40B4-BE49-F238E27FC236}">
                  <a16:creationId xmlns:a16="http://schemas.microsoft.com/office/drawing/2014/main" id="{00000000-0008-0000-0700-000019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722" name="Group 243">
              <a:extLst>
                <a:ext uri="{FF2B5EF4-FFF2-40B4-BE49-F238E27FC236}">
                  <a16:creationId xmlns:a16="http://schemas.microsoft.com/office/drawing/2014/main" id="{00000000-0008-0000-0700-00001AF35300}"/>
                </a:ext>
              </a:extLst>
            </xdr:cNvPr>
            <xdr:cNvGrpSpPr>
              <a:grpSpLocks/>
            </xdr:cNvGrpSpPr>
          </xdr:nvGrpSpPr>
          <xdr:grpSpPr bwMode="auto">
            <a:xfrm>
              <a:off x="4047" y="6306"/>
              <a:ext cx="285" cy="3169"/>
              <a:chOff x="4050" y="6306"/>
              <a:chExt cx="285" cy="3169"/>
            </a:xfrm>
          </xdr:grpSpPr>
          <xdr:sp macro="" textlink="">
            <xdr:nvSpPr>
              <xdr:cNvPr id="5501723" name="Line 244">
                <a:extLst>
                  <a:ext uri="{FF2B5EF4-FFF2-40B4-BE49-F238E27FC236}">
                    <a16:creationId xmlns:a16="http://schemas.microsoft.com/office/drawing/2014/main" id="{00000000-0008-0000-0700-00001B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724" name="Line 245">
                <a:extLst>
                  <a:ext uri="{FF2B5EF4-FFF2-40B4-BE49-F238E27FC236}">
                    <a16:creationId xmlns:a16="http://schemas.microsoft.com/office/drawing/2014/main" id="{00000000-0008-0000-0700-00001C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25" name="Line 246">
                <a:extLst>
                  <a:ext uri="{FF2B5EF4-FFF2-40B4-BE49-F238E27FC236}">
                    <a16:creationId xmlns:a16="http://schemas.microsoft.com/office/drawing/2014/main" id="{00000000-0008-0000-0700-00001D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26" name="Line 247">
                <a:extLst>
                  <a:ext uri="{FF2B5EF4-FFF2-40B4-BE49-F238E27FC236}">
                    <a16:creationId xmlns:a16="http://schemas.microsoft.com/office/drawing/2014/main" id="{00000000-0008-0000-0700-00001E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27" name="Line 248">
                <a:extLst>
                  <a:ext uri="{FF2B5EF4-FFF2-40B4-BE49-F238E27FC236}">
                    <a16:creationId xmlns:a16="http://schemas.microsoft.com/office/drawing/2014/main" id="{00000000-0008-0000-0700-00001F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sp macro="" textlink="">
        <xdr:nvSpPr>
          <xdr:cNvPr id="5501712" name="Line 249">
            <a:extLst>
              <a:ext uri="{FF2B5EF4-FFF2-40B4-BE49-F238E27FC236}">
                <a16:creationId xmlns:a16="http://schemas.microsoft.com/office/drawing/2014/main" id="{00000000-0008-0000-0700-000010F35300}"/>
              </a:ext>
            </a:extLst>
          </xdr:cNvPr>
          <xdr:cNvSpPr>
            <a:spLocks noChangeShapeType="1"/>
          </xdr:cNvSpPr>
        </xdr:nvSpPr>
        <xdr:spPr bwMode="auto">
          <a:xfrm>
            <a:off x="4332" y="9310"/>
            <a:ext cx="2" cy="1319"/>
          </a:xfrm>
          <a:prstGeom prst="line">
            <a:avLst/>
          </a:prstGeom>
          <a:noFill/>
          <a:ln w="9525">
            <a:solidFill>
              <a:srgbClr val="00B0F0"/>
            </a:solidFill>
            <a:round/>
            <a:headEnd/>
            <a:tailEnd/>
          </a:ln>
        </xdr:spPr>
      </xdr:sp>
      <xdr:sp macro="" textlink="">
        <xdr:nvSpPr>
          <xdr:cNvPr id="5501713" name="Line 250">
            <a:extLst>
              <a:ext uri="{FF2B5EF4-FFF2-40B4-BE49-F238E27FC236}">
                <a16:creationId xmlns:a16="http://schemas.microsoft.com/office/drawing/2014/main" id="{00000000-0008-0000-0700-000011F35300}"/>
              </a:ext>
            </a:extLst>
          </xdr:cNvPr>
          <xdr:cNvSpPr>
            <a:spLocks noChangeShapeType="1"/>
          </xdr:cNvSpPr>
        </xdr:nvSpPr>
        <xdr:spPr bwMode="auto">
          <a:xfrm>
            <a:off x="4790" y="9310"/>
            <a:ext cx="0" cy="1319"/>
          </a:xfrm>
          <a:prstGeom prst="line">
            <a:avLst/>
          </a:prstGeom>
          <a:noFill/>
          <a:ln w="9525">
            <a:solidFill>
              <a:srgbClr val="00B0F0"/>
            </a:solidFill>
            <a:round/>
            <a:headEnd/>
            <a:tailEnd/>
          </a:ln>
        </xdr:spPr>
      </xdr:sp>
      <xdr:sp macro="" textlink="">
        <xdr:nvSpPr>
          <xdr:cNvPr id="5501714" name="Line 251">
            <a:extLst>
              <a:ext uri="{FF2B5EF4-FFF2-40B4-BE49-F238E27FC236}">
                <a16:creationId xmlns:a16="http://schemas.microsoft.com/office/drawing/2014/main" id="{00000000-0008-0000-0700-000012F35300}"/>
              </a:ext>
            </a:extLst>
          </xdr:cNvPr>
          <xdr:cNvSpPr>
            <a:spLocks noChangeShapeType="1"/>
          </xdr:cNvSpPr>
        </xdr:nvSpPr>
        <xdr:spPr bwMode="auto">
          <a:xfrm>
            <a:off x="4330" y="10629"/>
            <a:ext cx="458" cy="0"/>
          </a:xfrm>
          <a:prstGeom prst="line">
            <a:avLst/>
          </a:prstGeom>
          <a:noFill/>
          <a:ln w="9525">
            <a:solidFill>
              <a:srgbClr val="00B0F0"/>
            </a:solidFill>
            <a:round/>
            <a:headEnd/>
            <a:tailEnd/>
          </a:ln>
        </xdr:spPr>
      </xdr:sp>
      <xdr:sp macro="" textlink="">
        <xdr:nvSpPr>
          <xdr:cNvPr id="5501715" name="Line 252">
            <a:extLst>
              <a:ext uri="{FF2B5EF4-FFF2-40B4-BE49-F238E27FC236}">
                <a16:creationId xmlns:a16="http://schemas.microsoft.com/office/drawing/2014/main" id="{00000000-0008-0000-0700-000013F35300}"/>
              </a:ext>
            </a:extLst>
          </xdr:cNvPr>
          <xdr:cNvSpPr>
            <a:spLocks noChangeShapeType="1"/>
          </xdr:cNvSpPr>
        </xdr:nvSpPr>
        <xdr:spPr bwMode="auto">
          <a:xfrm flipV="1">
            <a:off x="5709" y="10163"/>
            <a:ext cx="1" cy="946"/>
          </a:xfrm>
          <a:prstGeom prst="line">
            <a:avLst/>
          </a:prstGeom>
          <a:noFill/>
          <a:ln w="9525">
            <a:solidFill>
              <a:srgbClr val="00B0F0"/>
            </a:solidFill>
            <a:round/>
            <a:headEnd/>
            <a:tailEnd/>
          </a:ln>
        </xdr:spPr>
      </xdr:sp>
      <xdr:sp macro="" textlink="">
        <xdr:nvSpPr>
          <xdr:cNvPr id="5501716" name="Line 253">
            <a:extLst>
              <a:ext uri="{FF2B5EF4-FFF2-40B4-BE49-F238E27FC236}">
                <a16:creationId xmlns:a16="http://schemas.microsoft.com/office/drawing/2014/main" id="{00000000-0008-0000-0700-000014F35300}"/>
              </a:ext>
            </a:extLst>
          </xdr:cNvPr>
          <xdr:cNvSpPr>
            <a:spLocks noChangeShapeType="1"/>
          </xdr:cNvSpPr>
        </xdr:nvSpPr>
        <xdr:spPr bwMode="auto">
          <a:xfrm>
            <a:off x="4796" y="10419"/>
            <a:ext cx="909" cy="712"/>
          </a:xfrm>
          <a:prstGeom prst="line">
            <a:avLst/>
          </a:prstGeom>
          <a:noFill/>
          <a:ln w="9525">
            <a:solidFill>
              <a:srgbClr val="00B0F0"/>
            </a:solidFill>
            <a:round/>
            <a:headEnd/>
            <a:tailEnd/>
          </a:ln>
        </xdr:spPr>
      </xdr:sp>
      <xdr:sp macro="" textlink="">
        <xdr:nvSpPr>
          <xdr:cNvPr id="5501717" name="Line 254">
            <a:extLst>
              <a:ext uri="{FF2B5EF4-FFF2-40B4-BE49-F238E27FC236}">
                <a16:creationId xmlns:a16="http://schemas.microsoft.com/office/drawing/2014/main" id="{00000000-0008-0000-0700-000015F35300}"/>
              </a:ext>
            </a:extLst>
          </xdr:cNvPr>
          <xdr:cNvSpPr>
            <a:spLocks noChangeShapeType="1"/>
          </xdr:cNvSpPr>
        </xdr:nvSpPr>
        <xdr:spPr bwMode="auto">
          <a:xfrm flipH="1" flipV="1">
            <a:off x="4804" y="8797"/>
            <a:ext cx="905" cy="1372"/>
          </a:xfrm>
          <a:prstGeom prst="line">
            <a:avLst/>
          </a:prstGeom>
          <a:noFill/>
          <a:ln w="9525">
            <a:solidFill>
              <a:srgbClr val="00B0F0"/>
            </a:solidFill>
            <a:round/>
            <a:headEnd/>
            <a:tailEnd/>
          </a:ln>
        </xdr:spPr>
      </xdr:sp>
      <xdr:sp macro="" textlink="">
        <xdr:nvSpPr>
          <xdr:cNvPr id="5501718" name="Line 255">
            <a:extLst>
              <a:ext uri="{FF2B5EF4-FFF2-40B4-BE49-F238E27FC236}">
                <a16:creationId xmlns:a16="http://schemas.microsoft.com/office/drawing/2014/main" id="{00000000-0008-0000-0700-000016F35300}"/>
              </a:ext>
            </a:extLst>
          </xdr:cNvPr>
          <xdr:cNvSpPr>
            <a:spLocks noChangeShapeType="1"/>
          </xdr:cNvSpPr>
        </xdr:nvSpPr>
        <xdr:spPr bwMode="auto">
          <a:xfrm flipH="1" flipV="1">
            <a:off x="3421" y="10178"/>
            <a:ext cx="1" cy="946"/>
          </a:xfrm>
          <a:prstGeom prst="line">
            <a:avLst/>
          </a:prstGeom>
          <a:noFill/>
          <a:ln w="9525">
            <a:solidFill>
              <a:srgbClr val="00B0F0"/>
            </a:solidFill>
            <a:round/>
            <a:headEnd/>
            <a:tailEnd/>
          </a:ln>
        </xdr:spPr>
      </xdr:sp>
      <xdr:sp macro="" textlink="">
        <xdr:nvSpPr>
          <xdr:cNvPr id="5501719" name="Line 256">
            <a:extLst>
              <a:ext uri="{FF2B5EF4-FFF2-40B4-BE49-F238E27FC236}">
                <a16:creationId xmlns:a16="http://schemas.microsoft.com/office/drawing/2014/main" id="{00000000-0008-0000-0700-000017F35300}"/>
              </a:ext>
            </a:extLst>
          </xdr:cNvPr>
          <xdr:cNvSpPr>
            <a:spLocks noChangeShapeType="1"/>
          </xdr:cNvSpPr>
        </xdr:nvSpPr>
        <xdr:spPr bwMode="auto">
          <a:xfrm flipH="1">
            <a:off x="3421" y="10426"/>
            <a:ext cx="909" cy="712"/>
          </a:xfrm>
          <a:prstGeom prst="line">
            <a:avLst/>
          </a:prstGeom>
          <a:noFill/>
          <a:ln w="9525">
            <a:solidFill>
              <a:srgbClr val="00B0F0"/>
            </a:solidFill>
            <a:round/>
            <a:headEnd/>
            <a:tailEnd/>
          </a:ln>
        </xdr:spPr>
      </xdr:sp>
      <xdr:sp macro="" textlink="">
        <xdr:nvSpPr>
          <xdr:cNvPr id="5501720" name="Line 257">
            <a:extLst>
              <a:ext uri="{FF2B5EF4-FFF2-40B4-BE49-F238E27FC236}">
                <a16:creationId xmlns:a16="http://schemas.microsoft.com/office/drawing/2014/main" id="{00000000-0008-0000-0700-000018F35300}"/>
              </a:ext>
            </a:extLst>
          </xdr:cNvPr>
          <xdr:cNvSpPr>
            <a:spLocks noChangeShapeType="1"/>
          </xdr:cNvSpPr>
        </xdr:nvSpPr>
        <xdr:spPr bwMode="auto">
          <a:xfrm flipV="1">
            <a:off x="3429" y="8804"/>
            <a:ext cx="905" cy="1372"/>
          </a:xfrm>
          <a:prstGeom prst="line">
            <a:avLst/>
          </a:prstGeom>
          <a:noFill/>
          <a:ln w="9525">
            <a:solidFill>
              <a:srgbClr val="00B0F0"/>
            </a:solidFill>
            <a:round/>
            <a:headEnd/>
            <a:tailEnd/>
          </a:ln>
        </xdr:spPr>
      </xdr:sp>
    </xdr:grpSp>
    <xdr:clientData/>
  </xdr:twoCellAnchor>
  <xdr:twoCellAnchor>
    <xdr:from>
      <xdr:col>6</xdr:col>
      <xdr:colOff>825500</xdr:colOff>
      <xdr:row>84</xdr:row>
      <xdr:rowOff>101600</xdr:rowOff>
    </xdr:from>
    <xdr:to>
      <xdr:col>6</xdr:col>
      <xdr:colOff>1543050</xdr:colOff>
      <xdr:row>84</xdr:row>
      <xdr:rowOff>101600</xdr:rowOff>
    </xdr:to>
    <xdr:sp macro="" textlink="">
      <xdr:nvSpPr>
        <xdr:cNvPr id="5501607" name="Line 268">
          <a:extLst>
            <a:ext uri="{FF2B5EF4-FFF2-40B4-BE49-F238E27FC236}">
              <a16:creationId xmlns:a16="http://schemas.microsoft.com/office/drawing/2014/main" id="{00000000-0008-0000-0700-0000A7F25300}"/>
            </a:ext>
          </a:extLst>
        </xdr:cNvPr>
        <xdr:cNvSpPr>
          <a:spLocks noChangeShapeType="1"/>
        </xdr:cNvSpPr>
      </xdr:nvSpPr>
      <xdr:spPr bwMode="auto">
        <a:xfrm flipV="1">
          <a:off x="5105400" y="14128750"/>
          <a:ext cx="717550" cy="0"/>
        </a:xfrm>
        <a:prstGeom prst="line">
          <a:avLst/>
        </a:prstGeom>
        <a:noFill/>
        <a:ln w="6350">
          <a:solidFill>
            <a:srgbClr val="000000"/>
          </a:solidFill>
          <a:round/>
          <a:headEnd type="triangle" w="sm" len="lg"/>
          <a:tailEnd type="triangle" w="sm" len="lg"/>
        </a:ln>
      </xdr:spPr>
    </xdr:sp>
    <xdr:clientData/>
  </xdr:twoCellAnchor>
  <xdr:twoCellAnchor>
    <xdr:from>
      <xdr:col>6</xdr:col>
      <xdr:colOff>152400</xdr:colOff>
      <xdr:row>80</xdr:row>
      <xdr:rowOff>0</xdr:rowOff>
    </xdr:from>
    <xdr:to>
      <xdr:col>8</xdr:col>
      <xdr:colOff>654050</xdr:colOff>
      <xdr:row>80</xdr:row>
      <xdr:rowOff>0</xdr:rowOff>
    </xdr:to>
    <xdr:sp macro="" textlink="">
      <xdr:nvSpPr>
        <xdr:cNvPr id="5501608" name="Line 269">
          <a:extLst>
            <a:ext uri="{FF2B5EF4-FFF2-40B4-BE49-F238E27FC236}">
              <a16:creationId xmlns:a16="http://schemas.microsoft.com/office/drawing/2014/main" id="{00000000-0008-0000-0700-0000A8F25300}"/>
            </a:ext>
          </a:extLst>
        </xdr:cNvPr>
        <xdr:cNvSpPr>
          <a:spLocks noChangeShapeType="1"/>
        </xdr:cNvSpPr>
      </xdr:nvSpPr>
      <xdr:spPr bwMode="auto">
        <a:xfrm flipV="1">
          <a:off x="4432300" y="13354050"/>
          <a:ext cx="2647950" cy="0"/>
        </a:xfrm>
        <a:prstGeom prst="line">
          <a:avLst/>
        </a:prstGeom>
        <a:noFill/>
        <a:ln w="6350">
          <a:solidFill>
            <a:srgbClr val="000000"/>
          </a:solidFill>
          <a:round/>
          <a:headEnd/>
          <a:tailEnd/>
        </a:ln>
      </xdr:spPr>
    </xdr:sp>
    <xdr:clientData/>
  </xdr:twoCellAnchor>
  <xdr:twoCellAnchor>
    <xdr:from>
      <xdr:col>8</xdr:col>
      <xdr:colOff>228600</xdr:colOff>
      <xdr:row>80</xdr:row>
      <xdr:rowOff>12700</xdr:rowOff>
    </xdr:from>
    <xdr:to>
      <xdr:col>8</xdr:col>
      <xdr:colOff>228600</xdr:colOff>
      <xdr:row>93</xdr:row>
      <xdr:rowOff>82550</xdr:rowOff>
    </xdr:to>
    <xdr:sp macro="" textlink="">
      <xdr:nvSpPr>
        <xdr:cNvPr id="5501609" name="Line 270">
          <a:extLst>
            <a:ext uri="{FF2B5EF4-FFF2-40B4-BE49-F238E27FC236}">
              <a16:creationId xmlns:a16="http://schemas.microsoft.com/office/drawing/2014/main" id="{00000000-0008-0000-0700-0000A9F25300}"/>
            </a:ext>
          </a:extLst>
        </xdr:cNvPr>
        <xdr:cNvSpPr>
          <a:spLocks noChangeShapeType="1"/>
        </xdr:cNvSpPr>
      </xdr:nvSpPr>
      <xdr:spPr bwMode="auto">
        <a:xfrm>
          <a:off x="6838950" y="13366750"/>
          <a:ext cx="0" cy="2209800"/>
        </a:xfrm>
        <a:prstGeom prst="line">
          <a:avLst/>
        </a:prstGeom>
        <a:noFill/>
        <a:ln w="6350">
          <a:solidFill>
            <a:srgbClr val="000000"/>
          </a:solidFill>
          <a:round/>
          <a:headEnd type="triangle" w="sm" len="lg"/>
          <a:tailEnd type="triangle" w="sm" len="lg"/>
        </a:ln>
      </xdr:spPr>
    </xdr:sp>
    <xdr:clientData/>
  </xdr:twoCellAnchor>
  <xdr:twoCellAnchor>
    <xdr:from>
      <xdr:col>6</xdr:col>
      <xdr:colOff>139700</xdr:colOff>
      <xdr:row>83</xdr:row>
      <xdr:rowOff>50800</xdr:rowOff>
    </xdr:from>
    <xdr:to>
      <xdr:col>6</xdr:col>
      <xdr:colOff>838200</xdr:colOff>
      <xdr:row>83</xdr:row>
      <xdr:rowOff>50800</xdr:rowOff>
    </xdr:to>
    <xdr:sp macro="" textlink="">
      <xdr:nvSpPr>
        <xdr:cNvPr id="5501610" name="Line 271">
          <a:extLst>
            <a:ext uri="{FF2B5EF4-FFF2-40B4-BE49-F238E27FC236}">
              <a16:creationId xmlns:a16="http://schemas.microsoft.com/office/drawing/2014/main" id="{00000000-0008-0000-0700-0000AAF25300}"/>
            </a:ext>
          </a:extLst>
        </xdr:cNvPr>
        <xdr:cNvSpPr>
          <a:spLocks noChangeShapeType="1"/>
        </xdr:cNvSpPr>
      </xdr:nvSpPr>
      <xdr:spPr bwMode="auto">
        <a:xfrm>
          <a:off x="4419600" y="13912850"/>
          <a:ext cx="698500" cy="0"/>
        </a:xfrm>
        <a:prstGeom prst="line">
          <a:avLst/>
        </a:prstGeom>
        <a:noFill/>
        <a:ln w="6350">
          <a:solidFill>
            <a:srgbClr val="000000"/>
          </a:solidFill>
          <a:round/>
          <a:headEnd/>
          <a:tailEnd/>
        </a:ln>
      </xdr:spPr>
    </xdr:sp>
    <xdr:clientData/>
  </xdr:twoCellAnchor>
  <xdr:twoCellAnchor>
    <xdr:from>
      <xdr:col>6</xdr:col>
      <xdr:colOff>152400</xdr:colOff>
      <xdr:row>80</xdr:row>
      <xdr:rowOff>0</xdr:rowOff>
    </xdr:from>
    <xdr:to>
      <xdr:col>6</xdr:col>
      <xdr:colOff>152400</xdr:colOff>
      <xdr:row>83</xdr:row>
      <xdr:rowOff>50800</xdr:rowOff>
    </xdr:to>
    <xdr:sp macro="" textlink="">
      <xdr:nvSpPr>
        <xdr:cNvPr id="5501611" name="Line 272">
          <a:extLst>
            <a:ext uri="{FF2B5EF4-FFF2-40B4-BE49-F238E27FC236}">
              <a16:creationId xmlns:a16="http://schemas.microsoft.com/office/drawing/2014/main" id="{00000000-0008-0000-0700-0000ABF25300}"/>
            </a:ext>
          </a:extLst>
        </xdr:cNvPr>
        <xdr:cNvSpPr>
          <a:spLocks noChangeShapeType="1"/>
        </xdr:cNvSpPr>
      </xdr:nvSpPr>
      <xdr:spPr bwMode="auto">
        <a:xfrm>
          <a:off x="4432300" y="13354050"/>
          <a:ext cx="0" cy="558800"/>
        </a:xfrm>
        <a:prstGeom prst="line">
          <a:avLst/>
        </a:prstGeom>
        <a:noFill/>
        <a:ln w="6350">
          <a:solidFill>
            <a:srgbClr val="000000"/>
          </a:solidFill>
          <a:round/>
          <a:headEnd type="triangle" w="sm" len="lg"/>
          <a:tailEnd type="triangle" w="sm" len="lg"/>
        </a:ln>
      </xdr:spPr>
    </xdr:sp>
    <xdr:clientData/>
  </xdr:twoCellAnchor>
  <xdr:twoCellAnchor>
    <xdr:from>
      <xdr:col>7</xdr:col>
      <xdr:colOff>787400</xdr:colOff>
      <xdr:row>102</xdr:row>
      <xdr:rowOff>95250</xdr:rowOff>
    </xdr:from>
    <xdr:to>
      <xdr:col>8</xdr:col>
      <xdr:colOff>552450</xdr:colOff>
      <xdr:row>102</xdr:row>
      <xdr:rowOff>95250</xdr:rowOff>
    </xdr:to>
    <xdr:sp macro="" textlink="">
      <xdr:nvSpPr>
        <xdr:cNvPr id="5501612" name="Line 277">
          <a:extLst>
            <a:ext uri="{FF2B5EF4-FFF2-40B4-BE49-F238E27FC236}">
              <a16:creationId xmlns:a16="http://schemas.microsoft.com/office/drawing/2014/main" id="{00000000-0008-0000-0700-0000ACF25300}"/>
            </a:ext>
          </a:extLst>
        </xdr:cNvPr>
        <xdr:cNvSpPr>
          <a:spLocks noChangeShapeType="1"/>
        </xdr:cNvSpPr>
      </xdr:nvSpPr>
      <xdr:spPr bwMode="auto">
        <a:xfrm>
          <a:off x="6610350" y="17068800"/>
          <a:ext cx="469900" cy="0"/>
        </a:xfrm>
        <a:prstGeom prst="line">
          <a:avLst/>
        </a:prstGeom>
        <a:noFill/>
        <a:ln w="6350">
          <a:solidFill>
            <a:srgbClr val="000000"/>
          </a:solidFill>
          <a:round/>
          <a:headEnd/>
          <a:tailEnd/>
        </a:ln>
      </xdr:spPr>
    </xdr:sp>
    <xdr:clientData/>
  </xdr:twoCellAnchor>
  <xdr:twoCellAnchor>
    <xdr:from>
      <xdr:col>8</xdr:col>
      <xdr:colOff>12700</xdr:colOff>
      <xdr:row>98</xdr:row>
      <xdr:rowOff>133350</xdr:rowOff>
    </xdr:from>
    <xdr:to>
      <xdr:col>8</xdr:col>
      <xdr:colOff>469900</xdr:colOff>
      <xdr:row>98</xdr:row>
      <xdr:rowOff>133350</xdr:rowOff>
    </xdr:to>
    <xdr:sp macro="" textlink="">
      <xdr:nvSpPr>
        <xdr:cNvPr id="5501613" name="Line 278">
          <a:extLst>
            <a:ext uri="{FF2B5EF4-FFF2-40B4-BE49-F238E27FC236}">
              <a16:creationId xmlns:a16="http://schemas.microsoft.com/office/drawing/2014/main" id="{00000000-0008-0000-0700-0000ADF25300}"/>
            </a:ext>
          </a:extLst>
        </xdr:cNvPr>
        <xdr:cNvSpPr>
          <a:spLocks noChangeShapeType="1"/>
        </xdr:cNvSpPr>
      </xdr:nvSpPr>
      <xdr:spPr bwMode="auto">
        <a:xfrm>
          <a:off x="6623050" y="16440150"/>
          <a:ext cx="457200" cy="0"/>
        </a:xfrm>
        <a:prstGeom prst="line">
          <a:avLst/>
        </a:prstGeom>
        <a:noFill/>
        <a:ln w="6350">
          <a:solidFill>
            <a:srgbClr val="000000"/>
          </a:solidFill>
          <a:round/>
          <a:headEnd/>
          <a:tailEnd/>
        </a:ln>
      </xdr:spPr>
    </xdr:sp>
    <xdr:clientData/>
  </xdr:twoCellAnchor>
  <xdr:twoCellAnchor>
    <xdr:from>
      <xdr:col>6</xdr:col>
      <xdr:colOff>476250</xdr:colOff>
      <xdr:row>93</xdr:row>
      <xdr:rowOff>76200</xdr:rowOff>
    </xdr:from>
    <xdr:to>
      <xdr:col>8</xdr:col>
      <xdr:colOff>552450</xdr:colOff>
      <xdr:row>93</xdr:row>
      <xdr:rowOff>76200</xdr:rowOff>
    </xdr:to>
    <xdr:sp macro="" textlink="">
      <xdr:nvSpPr>
        <xdr:cNvPr id="5501614" name="Line 279">
          <a:extLst>
            <a:ext uri="{FF2B5EF4-FFF2-40B4-BE49-F238E27FC236}">
              <a16:creationId xmlns:a16="http://schemas.microsoft.com/office/drawing/2014/main" id="{00000000-0008-0000-0700-0000AEF25300}"/>
            </a:ext>
          </a:extLst>
        </xdr:cNvPr>
        <xdr:cNvSpPr>
          <a:spLocks noChangeShapeType="1"/>
        </xdr:cNvSpPr>
      </xdr:nvSpPr>
      <xdr:spPr bwMode="auto">
        <a:xfrm flipV="1">
          <a:off x="4756150" y="15570200"/>
          <a:ext cx="2324100" cy="0"/>
        </a:xfrm>
        <a:prstGeom prst="line">
          <a:avLst/>
        </a:prstGeom>
        <a:noFill/>
        <a:ln w="6350">
          <a:solidFill>
            <a:srgbClr val="000000"/>
          </a:solidFill>
          <a:round/>
          <a:headEnd/>
          <a:tailEnd/>
        </a:ln>
      </xdr:spPr>
    </xdr:sp>
    <xdr:clientData/>
  </xdr:twoCellAnchor>
  <xdr:twoCellAnchor>
    <xdr:from>
      <xdr:col>6</xdr:col>
      <xdr:colOff>476250</xdr:colOff>
      <xdr:row>99</xdr:row>
      <xdr:rowOff>152400</xdr:rowOff>
    </xdr:from>
    <xdr:to>
      <xdr:col>6</xdr:col>
      <xdr:colOff>1428750</xdr:colOff>
      <xdr:row>99</xdr:row>
      <xdr:rowOff>152400</xdr:rowOff>
    </xdr:to>
    <xdr:sp macro="" textlink="">
      <xdr:nvSpPr>
        <xdr:cNvPr id="5501615" name="Line 280">
          <a:extLst>
            <a:ext uri="{FF2B5EF4-FFF2-40B4-BE49-F238E27FC236}">
              <a16:creationId xmlns:a16="http://schemas.microsoft.com/office/drawing/2014/main" id="{00000000-0008-0000-0700-0000AFF25300}"/>
            </a:ext>
          </a:extLst>
        </xdr:cNvPr>
        <xdr:cNvSpPr>
          <a:spLocks noChangeShapeType="1"/>
        </xdr:cNvSpPr>
      </xdr:nvSpPr>
      <xdr:spPr bwMode="auto">
        <a:xfrm flipV="1">
          <a:off x="4756150" y="16617950"/>
          <a:ext cx="952500" cy="0"/>
        </a:xfrm>
        <a:prstGeom prst="line">
          <a:avLst/>
        </a:prstGeom>
        <a:noFill/>
        <a:ln w="6350">
          <a:solidFill>
            <a:srgbClr val="000000"/>
          </a:solidFill>
          <a:round/>
          <a:headEnd/>
          <a:tailEnd/>
        </a:ln>
      </xdr:spPr>
    </xdr:sp>
    <xdr:clientData/>
  </xdr:twoCellAnchor>
  <xdr:twoCellAnchor>
    <xdr:from>
      <xdr:col>6</xdr:col>
      <xdr:colOff>476250</xdr:colOff>
      <xdr:row>93</xdr:row>
      <xdr:rowOff>76200</xdr:rowOff>
    </xdr:from>
    <xdr:to>
      <xdr:col>6</xdr:col>
      <xdr:colOff>476250</xdr:colOff>
      <xdr:row>100</xdr:row>
      <xdr:rowOff>0</xdr:rowOff>
    </xdr:to>
    <xdr:sp macro="" textlink="">
      <xdr:nvSpPr>
        <xdr:cNvPr id="5501616" name="Line 281">
          <a:extLst>
            <a:ext uri="{FF2B5EF4-FFF2-40B4-BE49-F238E27FC236}">
              <a16:creationId xmlns:a16="http://schemas.microsoft.com/office/drawing/2014/main" id="{00000000-0008-0000-0700-0000B0F25300}"/>
            </a:ext>
          </a:extLst>
        </xdr:cNvPr>
        <xdr:cNvSpPr>
          <a:spLocks noChangeShapeType="1"/>
        </xdr:cNvSpPr>
      </xdr:nvSpPr>
      <xdr:spPr bwMode="auto">
        <a:xfrm>
          <a:off x="4756150" y="15570200"/>
          <a:ext cx="0" cy="1066800"/>
        </a:xfrm>
        <a:prstGeom prst="line">
          <a:avLst/>
        </a:prstGeom>
        <a:noFill/>
        <a:ln w="6350">
          <a:solidFill>
            <a:srgbClr val="000000"/>
          </a:solidFill>
          <a:round/>
          <a:headEnd type="triangle" w="sm" len="lg"/>
          <a:tailEnd type="triangle" w="sm" len="lg"/>
        </a:ln>
      </xdr:spPr>
    </xdr:sp>
    <xdr:clientData/>
  </xdr:twoCellAnchor>
  <xdr:twoCellAnchor>
    <xdr:from>
      <xdr:col>8</xdr:col>
      <xdr:colOff>488950</xdr:colOff>
      <xdr:row>98</xdr:row>
      <xdr:rowOff>133350</xdr:rowOff>
    </xdr:from>
    <xdr:to>
      <xdr:col>8</xdr:col>
      <xdr:colOff>488950</xdr:colOff>
      <xdr:row>102</xdr:row>
      <xdr:rowOff>95250</xdr:rowOff>
    </xdr:to>
    <xdr:sp macro="" textlink="">
      <xdr:nvSpPr>
        <xdr:cNvPr id="5501617" name="Line 282">
          <a:extLst>
            <a:ext uri="{FF2B5EF4-FFF2-40B4-BE49-F238E27FC236}">
              <a16:creationId xmlns:a16="http://schemas.microsoft.com/office/drawing/2014/main" id="{00000000-0008-0000-0700-0000B1F25300}"/>
            </a:ext>
          </a:extLst>
        </xdr:cNvPr>
        <xdr:cNvSpPr>
          <a:spLocks noChangeShapeType="1"/>
        </xdr:cNvSpPr>
      </xdr:nvSpPr>
      <xdr:spPr bwMode="auto">
        <a:xfrm>
          <a:off x="7080250" y="16440150"/>
          <a:ext cx="0" cy="628650"/>
        </a:xfrm>
        <a:prstGeom prst="line">
          <a:avLst/>
        </a:prstGeom>
        <a:noFill/>
        <a:ln w="6350">
          <a:solidFill>
            <a:srgbClr val="000000"/>
          </a:solidFill>
          <a:round/>
          <a:headEnd type="triangle" w="sm" len="lg"/>
          <a:tailEnd type="triangle" w="sm" len="lg"/>
        </a:ln>
      </xdr:spPr>
    </xdr:sp>
    <xdr:clientData/>
  </xdr:twoCellAnchor>
  <xdr:twoCellAnchor>
    <xdr:from>
      <xdr:col>8</xdr:col>
      <xdr:colOff>488950</xdr:colOff>
      <xdr:row>93</xdr:row>
      <xdr:rowOff>63500</xdr:rowOff>
    </xdr:from>
    <xdr:to>
      <xdr:col>8</xdr:col>
      <xdr:colOff>488950</xdr:colOff>
      <xdr:row>98</xdr:row>
      <xdr:rowOff>133350</xdr:rowOff>
    </xdr:to>
    <xdr:sp macro="" textlink="">
      <xdr:nvSpPr>
        <xdr:cNvPr id="5501618" name="Line 283">
          <a:extLst>
            <a:ext uri="{FF2B5EF4-FFF2-40B4-BE49-F238E27FC236}">
              <a16:creationId xmlns:a16="http://schemas.microsoft.com/office/drawing/2014/main" id="{00000000-0008-0000-0700-0000B2F25300}"/>
            </a:ext>
          </a:extLst>
        </xdr:cNvPr>
        <xdr:cNvSpPr>
          <a:spLocks noChangeShapeType="1"/>
        </xdr:cNvSpPr>
      </xdr:nvSpPr>
      <xdr:spPr bwMode="auto">
        <a:xfrm>
          <a:off x="7080250" y="15557500"/>
          <a:ext cx="0" cy="882650"/>
        </a:xfrm>
        <a:prstGeom prst="line">
          <a:avLst/>
        </a:prstGeom>
        <a:noFill/>
        <a:ln w="6350">
          <a:solidFill>
            <a:srgbClr val="000000"/>
          </a:solidFill>
          <a:round/>
          <a:headEnd type="triangle" w="sm" len="lg"/>
          <a:tailEnd type="triangle" w="sm" len="lg"/>
        </a:ln>
      </xdr:spPr>
    </xdr:sp>
    <xdr:clientData/>
  </xdr:twoCellAnchor>
  <xdr:twoCellAnchor>
    <xdr:from>
      <xdr:col>8</xdr:col>
      <xdr:colOff>0</xdr:colOff>
      <xdr:row>102</xdr:row>
      <xdr:rowOff>95250</xdr:rowOff>
    </xdr:from>
    <xdr:to>
      <xdr:col>8</xdr:col>
      <xdr:colOff>0</xdr:colOff>
      <xdr:row>103</xdr:row>
      <xdr:rowOff>0</xdr:rowOff>
    </xdr:to>
    <xdr:sp macro="" textlink="">
      <xdr:nvSpPr>
        <xdr:cNvPr id="5501619" name="Line 284">
          <a:extLst>
            <a:ext uri="{FF2B5EF4-FFF2-40B4-BE49-F238E27FC236}">
              <a16:creationId xmlns:a16="http://schemas.microsoft.com/office/drawing/2014/main" id="{00000000-0008-0000-0700-0000B3F25300}"/>
            </a:ext>
          </a:extLst>
        </xdr:cNvPr>
        <xdr:cNvSpPr>
          <a:spLocks noChangeShapeType="1"/>
        </xdr:cNvSpPr>
      </xdr:nvSpPr>
      <xdr:spPr bwMode="auto">
        <a:xfrm flipV="1">
          <a:off x="6610350" y="17068800"/>
          <a:ext cx="0" cy="69850"/>
        </a:xfrm>
        <a:prstGeom prst="line">
          <a:avLst/>
        </a:prstGeom>
        <a:noFill/>
        <a:ln w="6350">
          <a:solidFill>
            <a:srgbClr val="000000"/>
          </a:solidFill>
          <a:round/>
          <a:headEnd/>
          <a:tailEnd/>
        </a:ln>
      </xdr:spPr>
    </xdr:sp>
    <xdr:clientData/>
  </xdr:twoCellAnchor>
  <xdr:twoCellAnchor>
    <xdr:from>
      <xdr:col>6</xdr:col>
      <xdr:colOff>1428750</xdr:colOff>
      <xdr:row>99</xdr:row>
      <xdr:rowOff>139700</xdr:rowOff>
    </xdr:from>
    <xdr:to>
      <xdr:col>6</xdr:col>
      <xdr:colOff>1428750</xdr:colOff>
      <xdr:row>103</xdr:row>
      <xdr:rowOff>0</xdr:rowOff>
    </xdr:to>
    <xdr:sp macro="" textlink="">
      <xdr:nvSpPr>
        <xdr:cNvPr id="5501620" name="Line 285">
          <a:extLst>
            <a:ext uri="{FF2B5EF4-FFF2-40B4-BE49-F238E27FC236}">
              <a16:creationId xmlns:a16="http://schemas.microsoft.com/office/drawing/2014/main" id="{00000000-0008-0000-0700-0000B4F25300}"/>
            </a:ext>
          </a:extLst>
        </xdr:cNvPr>
        <xdr:cNvSpPr>
          <a:spLocks noChangeShapeType="1"/>
        </xdr:cNvSpPr>
      </xdr:nvSpPr>
      <xdr:spPr bwMode="auto">
        <a:xfrm flipH="1" flipV="1">
          <a:off x="5708650" y="16605250"/>
          <a:ext cx="0" cy="533400"/>
        </a:xfrm>
        <a:prstGeom prst="line">
          <a:avLst/>
        </a:prstGeom>
        <a:noFill/>
        <a:ln w="6350">
          <a:solidFill>
            <a:srgbClr val="000000"/>
          </a:solidFill>
          <a:round/>
          <a:headEnd/>
          <a:tailEnd/>
        </a:ln>
      </xdr:spPr>
    </xdr:sp>
    <xdr:clientData/>
  </xdr:twoCellAnchor>
  <xdr:twoCellAnchor>
    <xdr:from>
      <xdr:col>6</xdr:col>
      <xdr:colOff>1422400</xdr:colOff>
      <xdr:row>103</xdr:row>
      <xdr:rowOff>0</xdr:rowOff>
    </xdr:from>
    <xdr:to>
      <xdr:col>8</xdr:col>
      <xdr:colOff>0</xdr:colOff>
      <xdr:row>103</xdr:row>
      <xdr:rowOff>0</xdr:rowOff>
    </xdr:to>
    <xdr:sp macro="" textlink="">
      <xdr:nvSpPr>
        <xdr:cNvPr id="5501621" name="Line 286">
          <a:extLst>
            <a:ext uri="{FF2B5EF4-FFF2-40B4-BE49-F238E27FC236}">
              <a16:creationId xmlns:a16="http://schemas.microsoft.com/office/drawing/2014/main" id="{00000000-0008-0000-0700-0000B5F25300}"/>
            </a:ext>
          </a:extLst>
        </xdr:cNvPr>
        <xdr:cNvSpPr>
          <a:spLocks noChangeShapeType="1"/>
        </xdr:cNvSpPr>
      </xdr:nvSpPr>
      <xdr:spPr bwMode="auto">
        <a:xfrm>
          <a:off x="5702300" y="17138650"/>
          <a:ext cx="908050" cy="0"/>
        </a:xfrm>
        <a:prstGeom prst="line">
          <a:avLst/>
        </a:prstGeom>
        <a:noFill/>
        <a:ln w="6350">
          <a:solidFill>
            <a:srgbClr val="000000"/>
          </a:solidFill>
          <a:round/>
          <a:headEnd type="triangle" w="sm" len="lg"/>
          <a:tailEnd type="triangle" w="sm" len="lg"/>
        </a:ln>
      </xdr:spPr>
    </xdr:sp>
    <xdr:clientData/>
  </xdr:twoCellAnchor>
  <xdr:twoCellAnchor>
    <xdr:from>
      <xdr:col>6</xdr:col>
      <xdr:colOff>685800</xdr:colOff>
      <xdr:row>89</xdr:row>
      <xdr:rowOff>69850</xdr:rowOff>
    </xdr:from>
    <xdr:to>
      <xdr:col>6</xdr:col>
      <xdr:colOff>1695450</xdr:colOff>
      <xdr:row>89</xdr:row>
      <xdr:rowOff>69850</xdr:rowOff>
    </xdr:to>
    <xdr:sp macro="" textlink="">
      <xdr:nvSpPr>
        <xdr:cNvPr id="5501622" name="Line 287">
          <a:extLst>
            <a:ext uri="{FF2B5EF4-FFF2-40B4-BE49-F238E27FC236}">
              <a16:creationId xmlns:a16="http://schemas.microsoft.com/office/drawing/2014/main" id="{00000000-0008-0000-0700-0000B6F25300}"/>
            </a:ext>
          </a:extLst>
        </xdr:cNvPr>
        <xdr:cNvSpPr>
          <a:spLocks noChangeShapeType="1"/>
        </xdr:cNvSpPr>
      </xdr:nvSpPr>
      <xdr:spPr bwMode="auto">
        <a:xfrm>
          <a:off x="4965700" y="14916150"/>
          <a:ext cx="1009650" cy="0"/>
        </a:xfrm>
        <a:prstGeom prst="line">
          <a:avLst/>
        </a:prstGeom>
        <a:noFill/>
        <a:ln w="3175">
          <a:solidFill>
            <a:srgbClr val="92D050"/>
          </a:solidFill>
          <a:prstDash val="sysDot"/>
          <a:round/>
          <a:headEnd type="triangle" w="sm" len="sm"/>
          <a:tailEnd type="triangle" w="sm" len="sm"/>
        </a:ln>
      </xdr:spPr>
    </xdr:sp>
    <xdr:clientData/>
  </xdr:twoCellAnchor>
  <xdr:twoCellAnchor>
    <xdr:from>
      <xdr:col>6</xdr:col>
      <xdr:colOff>990600</xdr:colOff>
      <xdr:row>93</xdr:row>
      <xdr:rowOff>25400</xdr:rowOff>
    </xdr:from>
    <xdr:to>
      <xdr:col>6</xdr:col>
      <xdr:colOff>1397000</xdr:colOff>
      <xdr:row>93</xdr:row>
      <xdr:rowOff>25400</xdr:rowOff>
    </xdr:to>
    <xdr:sp macro="" textlink="">
      <xdr:nvSpPr>
        <xdr:cNvPr id="5501623" name="Line 288">
          <a:extLst>
            <a:ext uri="{FF2B5EF4-FFF2-40B4-BE49-F238E27FC236}">
              <a16:creationId xmlns:a16="http://schemas.microsoft.com/office/drawing/2014/main" id="{00000000-0008-0000-0700-0000B7F25300}"/>
            </a:ext>
          </a:extLst>
        </xdr:cNvPr>
        <xdr:cNvSpPr>
          <a:spLocks noChangeShapeType="1"/>
        </xdr:cNvSpPr>
      </xdr:nvSpPr>
      <xdr:spPr bwMode="auto">
        <a:xfrm>
          <a:off x="5270500" y="15519400"/>
          <a:ext cx="406400" cy="0"/>
        </a:xfrm>
        <a:prstGeom prst="line">
          <a:avLst/>
        </a:prstGeom>
        <a:noFill/>
        <a:ln w="3175">
          <a:solidFill>
            <a:srgbClr val="92D050"/>
          </a:solidFill>
          <a:prstDash val="sysDot"/>
          <a:round/>
          <a:headEnd type="triangle" w="sm" len="sm"/>
          <a:tailEnd type="triangle" w="sm" len="sm"/>
        </a:ln>
      </xdr:spPr>
    </xdr:sp>
    <xdr:clientData/>
  </xdr:twoCellAnchor>
  <xdr:twoCellAnchor>
    <xdr:from>
      <xdr:col>6</xdr:col>
      <xdr:colOff>850900</xdr:colOff>
      <xdr:row>87</xdr:row>
      <xdr:rowOff>57150</xdr:rowOff>
    </xdr:from>
    <xdr:to>
      <xdr:col>8</xdr:col>
      <xdr:colOff>44450</xdr:colOff>
      <xdr:row>87</xdr:row>
      <xdr:rowOff>57150</xdr:rowOff>
    </xdr:to>
    <xdr:sp macro="" textlink="">
      <xdr:nvSpPr>
        <xdr:cNvPr id="5501624" name="Line 289">
          <a:extLst>
            <a:ext uri="{FF2B5EF4-FFF2-40B4-BE49-F238E27FC236}">
              <a16:creationId xmlns:a16="http://schemas.microsoft.com/office/drawing/2014/main" id="{00000000-0008-0000-0700-0000B8F25300}"/>
            </a:ext>
          </a:extLst>
        </xdr:cNvPr>
        <xdr:cNvSpPr>
          <a:spLocks noChangeShapeType="1"/>
        </xdr:cNvSpPr>
      </xdr:nvSpPr>
      <xdr:spPr bwMode="auto">
        <a:xfrm>
          <a:off x="5130800" y="14579600"/>
          <a:ext cx="1524000" cy="0"/>
        </a:xfrm>
        <a:prstGeom prst="line">
          <a:avLst/>
        </a:prstGeom>
        <a:noFill/>
        <a:ln w="6350">
          <a:solidFill>
            <a:srgbClr val="92D050"/>
          </a:solidFill>
          <a:round/>
          <a:headEnd/>
          <a:tailEnd/>
        </a:ln>
      </xdr:spPr>
    </xdr:sp>
    <xdr:clientData/>
  </xdr:twoCellAnchor>
  <xdr:twoCellAnchor>
    <xdr:from>
      <xdr:col>6</xdr:col>
      <xdr:colOff>698500</xdr:colOff>
      <xdr:row>88</xdr:row>
      <xdr:rowOff>57150</xdr:rowOff>
    </xdr:from>
    <xdr:to>
      <xdr:col>8</xdr:col>
      <xdr:colOff>57150</xdr:colOff>
      <xdr:row>88</xdr:row>
      <xdr:rowOff>57150</xdr:rowOff>
    </xdr:to>
    <xdr:sp macro="" textlink="">
      <xdr:nvSpPr>
        <xdr:cNvPr id="5501625" name="Line 290">
          <a:extLst>
            <a:ext uri="{FF2B5EF4-FFF2-40B4-BE49-F238E27FC236}">
              <a16:creationId xmlns:a16="http://schemas.microsoft.com/office/drawing/2014/main" id="{00000000-0008-0000-0700-0000B9F25300}"/>
            </a:ext>
          </a:extLst>
        </xdr:cNvPr>
        <xdr:cNvSpPr>
          <a:spLocks noChangeShapeType="1"/>
        </xdr:cNvSpPr>
      </xdr:nvSpPr>
      <xdr:spPr bwMode="auto">
        <a:xfrm>
          <a:off x="4978400" y="14738350"/>
          <a:ext cx="1689100" cy="0"/>
        </a:xfrm>
        <a:prstGeom prst="line">
          <a:avLst/>
        </a:prstGeom>
        <a:noFill/>
        <a:ln w="6350">
          <a:solidFill>
            <a:srgbClr val="92D050"/>
          </a:solidFill>
          <a:round/>
          <a:headEnd/>
          <a:tailEnd/>
        </a:ln>
      </xdr:spPr>
    </xdr:sp>
    <xdr:clientData/>
  </xdr:twoCellAnchor>
  <xdr:twoCellAnchor>
    <xdr:from>
      <xdr:col>6</xdr:col>
      <xdr:colOff>698500</xdr:colOff>
      <xdr:row>90</xdr:row>
      <xdr:rowOff>139700</xdr:rowOff>
    </xdr:from>
    <xdr:to>
      <xdr:col>8</xdr:col>
      <xdr:colOff>69850</xdr:colOff>
      <xdr:row>90</xdr:row>
      <xdr:rowOff>139700</xdr:rowOff>
    </xdr:to>
    <xdr:sp macro="" textlink="">
      <xdr:nvSpPr>
        <xdr:cNvPr id="5501626" name="Line 291">
          <a:extLst>
            <a:ext uri="{FF2B5EF4-FFF2-40B4-BE49-F238E27FC236}">
              <a16:creationId xmlns:a16="http://schemas.microsoft.com/office/drawing/2014/main" id="{00000000-0008-0000-0700-0000BAF25300}"/>
            </a:ext>
          </a:extLst>
        </xdr:cNvPr>
        <xdr:cNvSpPr>
          <a:spLocks noChangeShapeType="1"/>
        </xdr:cNvSpPr>
      </xdr:nvSpPr>
      <xdr:spPr bwMode="auto">
        <a:xfrm>
          <a:off x="4978400" y="15157450"/>
          <a:ext cx="1701800" cy="0"/>
        </a:xfrm>
        <a:prstGeom prst="line">
          <a:avLst/>
        </a:prstGeom>
        <a:noFill/>
        <a:ln w="6350">
          <a:solidFill>
            <a:srgbClr val="92D050"/>
          </a:solidFill>
          <a:round/>
          <a:headEnd/>
          <a:tailEnd/>
        </a:ln>
      </xdr:spPr>
    </xdr:sp>
    <xdr:clientData/>
  </xdr:twoCellAnchor>
  <xdr:twoCellAnchor>
    <xdr:from>
      <xdr:col>6</xdr:col>
      <xdr:colOff>977900</xdr:colOff>
      <xdr:row>92</xdr:row>
      <xdr:rowOff>44450</xdr:rowOff>
    </xdr:from>
    <xdr:to>
      <xdr:col>8</xdr:col>
      <xdr:colOff>44450</xdr:colOff>
      <xdr:row>92</xdr:row>
      <xdr:rowOff>44450</xdr:rowOff>
    </xdr:to>
    <xdr:sp macro="" textlink="">
      <xdr:nvSpPr>
        <xdr:cNvPr id="5501627" name="Line 292">
          <a:extLst>
            <a:ext uri="{FF2B5EF4-FFF2-40B4-BE49-F238E27FC236}">
              <a16:creationId xmlns:a16="http://schemas.microsoft.com/office/drawing/2014/main" id="{00000000-0008-0000-0700-0000BBF25300}"/>
            </a:ext>
          </a:extLst>
        </xdr:cNvPr>
        <xdr:cNvSpPr>
          <a:spLocks noChangeShapeType="1"/>
        </xdr:cNvSpPr>
      </xdr:nvSpPr>
      <xdr:spPr bwMode="auto">
        <a:xfrm>
          <a:off x="5257800" y="15379700"/>
          <a:ext cx="1397000" cy="0"/>
        </a:xfrm>
        <a:prstGeom prst="line">
          <a:avLst/>
        </a:prstGeom>
        <a:noFill/>
        <a:ln w="6350">
          <a:solidFill>
            <a:srgbClr val="92D050"/>
          </a:solidFill>
          <a:round/>
          <a:headEnd/>
          <a:tailEnd/>
        </a:ln>
      </xdr:spPr>
    </xdr:sp>
    <xdr:clientData/>
  </xdr:twoCellAnchor>
  <xdr:twoCellAnchor>
    <xdr:from>
      <xdr:col>6</xdr:col>
      <xdr:colOff>1790700</xdr:colOff>
      <xdr:row>80</xdr:row>
      <xdr:rowOff>0</xdr:rowOff>
    </xdr:from>
    <xdr:to>
      <xdr:col>6</xdr:col>
      <xdr:colOff>1790700</xdr:colOff>
      <xdr:row>87</xdr:row>
      <xdr:rowOff>63500</xdr:rowOff>
    </xdr:to>
    <xdr:sp macro="" textlink="">
      <xdr:nvSpPr>
        <xdr:cNvPr id="5501628" name="Line 293">
          <a:extLst>
            <a:ext uri="{FF2B5EF4-FFF2-40B4-BE49-F238E27FC236}">
              <a16:creationId xmlns:a16="http://schemas.microsoft.com/office/drawing/2014/main" id="{00000000-0008-0000-0700-0000BCF25300}"/>
            </a:ext>
          </a:extLst>
        </xdr:cNvPr>
        <xdr:cNvSpPr>
          <a:spLocks noChangeShapeType="1"/>
        </xdr:cNvSpPr>
      </xdr:nvSpPr>
      <xdr:spPr bwMode="auto">
        <a:xfrm>
          <a:off x="6070600" y="13354050"/>
          <a:ext cx="0" cy="1231900"/>
        </a:xfrm>
        <a:prstGeom prst="line">
          <a:avLst/>
        </a:prstGeom>
        <a:noFill/>
        <a:ln w="9525">
          <a:solidFill>
            <a:srgbClr val="92D050"/>
          </a:solidFill>
          <a:prstDash val="sysDot"/>
          <a:round/>
          <a:headEnd type="triangle" w="sm" len="sm"/>
          <a:tailEnd type="triangle" w="sm" len="sm"/>
        </a:ln>
      </xdr:spPr>
    </xdr:sp>
    <xdr:clientData/>
  </xdr:twoCellAnchor>
  <xdr:twoCellAnchor>
    <xdr:from>
      <xdr:col>7</xdr:col>
      <xdr:colOff>190500</xdr:colOff>
      <xdr:row>80</xdr:row>
      <xdr:rowOff>0</xdr:rowOff>
    </xdr:from>
    <xdr:to>
      <xdr:col>7</xdr:col>
      <xdr:colOff>190500</xdr:colOff>
      <xdr:row>90</xdr:row>
      <xdr:rowOff>133350</xdr:rowOff>
    </xdr:to>
    <xdr:sp macro="" textlink="">
      <xdr:nvSpPr>
        <xdr:cNvPr id="5501629" name="Line 294">
          <a:extLst>
            <a:ext uri="{FF2B5EF4-FFF2-40B4-BE49-F238E27FC236}">
              <a16:creationId xmlns:a16="http://schemas.microsoft.com/office/drawing/2014/main" id="{00000000-0008-0000-0700-0000BDF25300}"/>
            </a:ext>
          </a:extLst>
        </xdr:cNvPr>
        <xdr:cNvSpPr>
          <a:spLocks noChangeShapeType="1"/>
        </xdr:cNvSpPr>
      </xdr:nvSpPr>
      <xdr:spPr bwMode="auto">
        <a:xfrm>
          <a:off x="6330950" y="13354050"/>
          <a:ext cx="0" cy="1797050"/>
        </a:xfrm>
        <a:prstGeom prst="line">
          <a:avLst/>
        </a:prstGeom>
        <a:noFill/>
        <a:ln w="9525">
          <a:solidFill>
            <a:srgbClr val="92D050"/>
          </a:solidFill>
          <a:prstDash val="sysDot"/>
          <a:round/>
          <a:headEnd type="triangle" w="sm" len="sm"/>
          <a:tailEnd type="triangle" w="sm" len="sm"/>
        </a:ln>
      </xdr:spPr>
    </xdr:sp>
    <xdr:clientData/>
  </xdr:twoCellAnchor>
  <xdr:twoCellAnchor>
    <xdr:from>
      <xdr:col>8</xdr:col>
      <xdr:colOff>44450</xdr:colOff>
      <xdr:row>87</xdr:row>
      <xdr:rowOff>57150</xdr:rowOff>
    </xdr:from>
    <xdr:to>
      <xdr:col>8</xdr:col>
      <xdr:colOff>44450</xdr:colOff>
      <xdr:row>88</xdr:row>
      <xdr:rowOff>57150</xdr:rowOff>
    </xdr:to>
    <xdr:sp macro="" textlink="">
      <xdr:nvSpPr>
        <xdr:cNvPr id="5501630" name="Line 295">
          <a:extLst>
            <a:ext uri="{FF2B5EF4-FFF2-40B4-BE49-F238E27FC236}">
              <a16:creationId xmlns:a16="http://schemas.microsoft.com/office/drawing/2014/main" id="{00000000-0008-0000-0700-0000BEF25300}"/>
            </a:ext>
          </a:extLst>
        </xdr:cNvPr>
        <xdr:cNvSpPr>
          <a:spLocks noChangeShapeType="1"/>
        </xdr:cNvSpPr>
      </xdr:nvSpPr>
      <xdr:spPr bwMode="auto">
        <a:xfrm>
          <a:off x="6654800" y="14579600"/>
          <a:ext cx="0" cy="158750"/>
        </a:xfrm>
        <a:prstGeom prst="line">
          <a:avLst/>
        </a:prstGeom>
        <a:noFill/>
        <a:ln w="3175">
          <a:solidFill>
            <a:srgbClr val="92D050"/>
          </a:solidFill>
          <a:prstDash val="sysDot"/>
          <a:round/>
          <a:headEnd type="triangle" w="sm" len="sm"/>
          <a:tailEnd type="triangle" w="sm" len="sm"/>
        </a:ln>
      </xdr:spPr>
    </xdr:sp>
    <xdr:clientData/>
  </xdr:twoCellAnchor>
  <xdr:twoCellAnchor>
    <xdr:from>
      <xdr:col>8</xdr:col>
      <xdr:colOff>44450</xdr:colOff>
      <xdr:row>90</xdr:row>
      <xdr:rowOff>139700</xdr:rowOff>
    </xdr:from>
    <xdr:to>
      <xdr:col>8</xdr:col>
      <xdr:colOff>44450</xdr:colOff>
      <xdr:row>92</xdr:row>
      <xdr:rowOff>44450</xdr:rowOff>
    </xdr:to>
    <xdr:sp macro="" textlink="">
      <xdr:nvSpPr>
        <xdr:cNvPr id="5501631" name="Line 296">
          <a:extLst>
            <a:ext uri="{FF2B5EF4-FFF2-40B4-BE49-F238E27FC236}">
              <a16:creationId xmlns:a16="http://schemas.microsoft.com/office/drawing/2014/main" id="{00000000-0008-0000-0700-0000BFF25300}"/>
            </a:ext>
          </a:extLst>
        </xdr:cNvPr>
        <xdr:cNvSpPr>
          <a:spLocks noChangeShapeType="1"/>
        </xdr:cNvSpPr>
      </xdr:nvSpPr>
      <xdr:spPr bwMode="auto">
        <a:xfrm>
          <a:off x="6654800" y="15157450"/>
          <a:ext cx="0" cy="222250"/>
        </a:xfrm>
        <a:prstGeom prst="line">
          <a:avLst/>
        </a:prstGeom>
        <a:noFill/>
        <a:ln w="9525">
          <a:solidFill>
            <a:srgbClr val="92D050"/>
          </a:solidFill>
          <a:prstDash val="sysDot"/>
          <a:round/>
          <a:headEnd type="triangle" w="sm" len="sm"/>
          <a:tailEnd type="triangle" w="sm" len="sm"/>
        </a:ln>
      </xdr:spPr>
    </xdr:sp>
    <xdr:clientData/>
  </xdr:twoCellAnchor>
  <xdr:twoCellAnchor>
    <xdr:from>
      <xdr:col>6</xdr:col>
      <xdr:colOff>0</xdr:colOff>
      <xdr:row>84</xdr:row>
      <xdr:rowOff>101600</xdr:rowOff>
    </xdr:from>
    <xdr:to>
      <xdr:col>6</xdr:col>
      <xdr:colOff>838200</xdr:colOff>
      <xdr:row>84</xdr:row>
      <xdr:rowOff>101600</xdr:rowOff>
    </xdr:to>
    <xdr:sp macro="" textlink="">
      <xdr:nvSpPr>
        <xdr:cNvPr id="5501632" name="Line 297">
          <a:extLst>
            <a:ext uri="{FF2B5EF4-FFF2-40B4-BE49-F238E27FC236}">
              <a16:creationId xmlns:a16="http://schemas.microsoft.com/office/drawing/2014/main" id="{00000000-0008-0000-0700-0000C0F25300}"/>
            </a:ext>
          </a:extLst>
        </xdr:cNvPr>
        <xdr:cNvSpPr>
          <a:spLocks noChangeShapeType="1"/>
        </xdr:cNvSpPr>
      </xdr:nvSpPr>
      <xdr:spPr bwMode="auto">
        <a:xfrm>
          <a:off x="4279900" y="14128750"/>
          <a:ext cx="838200" cy="0"/>
        </a:xfrm>
        <a:prstGeom prst="line">
          <a:avLst/>
        </a:prstGeom>
        <a:noFill/>
        <a:ln w="9525">
          <a:solidFill>
            <a:srgbClr val="000000"/>
          </a:solidFill>
          <a:round/>
          <a:headEnd/>
          <a:tailEnd/>
        </a:ln>
      </xdr:spPr>
    </xdr:sp>
    <xdr:clientData/>
  </xdr:twoCellAnchor>
  <xdr:twoCellAnchor>
    <xdr:from>
      <xdr:col>6</xdr:col>
      <xdr:colOff>0</xdr:colOff>
      <xdr:row>89</xdr:row>
      <xdr:rowOff>69850</xdr:rowOff>
    </xdr:from>
    <xdr:to>
      <xdr:col>6</xdr:col>
      <xdr:colOff>685800</xdr:colOff>
      <xdr:row>89</xdr:row>
      <xdr:rowOff>69850</xdr:rowOff>
    </xdr:to>
    <xdr:sp macro="" textlink="">
      <xdr:nvSpPr>
        <xdr:cNvPr id="5501633" name="Line 298">
          <a:extLst>
            <a:ext uri="{FF2B5EF4-FFF2-40B4-BE49-F238E27FC236}">
              <a16:creationId xmlns:a16="http://schemas.microsoft.com/office/drawing/2014/main" id="{00000000-0008-0000-0700-0000C1F25300}"/>
            </a:ext>
          </a:extLst>
        </xdr:cNvPr>
        <xdr:cNvSpPr>
          <a:spLocks noChangeShapeType="1"/>
        </xdr:cNvSpPr>
      </xdr:nvSpPr>
      <xdr:spPr bwMode="auto">
        <a:xfrm>
          <a:off x="4279900" y="14916150"/>
          <a:ext cx="685800" cy="0"/>
        </a:xfrm>
        <a:prstGeom prst="line">
          <a:avLst/>
        </a:prstGeom>
        <a:noFill/>
        <a:ln w="9525">
          <a:solidFill>
            <a:srgbClr val="92D050"/>
          </a:solidFill>
          <a:round/>
          <a:headEnd/>
          <a:tailEnd/>
        </a:ln>
      </xdr:spPr>
    </xdr:sp>
    <xdr:clientData/>
  </xdr:twoCellAnchor>
  <xdr:twoCellAnchor>
    <xdr:from>
      <xdr:col>6</xdr:col>
      <xdr:colOff>0</xdr:colOff>
      <xdr:row>93</xdr:row>
      <xdr:rowOff>25400</xdr:rowOff>
    </xdr:from>
    <xdr:to>
      <xdr:col>6</xdr:col>
      <xdr:colOff>971550</xdr:colOff>
      <xdr:row>93</xdr:row>
      <xdr:rowOff>25400</xdr:rowOff>
    </xdr:to>
    <xdr:sp macro="" textlink="">
      <xdr:nvSpPr>
        <xdr:cNvPr id="5501634" name="Line 299">
          <a:extLst>
            <a:ext uri="{FF2B5EF4-FFF2-40B4-BE49-F238E27FC236}">
              <a16:creationId xmlns:a16="http://schemas.microsoft.com/office/drawing/2014/main" id="{00000000-0008-0000-0700-0000C2F25300}"/>
            </a:ext>
          </a:extLst>
        </xdr:cNvPr>
        <xdr:cNvSpPr>
          <a:spLocks noChangeShapeType="1"/>
        </xdr:cNvSpPr>
      </xdr:nvSpPr>
      <xdr:spPr bwMode="auto">
        <a:xfrm>
          <a:off x="4279900" y="15519400"/>
          <a:ext cx="971550" cy="0"/>
        </a:xfrm>
        <a:prstGeom prst="line">
          <a:avLst/>
        </a:prstGeom>
        <a:noFill/>
        <a:ln w="9525">
          <a:solidFill>
            <a:srgbClr val="92D050"/>
          </a:solidFill>
          <a:round/>
          <a:headEnd/>
          <a:tailEnd/>
        </a:ln>
      </xdr:spPr>
    </xdr:sp>
    <xdr:clientData/>
  </xdr:twoCellAnchor>
  <xdr:twoCellAnchor>
    <xdr:from>
      <xdr:col>6</xdr:col>
      <xdr:colOff>0</xdr:colOff>
      <xdr:row>96</xdr:row>
      <xdr:rowOff>76200</xdr:rowOff>
    </xdr:from>
    <xdr:to>
      <xdr:col>6</xdr:col>
      <xdr:colOff>476250</xdr:colOff>
      <xdr:row>96</xdr:row>
      <xdr:rowOff>76200</xdr:rowOff>
    </xdr:to>
    <xdr:sp macro="" textlink="">
      <xdr:nvSpPr>
        <xdr:cNvPr id="5501635" name="Line 300">
          <a:extLst>
            <a:ext uri="{FF2B5EF4-FFF2-40B4-BE49-F238E27FC236}">
              <a16:creationId xmlns:a16="http://schemas.microsoft.com/office/drawing/2014/main" id="{00000000-0008-0000-0700-0000C3F25300}"/>
            </a:ext>
          </a:extLst>
        </xdr:cNvPr>
        <xdr:cNvSpPr>
          <a:spLocks noChangeShapeType="1"/>
        </xdr:cNvSpPr>
      </xdr:nvSpPr>
      <xdr:spPr bwMode="auto">
        <a:xfrm>
          <a:off x="4279900" y="16052800"/>
          <a:ext cx="476250" cy="0"/>
        </a:xfrm>
        <a:prstGeom prst="line">
          <a:avLst/>
        </a:prstGeom>
        <a:noFill/>
        <a:ln w="9525">
          <a:solidFill>
            <a:srgbClr val="000000"/>
          </a:solidFill>
          <a:round/>
          <a:headEnd/>
          <a:tailEnd/>
        </a:ln>
      </xdr:spPr>
    </xdr:sp>
    <xdr:clientData/>
  </xdr:twoCellAnchor>
  <xdr:twoCellAnchor>
    <xdr:from>
      <xdr:col>7</xdr:col>
      <xdr:colOff>152400</xdr:colOff>
      <xdr:row>103</xdr:row>
      <xdr:rowOff>0</xdr:rowOff>
    </xdr:from>
    <xdr:to>
      <xdr:col>7</xdr:col>
      <xdr:colOff>152400</xdr:colOff>
      <xdr:row>104</xdr:row>
      <xdr:rowOff>12700</xdr:rowOff>
    </xdr:to>
    <xdr:sp macro="" textlink="">
      <xdr:nvSpPr>
        <xdr:cNvPr id="5501636" name="Line 301">
          <a:extLst>
            <a:ext uri="{FF2B5EF4-FFF2-40B4-BE49-F238E27FC236}">
              <a16:creationId xmlns:a16="http://schemas.microsoft.com/office/drawing/2014/main" id="{00000000-0008-0000-0700-0000C4F25300}"/>
            </a:ext>
          </a:extLst>
        </xdr:cNvPr>
        <xdr:cNvSpPr>
          <a:spLocks noChangeShapeType="1"/>
        </xdr:cNvSpPr>
      </xdr:nvSpPr>
      <xdr:spPr bwMode="auto">
        <a:xfrm>
          <a:off x="6292850" y="17138650"/>
          <a:ext cx="0" cy="184150"/>
        </a:xfrm>
        <a:prstGeom prst="line">
          <a:avLst/>
        </a:prstGeom>
        <a:noFill/>
        <a:ln w="9525">
          <a:solidFill>
            <a:srgbClr val="000000"/>
          </a:solidFill>
          <a:round/>
          <a:headEnd/>
          <a:tailEnd/>
        </a:ln>
      </xdr:spPr>
    </xdr:sp>
    <xdr:clientData/>
  </xdr:twoCellAnchor>
  <xdr:twoCellAnchor>
    <xdr:from>
      <xdr:col>6</xdr:col>
      <xdr:colOff>0</xdr:colOff>
      <xdr:row>81</xdr:row>
      <xdr:rowOff>76200</xdr:rowOff>
    </xdr:from>
    <xdr:to>
      <xdr:col>6</xdr:col>
      <xdr:colOff>152400</xdr:colOff>
      <xdr:row>81</xdr:row>
      <xdr:rowOff>76200</xdr:rowOff>
    </xdr:to>
    <xdr:sp macro="" textlink="">
      <xdr:nvSpPr>
        <xdr:cNvPr id="5501637" name="Line 302">
          <a:extLst>
            <a:ext uri="{FF2B5EF4-FFF2-40B4-BE49-F238E27FC236}">
              <a16:creationId xmlns:a16="http://schemas.microsoft.com/office/drawing/2014/main" id="{00000000-0008-0000-0700-0000C5F25300}"/>
            </a:ext>
          </a:extLst>
        </xdr:cNvPr>
        <xdr:cNvSpPr>
          <a:spLocks noChangeShapeType="1"/>
        </xdr:cNvSpPr>
      </xdr:nvSpPr>
      <xdr:spPr bwMode="auto">
        <a:xfrm>
          <a:off x="4279900" y="13601700"/>
          <a:ext cx="152400" cy="0"/>
        </a:xfrm>
        <a:prstGeom prst="line">
          <a:avLst/>
        </a:prstGeom>
        <a:noFill/>
        <a:ln w="9525">
          <a:solidFill>
            <a:srgbClr val="000000"/>
          </a:solidFill>
          <a:round/>
          <a:headEnd/>
          <a:tailEnd/>
        </a:ln>
      </xdr:spPr>
    </xdr:sp>
    <xdr:clientData/>
  </xdr:twoCellAnchor>
  <xdr:twoCellAnchor>
    <xdr:from>
      <xdr:col>6</xdr:col>
      <xdr:colOff>1778000</xdr:colOff>
      <xdr:row>83</xdr:row>
      <xdr:rowOff>82550</xdr:rowOff>
    </xdr:from>
    <xdr:to>
      <xdr:col>9</xdr:col>
      <xdr:colOff>0</xdr:colOff>
      <xdr:row>83</xdr:row>
      <xdr:rowOff>82550</xdr:rowOff>
    </xdr:to>
    <xdr:sp macro="" textlink="">
      <xdr:nvSpPr>
        <xdr:cNvPr id="5501638" name="Line 303">
          <a:extLst>
            <a:ext uri="{FF2B5EF4-FFF2-40B4-BE49-F238E27FC236}">
              <a16:creationId xmlns:a16="http://schemas.microsoft.com/office/drawing/2014/main" id="{00000000-0008-0000-0700-0000C6F25300}"/>
            </a:ext>
          </a:extLst>
        </xdr:cNvPr>
        <xdr:cNvSpPr>
          <a:spLocks noChangeShapeType="1"/>
        </xdr:cNvSpPr>
      </xdr:nvSpPr>
      <xdr:spPr bwMode="auto">
        <a:xfrm flipV="1">
          <a:off x="6057900" y="13944600"/>
          <a:ext cx="1022350" cy="0"/>
        </a:xfrm>
        <a:prstGeom prst="line">
          <a:avLst/>
        </a:prstGeom>
        <a:noFill/>
        <a:ln w="9525">
          <a:solidFill>
            <a:srgbClr val="92D050"/>
          </a:solidFill>
          <a:prstDash val="sysDot"/>
          <a:round/>
          <a:headEnd/>
          <a:tailEnd/>
        </a:ln>
      </xdr:spPr>
    </xdr:sp>
    <xdr:clientData/>
  </xdr:twoCellAnchor>
  <xdr:twoCellAnchor>
    <xdr:from>
      <xdr:col>7</xdr:col>
      <xdr:colOff>190500</xdr:colOff>
      <xdr:row>85</xdr:row>
      <xdr:rowOff>76200</xdr:rowOff>
    </xdr:from>
    <xdr:to>
      <xdr:col>9</xdr:col>
      <xdr:colOff>0</xdr:colOff>
      <xdr:row>85</xdr:row>
      <xdr:rowOff>76200</xdr:rowOff>
    </xdr:to>
    <xdr:sp macro="" textlink="">
      <xdr:nvSpPr>
        <xdr:cNvPr id="5501639" name="Line 304">
          <a:extLst>
            <a:ext uri="{FF2B5EF4-FFF2-40B4-BE49-F238E27FC236}">
              <a16:creationId xmlns:a16="http://schemas.microsoft.com/office/drawing/2014/main" id="{00000000-0008-0000-0700-0000C7F25300}"/>
            </a:ext>
          </a:extLst>
        </xdr:cNvPr>
        <xdr:cNvSpPr>
          <a:spLocks noChangeShapeType="1"/>
        </xdr:cNvSpPr>
      </xdr:nvSpPr>
      <xdr:spPr bwMode="auto">
        <a:xfrm flipV="1">
          <a:off x="6330950" y="14274800"/>
          <a:ext cx="749300" cy="0"/>
        </a:xfrm>
        <a:prstGeom prst="line">
          <a:avLst/>
        </a:prstGeom>
        <a:noFill/>
        <a:ln w="9525">
          <a:solidFill>
            <a:srgbClr val="92D050"/>
          </a:solidFill>
          <a:prstDash val="sysDot"/>
          <a:round/>
          <a:headEnd/>
          <a:tailEnd/>
        </a:ln>
      </xdr:spPr>
    </xdr:sp>
    <xdr:clientData/>
  </xdr:twoCellAnchor>
  <xdr:twoCellAnchor>
    <xdr:from>
      <xdr:col>8</xdr:col>
      <xdr:colOff>44450</xdr:colOff>
      <xdr:row>87</xdr:row>
      <xdr:rowOff>133350</xdr:rowOff>
    </xdr:from>
    <xdr:to>
      <xdr:col>9</xdr:col>
      <xdr:colOff>0</xdr:colOff>
      <xdr:row>87</xdr:row>
      <xdr:rowOff>133350</xdr:rowOff>
    </xdr:to>
    <xdr:sp macro="" textlink="">
      <xdr:nvSpPr>
        <xdr:cNvPr id="5501640" name="Line 305">
          <a:extLst>
            <a:ext uri="{FF2B5EF4-FFF2-40B4-BE49-F238E27FC236}">
              <a16:creationId xmlns:a16="http://schemas.microsoft.com/office/drawing/2014/main" id="{00000000-0008-0000-0700-0000C8F25300}"/>
            </a:ext>
          </a:extLst>
        </xdr:cNvPr>
        <xdr:cNvSpPr>
          <a:spLocks noChangeShapeType="1"/>
        </xdr:cNvSpPr>
      </xdr:nvSpPr>
      <xdr:spPr bwMode="auto">
        <a:xfrm flipV="1">
          <a:off x="6654800" y="14655800"/>
          <a:ext cx="425450" cy="0"/>
        </a:xfrm>
        <a:prstGeom prst="line">
          <a:avLst/>
        </a:prstGeom>
        <a:noFill/>
        <a:ln w="9525">
          <a:solidFill>
            <a:srgbClr val="92D050"/>
          </a:solidFill>
          <a:prstDash val="sysDot"/>
          <a:round/>
          <a:headEnd/>
          <a:tailEnd/>
        </a:ln>
      </xdr:spPr>
    </xdr:sp>
    <xdr:clientData/>
  </xdr:twoCellAnchor>
  <xdr:twoCellAnchor>
    <xdr:from>
      <xdr:col>8</xdr:col>
      <xdr:colOff>488950</xdr:colOff>
      <xdr:row>89</xdr:row>
      <xdr:rowOff>88900</xdr:rowOff>
    </xdr:from>
    <xdr:to>
      <xdr:col>9</xdr:col>
      <xdr:colOff>0</xdr:colOff>
      <xdr:row>89</xdr:row>
      <xdr:rowOff>88900</xdr:rowOff>
    </xdr:to>
    <xdr:sp macro="" textlink="">
      <xdr:nvSpPr>
        <xdr:cNvPr id="5501641" name="Line 307">
          <a:extLst>
            <a:ext uri="{FF2B5EF4-FFF2-40B4-BE49-F238E27FC236}">
              <a16:creationId xmlns:a16="http://schemas.microsoft.com/office/drawing/2014/main" id="{00000000-0008-0000-0700-0000C9F25300}"/>
            </a:ext>
          </a:extLst>
        </xdr:cNvPr>
        <xdr:cNvSpPr>
          <a:spLocks noChangeShapeType="1"/>
        </xdr:cNvSpPr>
      </xdr:nvSpPr>
      <xdr:spPr bwMode="auto">
        <a:xfrm flipV="1">
          <a:off x="7080250" y="14935200"/>
          <a:ext cx="0" cy="0"/>
        </a:xfrm>
        <a:prstGeom prst="line">
          <a:avLst/>
        </a:prstGeom>
        <a:noFill/>
        <a:ln w="9525">
          <a:solidFill>
            <a:srgbClr val="000000"/>
          </a:solidFill>
          <a:round/>
          <a:headEnd/>
          <a:tailEnd/>
        </a:ln>
      </xdr:spPr>
    </xdr:sp>
    <xdr:clientData/>
  </xdr:twoCellAnchor>
  <xdr:twoCellAnchor>
    <xdr:from>
      <xdr:col>8</xdr:col>
      <xdr:colOff>44450</xdr:colOff>
      <xdr:row>91</xdr:row>
      <xdr:rowOff>76200</xdr:rowOff>
    </xdr:from>
    <xdr:to>
      <xdr:col>9</xdr:col>
      <xdr:colOff>12700</xdr:colOff>
      <xdr:row>91</xdr:row>
      <xdr:rowOff>76200</xdr:rowOff>
    </xdr:to>
    <xdr:sp macro="" textlink="">
      <xdr:nvSpPr>
        <xdr:cNvPr id="5501642" name="Line 308">
          <a:extLst>
            <a:ext uri="{FF2B5EF4-FFF2-40B4-BE49-F238E27FC236}">
              <a16:creationId xmlns:a16="http://schemas.microsoft.com/office/drawing/2014/main" id="{00000000-0008-0000-0700-0000CAF25300}"/>
            </a:ext>
          </a:extLst>
        </xdr:cNvPr>
        <xdr:cNvSpPr>
          <a:spLocks noChangeShapeType="1"/>
        </xdr:cNvSpPr>
      </xdr:nvSpPr>
      <xdr:spPr bwMode="auto">
        <a:xfrm flipH="1" flipV="1">
          <a:off x="6654800" y="15252700"/>
          <a:ext cx="438150" cy="0"/>
        </a:xfrm>
        <a:prstGeom prst="line">
          <a:avLst/>
        </a:prstGeom>
        <a:noFill/>
        <a:ln w="9525">
          <a:solidFill>
            <a:srgbClr val="92D050"/>
          </a:solidFill>
          <a:prstDash val="sysDot"/>
          <a:round/>
          <a:headEnd type="none" w="sm" len="sm"/>
          <a:tailEnd type="none" w="sm" len="sm"/>
        </a:ln>
      </xdr:spPr>
    </xdr:sp>
    <xdr:clientData/>
  </xdr:twoCellAnchor>
  <xdr:twoCellAnchor>
    <xdr:from>
      <xdr:col>8</xdr:col>
      <xdr:colOff>488950</xdr:colOff>
      <xdr:row>96</xdr:row>
      <xdr:rowOff>76200</xdr:rowOff>
    </xdr:from>
    <xdr:to>
      <xdr:col>9</xdr:col>
      <xdr:colOff>0</xdr:colOff>
      <xdr:row>96</xdr:row>
      <xdr:rowOff>76200</xdr:rowOff>
    </xdr:to>
    <xdr:sp macro="" textlink="">
      <xdr:nvSpPr>
        <xdr:cNvPr id="5501643" name="Line 309">
          <a:extLst>
            <a:ext uri="{FF2B5EF4-FFF2-40B4-BE49-F238E27FC236}">
              <a16:creationId xmlns:a16="http://schemas.microsoft.com/office/drawing/2014/main" id="{00000000-0008-0000-0700-0000CBF25300}"/>
            </a:ext>
          </a:extLst>
        </xdr:cNvPr>
        <xdr:cNvSpPr>
          <a:spLocks noChangeShapeType="1"/>
        </xdr:cNvSpPr>
      </xdr:nvSpPr>
      <xdr:spPr bwMode="auto">
        <a:xfrm>
          <a:off x="7080250" y="16052800"/>
          <a:ext cx="0" cy="0"/>
        </a:xfrm>
        <a:prstGeom prst="line">
          <a:avLst/>
        </a:prstGeom>
        <a:noFill/>
        <a:ln w="9525">
          <a:solidFill>
            <a:srgbClr val="000000"/>
          </a:solidFill>
          <a:round/>
          <a:headEnd/>
          <a:tailEnd/>
        </a:ln>
      </xdr:spPr>
    </xdr:sp>
    <xdr:clientData/>
  </xdr:twoCellAnchor>
  <xdr:twoCellAnchor>
    <xdr:from>
      <xdr:col>8</xdr:col>
      <xdr:colOff>488950</xdr:colOff>
      <xdr:row>100</xdr:row>
      <xdr:rowOff>88900</xdr:rowOff>
    </xdr:from>
    <xdr:to>
      <xdr:col>9</xdr:col>
      <xdr:colOff>0</xdr:colOff>
      <xdr:row>100</xdr:row>
      <xdr:rowOff>88900</xdr:rowOff>
    </xdr:to>
    <xdr:sp macro="" textlink="">
      <xdr:nvSpPr>
        <xdr:cNvPr id="5501644" name="Line 310">
          <a:extLst>
            <a:ext uri="{FF2B5EF4-FFF2-40B4-BE49-F238E27FC236}">
              <a16:creationId xmlns:a16="http://schemas.microsoft.com/office/drawing/2014/main" id="{00000000-0008-0000-0700-0000CCF25300}"/>
            </a:ext>
          </a:extLst>
        </xdr:cNvPr>
        <xdr:cNvSpPr>
          <a:spLocks noChangeShapeType="1"/>
        </xdr:cNvSpPr>
      </xdr:nvSpPr>
      <xdr:spPr bwMode="auto">
        <a:xfrm>
          <a:off x="7080250" y="16725900"/>
          <a:ext cx="0" cy="0"/>
        </a:xfrm>
        <a:prstGeom prst="line">
          <a:avLst/>
        </a:prstGeom>
        <a:noFill/>
        <a:ln w="9525">
          <a:solidFill>
            <a:srgbClr val="000000"/>
          </a:solidFill>
          <a:round/>
          <a:headEnd/>
          <a:tailEnd/>
        </a:ln>
      </xdr:spPr>
    </xdr:sp>
    <xdr:clientData/>
  </xdr:twoCellAnchor>
  <xdr:twoCellAnchor>
    <xdr:from>
      <xdr:col>8</xdr:col>
      <xdr:colOff>222250</xdr:colOff>
      <xdr:row>89</xdr:row>
      <xdr:rowOff>88900</xdr:rowOff>
    </xdr:from>
    <xdr:to>
      <xdr:col>8</xdr:col>
      <xdr:colOff>463550</xdr:colOff>
      <xdr:row>89</xdr:row>
      <xdr:rowOff>88900</xdr:rowOff>
    </xdr:to>
    <xdr:sp macro="" textlink="">
      <xdr:nvSpPr>
        <xdr:cNvPr id="5501645" name="Line 278">
          <a:extLst>
            <a:ext uri="{FF2B5EF4-FFF2-40B4-BE49-F238E27FC236}">
              <a16:creationId xmlns:a16="http://schemas.microsoft.com/office/drawing/2014/main" id="{00000000-0008-0000-0700-0000CDF25300}"/>
            </a:ext>
          </a:extLst>
        </xdr:cNvPr>
        <xdr:cNvSpPr>
          <a:spLocks noChangeShapeType="1"/>
        </xdr:cNvSpPr>
      </xdr:nvSpPr>
      <xdr:spPr bwMode="auto">
        <a:xfrm>
          <a:off x="6832600" y="14935200"/>
          <a:ext cx="241300" cy="0"/>
        </a:xfrm>
        <a:prstGeom prst="line">
          <a:avLst/>
        </a:prstGeom>
        <a:noFill/>
        <a:ln w="6350">
          <a:solidFill>
            <a:srgbClr val="000000"/>
          </a:solidFill>
          <a:round/>
          <a:headEnd/>
          <a:tailEnd/>
        </a:ln>
      </xdr:spPr>
    </xdr:sp>
    <xdr:clientData/>
  </xdr:twoCellAnchor>
  <xdr:twoCellAnchor>
    <xdr:from>
      <xdr:col>17</xdr:col>
      <xdr:colOff>69850</xdr:colOff>
      <xdr:row>1</xdr:row>
      <xdr:rowOff>12700</xdr:rowOff>
    </xdr:from>
    <xdr:to>
      <xdr:col>19</xdr:col>
      <xdr:colOff>0</xdr:colOff>
      <xdr:row>31</xdr:row>
      <xdr:rowOff>101600</xdr:rowOff>
    </xdr:to>
    <xdr:grpSp>
      <xdr:nvGrpSpPr>
        <xdr:cNvPr id="5501646" name="Group 232">
          <a:extLst>
            <a:ext uri="{FF2B5EF4-FFF2-40B4-BE49-F238E27FC236}">
              <a16:creationId xmlns:a16="http://schemas.microsoft.com/office/drawing/2014/main" id="{00000000-0008-0000-0700-0000CEF25300}"/>
            </a:ext>
          </a:extLst>
        </xdr:cNvPr>
        <xdr:cNvGrpSpPr>
          <a:grpSpLocks/>
        </xdr:cNvGrpSpPr>
      </xdr:nvGrpSpPr>
      <xdr:grpSpPr bwMode="auto">
        <a:xfrm>
          <a:off x="12995275" y="184150"/>
          <a:ext cx="2082800" cy="5127625"/>
          <a:chOff x="3421" y="5379"/>
          <a:chExt cx="2289" cy="5759"/>
        </a:xfrm>
      </xdr:grpSpPr>
      <xdr:grpSp>
        <xdr:nvGrpSpPr>
          <xdr:cNvPr id="5501685" name="Group 233">
            <a:extLst>
              <a:ext uri="{FF2B5EF4-FFF2-40B4-BE49-F238E27FC236}">
                <a16:creationId xmlns:a16="http://schemas.microsoft.com/office/drawing/2014/main" id="{00000000-0008-0000-0700-0000F5F25300}"/>
              </a:ext>
            </a:extLst>
          </xdr:cNvPr>
          <xdr:cNvGrpSpPr>
            <a:grpSpLocks/>
          </xdr:cNvGrpSpPr>
        </xdr:nvGrpSpPr>
        <xdr:grpSpPr bwMode="auto">
          <a:xfrm>
            <a:off x="4047" y="5379"/>
            <a:ext cx="515" cy="4096"/>
            <a:chOff x="4047" y="5379"/>
            <a:chExt cx="515" cy="4096"/>
          </a:xfrm>
        </xdr:grpSpPr>
        <xdr:sp macro="" textlink="">
          <xdr:nvSpPr>
            <xdr:cNvPr id="5501703" name="Arc 234">
              <a:extLst>
                <a:ext uri="{FF2B5EF4-FFF2-40B4-BE49-F238E27FC236}">
                  <a16:creationId xmlns:a16="http://schemas.microsoft.com/office/drawing/2014/main" id="{00000000-0008-0000-0700-000007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704" name="Group 235">
              <a:extLst>
                <a:ext uri="{FF2B5EF4-FFF2-40B4-BE49-F238E27FC236}">
                  <a16:creationId xmlns:a16="http://schemas.microsoft.com/office/drawing/2014/main" id="{00000000-0008-0000-0700-000008F35300}"/>
                </a:ext>
              </a:extLst>
            </xdr:cNvPr>
            <xdr:cNvGrpSpPr>
              <a:grpSpLocks/>
            </xdr:cNvGrpSpPr>
          </xdr:nvGrpSpPr>
          <xdr:grpSpPr bwMode="auto">
            <a:xfrm>
              <a:off x="4047" y="6306"/>
              <a:ext cx="285" cy="3169"/>
              <a:chOff x="4050" y="6306"/>
              <a:chExt cx="285" cy="3169"/>
            </a:xfrm>
          </xdr:grpSpPr>
          <xdr:sp macro="" textlink="">
            <xdr:nvSpPr>
              <xdr:cNvPr id="5501705" name="Line 236">
                <a:extLst>
                  <a:ext uri="{FF2B5EF4-FFF2-40B4-BE49-F238E27FC236}">
                    <a16:creationId xmlns:a16="http://schemas.microsoft.com/office/drawing/2014/main" id="{00000000-0008-0000-0700-000009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706" name="Line 237">
                <a:extLst>
                  <a:ext uri="{FF2B5EF4-FFF2-40B4-BE49-F238E27FC236}">
                    <a16:creationId xmlns:a16="http://schemas.microsoft.com/office/drawing/2014/main" id="{00000000-0008-0000-0700-00000A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07" name="Line 238">
                <a:extLst>
                  <a:ext uri="{FF2B5EF4-FFF2-40B4-BE49-F238E27FC236}">
                    <a16:creationId xmlns:a16="http://schemas.microsoft.com/office/drawing/2014/main" id="{00000000-0008-0000-0700-00000B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08" name="Line 239">
                <a:extLst>
                  <a:ext uri="{FF2B5EF4-FFF2-40B4-BE49-F238E27FC236}">
                    <a16:creationId xmlns:a16="http://schemas.microsoft.com/office/drawing/2014/main" id="{00000000-0008-0000-0700-00000C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09" name="Line 240">
                <a:extLst>
                  <a:ext uri="{FF2B5EF4-FFF2-40B4-BE49-F238E27FC236}">
                    <a16:creationId xmlns:a16="http://schemas.microsoft.com/office/drawing/2014/main" id="{00000000-0008-0000-0700-00000D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grpSp>
        <xdr:nvGrpSpPr>
          <xdr:cNvPr id="5501686" name="Group 241">
            <a:extLst>
              <a:ext uri="{FF2B5EF4-FFF2-40B4-BE49-F238E27FC236}">
                <a16:creationId xmlns:a16="http://schemas.microsoft.com/office/drawing/2014/main" id="{00000000-0008-0000-0700-0000F6F25300}"/>
              </a:ext>
            </a:extLst>
          </xdr:cNvPr>
          <xdr:cNvGrpSpPr>
            <a:grpSpLocks/>
          </xdr:cNvGrpSpPr>
        </xdr:nvGrpSpPr>
        <xdr:grpSpPr bwMode="auto">
          <a:xfrm flipH="1">
            <a:off x="4560" y="5379"/>
            <a:ext cx="515" cy="4096"/>
            <a:chOff x="4047" y="5379"/>
            <a:chExt cx="515" cy="4096"/>
          </a:xfrm>
        </xdr:grpSpPr>
        <xdr:sp macro="" textlink="">
          <xdr:nvSpPr>
            <xdr:cNvPr id="5501696" name="Arc 242">
              <a:extLst>
                <a:ext uri="{FF2B5EF4-FFF2-40B4-BE49-F238E27FC236}">
                  <a16:creationId xmlns:a16="http://schemas.microsoft.com/office/drawing/2014/main" id="{00000000-0008-0000-0700-000000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697" name="Group 243">
              <a:extLst>
                <a:ext uri="{FF2B5EF4-FFF2-40B4-BE49-F238E27FC236}">
                  <a16:creationId xmlns:a16="http://schemas.microsoft.com/office/drawing/2014/main" id="{00000000-0008-0000-0700-000001F35300}"/>
                </a:ext>
              </a:extLst>
            </xdr:cNvPr>
            <xdr:cNvGrpSpPr>
              <a:grpSpLocks/>
            </xdr:cNvGrpSpPr>
          </xdr:nvGrpSpPr>
          <xdr:grpSpPr bwMode="auto">
            <a:xfrm>
              <a:off x="4047" y="6306"/>
              <a:ext cx="285" cy="3169"/>
              <a:chOff x="4050" y="6306"/>
              <a:chExt cx="285" cy="3169"/>
            </a:xfrm>
          </xdr:grpSpPr>
          <xdr:sp macro="" textlink="">
            <xdr:nvSpPr>
              <xdr:cNvPr id="5501698" name="Line 244">
                <a:extLst>
                  <a:ext uri="{FF2B5EF4-FFF2-40B4-BE49-F238E27FC236}">
                    <a16:creationId xmlns:a16="http://schemas.microsoft.com/office/drawing/2014/main" id="{00000000-0008-0000-0700-000002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699" name="Line 245">
                <a:extLst>
                  <a:ext uri="{FF2B5EF4-FFF2-40B4-BE49-F238E27FC236}">
                    <a16:creationId xmlns:a16="http://schemas.microsoft.com/office/drawing/2014/main" id="{00000000-0008-0000-0700-000003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00" name="Line 246">
                <a:extLst>
                  <a:ext uri="{FF2B5EF4-FFF2-40B4-BE49-F238E27FC236}">
                    <a16:creationId xmlns:a16="http://schemas.microsoft.com/office/drawing/2014/main" id="{00000000-0008-0000-0700-000004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01" name="Line 247">
                <a:extLst>
                  <a:ext uri="{FF2B5EF4-FFF2-40B4-BE49-F238E27FC236}">
                    <a16:creationId xmlns:a16="http://schemas.microsoft.com/office/drawing/2014/main" id="{00000000-0008-0000-0700-000005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02" name="Line 248">
                <a:extLst>
                  <a:ext uri="{FF2B5EF4-FFF2-40B4-BE49-F238E27FC236}">
                    <a16:creationId xmlns:a16="http://schemas.microsoft.com/office/drawing/2014/main" id="{00000000-0008-0000-0700-000006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sp macro="" textlink="">
        <xdr:nvSpPr>
          <xdr:cNvPr id="5501687" name="Line 249">
            <a:extLst>
              <a:ext uri="{FF2B5EF4-FFF2-40B4-BE49-F238E27FC236}">
                <a16:creationId xmlns:a16="http://schemas.microsoft.com/office/drawing/2014/main" id="{00000000-0008-0000-0700-0000F7F25300}"/>
              </a:ext>
            </a:extLst>
          </xdr:cNvPr>
          <xdr:cNvSpPr>
            <a:spLocks noChangeShapeType="1"/>
          </xdr:cNvSpPr>
        </xdr:nvSpPr>
        <xdr:spPr bwMode="auto">
          <a:xfrm>
            <a:off x="4332" y="9310"/>
            <a:ext cx="2" cy="1319"/>
          </a:xfrm>
          <a:prstGeom prst="line">
            <a:avLst/>
          </a:prstGeom>
          <a:noFill/>
          <a:ln w="9525">
            <a:solidFill>
              <a:srgbClr val="00B0F0"/>
            </a:solidFill>
            <a:round/>
            <a:headEnd/>
            <a:tailEnd/>
          </a:ln>
        </xdr:spPr>
      </xdr:sp>
      <xdr:sp macro="" textlink="">
        <xdr:nvSpPr>
          <xdr:cNvPr id="5501688" name="Line 250">
            <a:extLst>
              <a:ext uri="{FF2B5EF4-FFF2-40B4-BE49-F238E27FC236}">
                <a16:creationId xmlns:a16="http://schemas.microsoft.com/office/drawing/2014/main" id="{00000000-0008-0000-0700-0000F8F25300}"/>
              </a:ext>
            </a:extLst>
          </xdr:cNvPr>
          <xdr:cNvSpPr>
            <a:spLocks noChangeShapeType="1"/>
          </xdr:cNvSpPr>
        </xdr:nvSpPr>
        <xdr:spPr bwMode="auto">
          <a:xfrm>
            <a:off x="4790" y="9310"/>
            <a:ext cx="0" cy="1319"/>
          </a:xfrm>
          <a:prstGeom prst="line">
            <a:avLst/>
          </a:prstGeom>
          <a:noFill/>
          <a:ln w="9525">
            <a:solidFill>
              <a:srgbClr val="00B0F0"/>
            </a:solidFill>
            <a:round/>
            <a:headEnd/>
            <a:tailEnd/>
          </a:ln>
        </xdr:spPr>
      </xdr:sp>
      <xdr:sp macro="" textlink="">
        <xdr:nvSpPr>
          <xdr:cNvPr id="5501689" name="Line 251">
            <a:extLst>
              <a:ext uri="{FF2B5EF4-FFF2-40B4-BE49-F238E27FC236}">
                <a16:creationId xmlns:a16="http://schemas.microsoft.com/office/drawing/2014/main" id="{00000000-0008-0000-0700-0000F9F25300}"/>
              </a:ext>
            </a:extLst>
          </xdr:cNvPr>
          <xdr:cNvSpPr>
            <a:spLocks noChangeShapeType="1"/>
          </xdr:cNvSpPr>
        </xdr:nvSpPr>
        <xdr:spPr bwMode="auto">
          <a:xfrm>
            <a:off x="4330" y="10629"/>
            <a:ext cx="458" cy="0"/>
          </a:xfrm>
          <a:prstGeom prst="line">
            <a:avLst/>
          </a:prstGeom>
          <a:noFill/>
          <a:ln w="9525">
            <a:solidFill>
              <a:srgbClr val="00B0F0"/>
            </a:solidFill>
            <a:round/>
            <a:headEnd/>
            <a:tailEnd/>
          </a:ln>
        </xdr:spPr>
      </xdr:sp>
      <xdr:sp macro="" textlink="">
        <xdr:nvSpPr>
          <xdr:cNvPr id="5501690" name="Line 252">
            <a:extLst>
              <a:ext uri="{FF2B5EF4-FFF2-40B4-BE49-F238E27FC236}">
                <a16:creationId xmlns:a16="http://schemas.microsoft.com/office/drawing/2014/main" id="{00000000-0008-0000-0700-0000FAF25300}"/>
              </a:ext>
            </a:extLst>
          </xdr:cNvPr>
          <xdr:cNvSpPr>
            <a:spLocks noChangeShapeType="1"/>
          </xdr:cNvSpPr>
        </xdr:nvSpPr>
        <xdr:spPr bwMode="auto">
          <a:xfrm flipV="1">
            <a:off x="5709" y="10163"/>
            <a:ext cx="1" cy="946"/>
          </a:xfrm>
          <a:prstGeom prst="line">
            <a:avLst/>
          </a:prstGeom>
          <a:noFill/>
          <a:ln w="9525">
            <a:solidFill>
              <a:srgbClr val="00B0F0"/>
            </a:solidFill>
            <a:round/>
            <a:headEnd/>
            <a:tailEnd/>
          </a:ln>
        </xdr:spPr>
      </xdr:sp>
      <xdr:sp macro="" textlink="">
        <xdr:nvSpPr>
          <xdr:cNvPr id="5501691" name="Line 253">
            <a:extLst>
              <a:ext uri="{FF2B5EF4-FFF2-40B4-BE49-F238E27FC236}">
                <a16:creationId xmlns:a16="http://schemas.microsoft.com/office/drawing/2014/main" id="{00000000-0008-0000-0700-0000FBF25300}"/>
              </a:ext>
            </a:extLst>
          </xdr:cNvPr>
          <xdr:cNvSpPr>
            <a:spLocks noChangeShapeType="1"/>
          </xdr:cNvSpPr>
        </xdr:nvSpPr>
        <xdr:spPr bwMode="auto">
          <a:xfrm>
            <a:off x="4796" y="10419"/>
            <a:ext cx="909" cy="712"/>
          </a:xfrm>
          <a:prstGeom prst="line">
            <a:avLst/>
          </a:prstGeom>
          <a:noFill/>
          <a:ln w="9525">
            <a:solidFill>
              <a:srgbClr val="00B0F0"/>
            </a:solidFill>
            <a:round/>
            <a:headEnd/>
            <a:tailEnd/>
          </a:ln>
        </xdr:spPr>
      </xdr:sp>
      <xdr:sp macro="" textlink="">
        <xdr:nvSpPr>
          <xdr:cNvPr id="5501692" name="Line 254">
            <a:extLst>
              <a:ext uri="{FF2B5EF4-FFF2-40B4-BE49-F238E27FC236}">
                <a16:creationId xmlns:a16="http://schemas.microsoft.com/office/drawing/2014/main" id="{00000000-0008-0000-0700-0000FCF25300}"/>
              </a:ext>
            </a:extLst>
          </xdr:cNvPr>
          <xdr:cNvSpPr>
            <a:spLocks noChangeShapeType="1"/>
          </xdr:cNvSpPr>
        </xdr:nvSpPr>
        <xdr:spPr bwMode="auto">
          <a:xfrm flipH="1" flipV="1">
            <a:off x="4804" y="8797"/>
            <a:ext cx="905" cy="1372"/>
          </a:xfrm>
          <a:prstGeom prst="line">
            <a:avLst/>
          </a:prstGeom>
          <a:noFill/>
          <a:ln w="9525">
            <a:solidFill>
              <a:srgbClr val="00B0F0"/>
            </a:solidFill>
            <a:round/>
            <a:headEnd/>
            <a:tailEnd/>
          </a:ln>
        </xdr:spPr>
      </xdr:sp>
      <xdr:sp macro="" textlink="">
        <xdr:nvSpPr>
          <xdr:cNvPr id="5501693" name="Line 255">
            <a:extLst>
              <a:ext uri="{FF2B5EF4-FFF2-40B4-BE49-F238E27FC236}">
                <a16:creationId xmlns:a16="http://schemas.microsoft.com/office/drawing/2014/main" id="{00000000-0008-0000-0700-0000FDF25300}"/>
              </a:ext>
            </a:extLst>
          </xdr:cNvPr>
          <xdr:cNvSpPr>
            <a:spLocks noChangeShapeType="1"/>
          </xdr:cNvSpPr>
        </xdr:nvSpPr>
        <xdr:spPr bwMode="auto">
          <a:xfrm flipH="1" flipV="1">
            <a:off x="3421" y="10178"/>
            <a:ext cx="1" cy="946"/>
          </a:xfrm>
          <a:prstGeom prst="line">
            <a:avLst/>
          </a:prstGeom>
          <a:noFill/>
          <a:ln w="9525">
            <a:solidFill>
              <a:srgbClr val="00B0F0"/>
            </a:solidFill>
            <a:round/>
            <a:headEnd/>
            <a:tailEnd/>
          </a:ln>
        </xdr:spPr>
      </xdr:sp>
      <xdr:sp macro="" textlink="">
        <xdr:nvSpPr>
          <xdr:cNvPr id="5501694" name="Line 256">
            <a:extLst>
              <a:ext uri="{FF2B5EF4-FFF2-40B4-BE49-F238E27FC236}">
                <a16:creationId xmlns:a16="http://schemas.microsoft.com/office/drawing/2014/main" id="{00000000-0008-0000-0700-0000FEF25300}"/>
              </a:ext>
            </a:extLst>
          </xdr:cNvPr>
          <xdr:cNvSpPr>
            <a:spLocks noChangeShapeType="1"/>
          </xdr:cNvSpPr>
        </xdr:nvSpPr>
        <xdr:spPr bwMode="auto">
          <a:xfrm flipH="1">
            <a:off x="3421" y="10426"/>
            <a:ext cx="909" cy="712"/>
          </a:xfrm>
          <a:prstGeom prst="line">
            <a:avLst/>
          </a:prstGeom>
          <a:noFill/>
          <a:ln w="9525">
            <a:solidFill>
              <a:srgbClr val="00B0F0"/>
            </a:solidFill>
            <a:round/>
            <a:headEnd/>
            <a:tailEnd/>
          </a:ln>
        </xdr:spPr>
      </xdr:sp>
      <xdr:sp macro="" textlink="">
        <xdr:nvSpPr>
          <xdr:cNvPr id="5501695" name="Line 257">
            <a:extLst>
              <a:ext uri="{FF2B5EF4-FFF2-40B4-BE49-F238E27FC236}">
                <a16:creationId xmlns:a16="http://schemas.microsoft.com/office/drawing/2014/main" id="{00000000-0008-0000-0700-0000FFF25300}"/>
              </a:ext>
            </a:extLst>
          </xdr:cNvPr>
          <xdr:cNvSpPr>
            <a:spLocks noChangeShapeType="1"/>
          </xdr:cNvSpPr>
        </xdr:nvSpPr>
        <xdr:spPr bwMode="auto">
          <a:xfrm flipV="1">
            <a:off x="3429" y="8804"/>
            <a:ext cx="905" cy="1372"/>
          </a:xfrm>
          <a:prstGeom prst="line">
            <a:avLst/>
          </a:prstGeom>
          <a:noFill/>
          <a:ln w="9525">
            <a:solidFill>
              <a:srgbClr val="00B0F0"/>
            </a:solidFill>
            <a:round/>
            <a:headEnd/>
            <a:tailEnd/>
          </a:ln>
        </xdr:spPr>
      </xdr:sp>
    </xdr:grpSp>
    <xdr:clientData/>
  </xdr:twoCellAnchor>
  <xdr:twoCellAnchor>
    <xdr:from>
      <xdr:col>17</xdr:col>
      <xdr:colOff>831850</xdr:colOff>
      <xdr:row>11</xdr:row>
      <xdr:rowOff>101600</xdr:rowOff>
    </xdr:from>
    <xdr:to>
      <xdr:col>18</xdr:col>
      <xdr:colOff>368300</xdr:colOff>
      <xdr:row>11</xdr:row>
      <xdr:rowOff>101600</xdr:rowOff>
    </xdr:to>
    <xdr:sp macro="" textlink="">
      <xdr:nvSpPr>
        <xdr:cNvPr id="5501647" name="Line 268">
          <a:extLst>
            <a:ext uri="{FF2B5EF4-FFF2-40B4-BE49-F238E27FC236}">
              <a16:creationId xmlns:a16="http://schemas.microsoft.com/office/drawing/2014/main" id="{00000000-0008-0000-0700-0000CFF25300}"/>
            </a:ext>
          </a:extLst>
        </xdr:cNvPr>
        <xdr:cNvSpPr>
          <a:spLocks noChangeShapeType="1"/>
        </xdr:cNvSpPr>
      </xdr:nvSpPr>
      <xdr:spPr bwMode="auto">
        <a:xfrm flipV="1">
          <a:off x="14408150" y="2032000"/>
          <a:ext cx="673100" cy="0"/>
        </a:xfrm>
        <a:prstGeom prst="line">
          <a:avLst/>
        </a:prstGeom>
        <a:noFill/>
        <a:ln w="6350">
          <a:solidFill>
            <a:srgbClr val="000000"/>
          </a:solidFill>
          <a:round/>
          <a:headEnd type="triangle" w="sm" len="lg"/>
          <a:tailEnd type="triangle" w="sm" len="lg"/>
        </a:ln>
      </xdr:spPr>
    </xdr:sp>
    <xdr:clientData/>
  </xdr:twoCellAnchor>
  <xdr:twoCellAnchor>
    <xdr:from>
      <xdr:col>17</xdr:col>
      <xdr:colOff>88900</xdr:colOff>
      <xdr:row>1</xdr:row>
      <xdr:rowOff>12700</xdr:rowOff>
    </xdr:from>
    <xdr:to>
      <xdr:col>19</xdr:col>
      <xdr:colOff>336550</xdr:colOff>
      <xdr:row>1</xdr:row>
      <xdr:rowOff>12700</xdr:rowOff>
    </xdr:to>
    <xdr:sp macro="" textlink="">
      <xdr:nvSpPr>
        <xdr:cNvPr id="5501648" name="Line 269">
          <a:extLst>
            <a:ext uri="{FF2B5EF4-FFF2-40B4-BE49-F238E27FC236}">
              <a16:creationId xmlns:a16="http://schemas.microsoft.com/office/drawing/2014/main" id="{00000000-0008-0000-0700-0000D0F25300}"/>
            </a:ext>
          </a:extLst>
        </xdr:cNvPr>
        <xdr:cNvSpPr>
          <a:spLocks noChangeShapeType="1"/>
        </xdr:cNvSpPr>
      </xdr:nvSpPr>
      <xdr:spPr bwMode="auto">
        <a:xfrm flipV="1">
          <a:off x="13665200" y="184150"/>
          <a:ext cx="2520950" cy="0"/>
        </a:xfrm>
        <a:prstGeom prst="line">
          <a:avLst/>
        </a:prstGeom>
        <a:noFill/>
        <a:ln w="6350">
          <a:solidFill>
            <a:srgbClr val="000000"/>
          </a:solidFill>
          <a:round/>
          <a:headEnd/>
          <a:tailEnd/>
        </a:ln>
      </xdr:spPr>
    </xdr:sp>
    <xdr:clientData/>
  </xdr:twoCellAnchor>
  <xdr:twoCellAnchor>
    <xdr:from>
      <xdr:col>18</xdr:col>
      <xdr:colOff>1054100</xdr:colOff>
      <xdr:row>1</xdr:row>
      <xdr:rowOff>12700</xdr:rowOff>
    </xdr:from>
    <xdr:to>
      <xdr:col>18</xdr:col>
      <xdr:colOff>1054100</xdr:colOff>
      <xdr:row>28</xdr:row>
      <xdr:rowOff>139700</xdr:rowOff>
    </xdr:to>
    <xdr:sp macro="" textlink="">
      <xdr:nvSpPr>
        <xdr:cNvPr id="5501649" name="Line 270">
          <a:extLst>
            <a:ext uri="{FF2B5EF4-FFF2-40B4-BE49-F238E27FC236}">
              <a16:creationId xmlns:a16="http://schemas.microsoft.com/office/drawing/2014/main" id="{00000000-0008-0000-0700-0000D1F25300}"/>
            </a:ext>
          </a:extLst>
        </xdr:cNvPr>
        <xdr:cNvSpPr>
          <a:spLocks noChangeShapeType="1"/>
        </xdr:cNvSpPr>
      </xdr:nvSpPr>
      <xdr:spPr bwMode="auto">
        <a:xfrm>
          <a:off x="15767050" y="184150"/>
          <a:ext cx="0" cy="4705350"/>
        </a:xfrm>
        <a:prstGeom prst="line">
          <a:avLst/>
        </a:prstGeom>
        <a:noFill/>
        <a:ln w="6350">
          <a:solidFill>
            <a:srgbClr val="000000"/>
          </a:solidFill>
          <a:round/>
          <a:headEnd type="triangle" w="sm" len="lg"/>
          <a:tailEnd type="triangle" w="sm" len="lg"/>
        </a:ln>
      </xdr:spPr>
    </xdr:sp>
    <xdr:clientData/>
  </xdr:twoCellAnchor>
  <xdr:twoCellAnchor>
    <xdr:from>
      <xdr:col>17</xdr:col>
      <xdr:colOff>120650</xdr:colOff>
      <xdr:row>10</xdr:row>
      <xdr:rowOff>152400</xdr:rowOff>
    </xdr:from>
    <xdr:to>
      <xdr:col>18</xdr:col>
      <xdr:colOff>412750</xdr:colOff>
      <xdr:row>10</xdr:row>
      <xdr:rowOff>152400</xdr:rowOff>
    </xdr:to>
    <xdr:sp macro="" textlink="">
      <xdr:nvSpPr>
        <xdr:cNvPr id="5501650" name="Line 271">
          <a:extLst>
            <a:ext uri="{FF2B5EF4-FFF2-40B4-BE49-F238E27FC236}">
              <a16:creationId xmlns:a16="http://schemas.microsoft.com/office/drawing/2014/main" id="{00000000-0008-0000-0700-0000D2F25300}"/>
            </a:ext>
          </a:extLst>
        </xdr:cNvPr>
        <xdr:cNvSpPr>
          <a:spLocks noChangeShapeType="1"/>
        </xdr:cNvSpPr>
      </xdr:nvSpPr>
      <xdr:spPr bwMode="auto">
        <a:xfrm>
          <a:off x="13696950" y="1911350"/>
          <a:ext cx="1428750" cy="0"/>
        </a:xfrm>
        <a:prstGeom prst="line">
          <a:avLst/>
        </a:prstGeom>
        <a:noFill/>
        <a:ln w="6350">
          <a:solidFill>
            <a:srgbClr val="000000"/>
          </a:solidFill>
          <a:round/>
          <a:headEnd/>
          <a:tailEnd/>
        </a:ln>
      </xdr:spPr>
    </xdr:sp>
    <xdr:clientData/>
  </xdr:twoCellAnchor>
  <xdr:twoCellAnchor>
    <xdr:from>
      <xdr:col>17</xdr:col>
      <xdr:colOff>152400</xdr:colOff>
      <xdr:row>0</xdr:row>
      <xdr:rowOff>158750</xdr:rowOff>
    </xdr:from>
    <xdr:to>
      <xdr:col>17</xdr:col>
      <xdr:colOff>152400</xdr:colOff>
      <xdr:row>10</xdr:row>
      <xdr:rowOff>139700</xdr:rowOff>
    </xdr:to>
    <xdr:sp macro="" textlink="">
      <xdr:nvSpPr>
        <xdr:cNvPr id="5501651" name="Line 272">
          <a:extLst>
            <a:ext uri="{FF2B5EF4-FFF2-40B4-BE49-F238E27FC236}">
              <a16:creationId xmlns:a16="http://schemas.microsoft.com/office/drawing/2014/main" id="{00000000-0008-0000-0700-0000D3F25300}"/>
            </a:ext>
          </a:extLst>
        </xdr:cNvPr>
        <xdr:cNvSpPr>
          <a:spLocks noChangeShapeType="1"/>
        </xdr:cNvSpPr>
      </xdr:nvSpPr>
      <xdr:spPr bwMode="auto">
        <a:xfrm flipH="1">
          <a:off x="13728700" y="158750"/>
          <a:ext cx="0" cy="1739900"/>
        </a:xfrm>
        <a:prstGeom prst="line">
          <a:avLst/>
        </a:prstGeom>
        <a:noFill/>
        <a:ln w="6350">
          <a:solidFill>
            <a:srgbClr val="000000"/>
          </a:solidFill>
          <a:round/>
          <a:headEnd type="triangle" w="sm" len="lg"/>
          <a:tailEnd type="triangle" w="sm" len="lg"/>
        </a:ln>
      </xdr:spPr>
    </xdr:sp>
    <xdr:clientData/>
  </xdr:twoCellAnchor>
  <xdr:twoCellAnchor>
    <xdr:from>
      <xdr:col>16</xdr:col>
      <xdr:colOff>234950</xdr:colOff>
      <xdr:row>31</xdr:row>
      <xdr:rowOff>95250</xdr:rowOff>
    </xdr:from>
    <xdr:to>
      <xdr:col>17</xdr:col>
      <xdr:colOff>82550</xdr:colOff>
      <xdr:row>31</xdr:row>
      <xdr:rowOff>95250</xdr:rowOff>
    </xdr:to>
    <xdr:sp macro="" textlink="">
      <xdr:nvSpPr>
        <xdr:cNvPr id="5501652" name="Line 277">
          <a:extLst>
            <a:ext uri="{FF2B5EF4-FFF2-40B4-BE49-F238E27FC236}">
              <a16:creationId xmlns:a16="http://schemas.microsoft.com/office/drawing/2014/main" id="{00000000-0008-0000-0700-0000D4F25300}"/>
            </a:ext>
          </a:extLst>
        </xdr:cNvPr>
        <xdr:cNvSpPr>
          <a:spLocks noChangeShapeType="1"/>
        </xdr:cNvSpPr>
      </xdr:nvSpPr>
      <xdr:spPr bwMode="auto">
        <a:xfrm>
          <a:off x="12998450" y="5359400"/>
          <a:ext cx="660400" cy="0"/>
        </a:xfrm>
        <a:prstGeom prst="line">
          <a:avLst/>
        </a:prstGeom>
        <a:noFill/>
        <a:ln w="6350">
          <a:solidFill>
            <a:srgbClr val="000000"/>
          </a:solidFill>
          <a:round/>
          <a:headEnd/>
          <a:tailEnd/>
        </a:ln>
      </xdr:spPr>
    </xdr:sp>
    <xdr:clientData/>
  </xdr:twoCellAnchor>
  <xdr:twoCellAnchor>
    <xdr:from>
      <xdr:col>18</xdr:col>
      <xdr:colOff>196850</xdr:colOff>
      <xdr:row>29</xdr:row>
      <xdr:rowOff>88900</xdr:rowOff>
    </xdr:from>
    <xdr:to>
      <xdr:col>18</xdr:col>
      <xdr:colOff>1035050</xdr:colOff>
      <xdr:row>29</xdr:row>
      <xdr:rowOff>88900</xdr:rowOff>
    </xdr:to>
    <xdr:sp macro="" textlink="">
      <xdr:nvSpPr>
        <xdr:cNvPr id="5501653" name="Line 280">
          <a:extLst>
            <a:ext uri="{FF2B5EF4-FFF2-40B4-BE49-F238E27FC236}">
              <a16:creationId xmlns:a16="http://schemas.microsoft.com/office/drawing/2014/main" id="{00000000-0008-0000-0700-0000D5F25300}"/>
            </a:ext>
          </a:extLst>
        </xdr:cNvPr>
        <xdr:cNvSpPr>
          <a:spLocks noChangeShapeType="1"/>
        </xdr:cNvSpPr>
      </xdr:nvSpPr>
      <xdr:spPr bwMode="auto">
        <a:xfrm>
          <a:off x="14909800" y="5010150"/>
          <a:ext cx="838200" cy="0"/>
        </a:xfrm>
        <a:prstGeom prst="line">
          <a:avLst/>
        </a:prstGeom>
        <a:noFill/>
        <a:ln w="6350">
          <a:solidFill>
            <a:srgbClr val="000000"/>
          </a:solidFill>
          <a:round/>
          <a:headEnd/>
          <a:tailEnd/>
        </a:ln>
      </xdr:spPr>
    </xdr:sp>
    <xdr:clientData/>
  </xdr:twoCellAnchor>
  <xdr:twoCellAnchor>
    <xdr:from>
      <xdr:col>17</xdr:col>
      <xdr:colOff>508000</xdr:colOff>
      <xdr:row>20</xdr:row>
      <xdr:rowOff>0</xdr:rowOff>
    </xdr:from>
    <xdr:to>
      <xdr:col>17</xdr:col>
      <xdr:colOff>508000</xdr:colOff>
      <xdr:row>28</xdr:row>
      <xdr:rowOff>127000</xdr:rowOff>
    </xdr:to>
    <xdr:sp macro="" textlink="">
      <xdr:nvSpPr>
        <xdr:cNvPr id="5501654" name="Line 281">
          <a:extLst>
            <a:ext uri="{FF2B5EF4-FFF2-40B4-BE49-F238E27FC236}">
              <a16:creationId xmlns:a16="http://schemas.microsoft.com/office/drawing/2014/main" id="{00000000-0008-0000-0700-0000D6F25300}"/>
            </a:ext>
          </a:extLst>
        </xdr:cNvPr>
        <xdr:cNvSpPr>
          <a:spLocks noChangeShapeType="1"/>
        </xdr:cNvSpPr>
      </xdr:nvSpPr>
      <xdr:spPr bwMode="auto">
        <a:xfrm flipH="1">
          <a:off x="14084300" y="3422650"/>
          <a:ext cx="0" cy="1454150"/>
        </a:xfrm>
        <a:prstGeom prst="line">
          <a:avLst/>
        </a:prstGeom>
        <a:noFill/>
        <a:ln w="6350">
          <a:solidFill>
            <a:srgbClr val="000000"/>
          </a:solidFill>
          <a:round/>
          <a:headEnd type="triangle" w="sm" len="lg"/>
          <a:tailEnd type="triangle" w="sm" len="lg"/>
        </a:ln>
      </xdr:spPr>
    </xdr:sp>
    <xdr:clientData/>
  </xdr:twoCellAnchor>
  <xdr:twoCellAnchor>
    <xdr:from>
      <xdr:col>16</xdr:col>
      <xdr:colOff>311150</xdr:colOff>
      <xdr:row>27</xdr:row>
      <xdr:rowOff>133350</xdr:rowOff>
    </xdr:from>
    <xdr:to>
      <xdr:col>16</xdr:col>
      <xdr:colOff>323850</xdr:colOff>
      <xdr:row>31</xdr:row>
      <xdr:rowOff>95250</xdr:rowOff>
    </xdr:to>
    <xdr:sp macro="" textlink="">
      <xdr:nvSpPr>
        <xdr:cNvPr id="5501655" name="Line 282">
          <a:extLst>
            <a:ext uri="{FF2B5EF4-FFF2-40B4-BE49-F238E27FC236}">
              <a16:creationId xmlns:a16="http://schemas.microsoft.com/office/drawing/2014/main" id="{00000000-0008-0000-0700-0000D7F25300}"/>
            </a:ext>
          </a:extLst>
        </xdr:cNvPr>
        <xdr:cNvSpPr>
          <a:spLocks noChangeShapeType="1"/>
        </xdr:cNvSpPr>
      </xdr:nvSpPr>
      <xdr:spPr bwMode="auto">
        <a:xfrm flipH="1">
          <a:off x="13074650" y="4711700"/>
          <a:ext cx="12700" cy="647700"/>
        </a:xfrm>
        <a:prstGeom prst="line">
          <a:avLst/>
        </a:prstGeom>
        <a:noFill/>
        <a:ln w="6350">
          <a:solidFill>
            <a:srgbClr val="000000"/>
          </a:solidFill>
          <a:round/>
          <a:headEnd type="triangle" w="sm" len="lg"/>
          <a:tailEnd type="triangle" w="sm" len="lg"/>
        </a:ln>
      </xdr:spPr>
    </xdr:sp>
    <xdr:clientData/>
  </xdr:twoCellAnchor>
  <xdr:twoCellAnchor>
    <xdr:from>
      <xdr:col>16</xdr:col>
      <xdr:colOff>730250</xdr:colOff>
      <xdr:row>20</xdr:row>
      <xdr:rowOff>0</xdr:rowOff>
    </xdr:from>
    <xdr:to>
      <xdr:col>16</xdr:col>
      <xdr:colOff>730250</xdr:colOff>
      <xdr:row>27</xdr:row>
      <xdr:rowOff>133350</xdr:rowOff>
    </xdr:to>
    <xdr:sp macro="" textlink="">
      <xdr:nvSpPr>
        <xdr:cNvPr id="5501656" name="Line 283">
          <a:extLst>
            <a:ext uri="{FF2B5EF4-FFF2-40B4-BE49-F238E27FC236}">
              <a16:creationId xmlns:a16="http://schemas.microsoft.com/office/drawing/2014/main" id="{00000000-0008-0000-0700-0000D8F25300}"/>
            </a:ext>
          </a:extLst>
        </xdr:cNvPr>
        <xdr:cNvSpPr>
          <a:spLocks noChangeShapeType="1"/>
        </xdr:cNvSpPr>
      </xdr:nvSpPr>
      <xdr:spPr bwMode="auto">
        <a:xfrm>
          <a:off x="13493750" y="3422650"/>
          <a:ext cx="0" cy="1289050"/>
        </a:xfrm>
        <a:prstGeom prst="line">
          <a:avLst/>
        </a:prstGeom>
        <a:noFill/>
        <a:ln w="6350">
          <a:solidFill>
            <a:srgbClr val="000000"/>
          </a:solidFill>
          <a:round/>
          <a:headEnd type="triangle" w="sm" len="lg"/>
          <a:tailEnd type="triangle" w="sm" len="lg"/>
        </a:ln>
      </xdr:spPr>
    </xdr:sp>
    <xdr:clientData/>
  </xdr:twoCellAnchor>
  <xdr:twoCellAnchor>
    <xdr:from>
      <xdr:col>17</xdr:col>
      <xdr:colOff>69850</xdr:colOff>
      <xdr:row>31</xdr:row>
      <xdr:rowOff>95250</xdr:rowOff>
    </xdr:from>
    <xdr:to>
      <xdr:col>17</xdr:col>
      <xdr:colOff>69850</xdr:colOff>
      <xdr:row>32</xdr:row>
      <xdr:rowOff>0</xdr:rowOff>
    </xdr:to>
    <xdr:sp macro="" textlink="">
      <xdr:nvSpPr>
        <xdr:cNvPr id="5501657" name="Line 284">
          <a:extLst>
            <a:ext uri="{FF2B5EF4-FFF2-40B4-BE49-F238E27FC236}">
              <a16:creationId xmlns:a16="http://schemas.microsoft.com/office/drawing/2014/main" id="{00000000-0008-0000-0700-0000D9F25300}"/>
            </a:ext>
          </a:extLst>
        </xdr:cNvPr>
        <xdr:cNvSpPr>
          <a:spLocks noChangeShapeType="1"/>
        </xdr:cNvSpPr>
      </xdr:nvSpPr>
      <xdr:spPr bwMode="auto">
        <a:xfrm flipV="1">
          <a:off x="13646150" y="5359400"/>
          <a:ext cx="0" cy="76200"/>
        </a:xfrm>
        <a:prstGeom prst="line">
          <a:avLst/>
        </a:prstGeom>
        <a:noFill/>
        <a:ln w="6350">
          <a:solidFill>
            <a:srgbClr val="000000"/>
          </a:solidFill>
          <a:round/>
          <a:headEnd/>
          <a:tailEnd/>
        </a:ln>
      </xdr:spPr>
    </xdr:sp>
    <xdr:clientData/>
  </xdr:twoCellAnchor>
  <xdr:twoCellAnchor>
    <xdr:from>
      <xdr:col>17</xdr:col>
      <xdr:colOff>946150</xdr:colOff>
      <xdr:row>29</xdr:row>
      <xdr:rowOff>88900</xdr:rowOff>
    </xdr:from>
    <xdr:to>
      <xdr:col>17</xdr:col>
      <xdr:colOff>946150</xdr:colOff>
      <xdr:row>31</xdr:row>
      <xdr:rowOff>158750</xdr:rowOff>
    </xdr:to>
    <xdr:sp macro="" textlink="">
      <xdr:nvSpPr>
        <xdr:cNvPr id="5501658" name="Line 285">
          <a:extLst>
            <a:ext uri="{FF2B5EF4-FFF2-40B4-BE49-F238E27FC236}">
              <a16:creationId xmlns:a16="http://schemas.microsoft.com/office/drawing/2014/main" id="{00000000-0008-0000-0700-0000DAF25300}"/>
            </a:ext>
          </a:extLst>
        </xdr:cNvPr>
        <xdr:cNvSpPr>
          <a:spLocks noChangeShapeType="1"/>
        </xdr:cNvSpPr>
      </xdr:nvSpPr>
      <xdr:spPr bwMode="auto">
        <a:xfrm flipH="1" flipV="1">
          <a:off x="14522450" y="5010150"/>
          <a:ext cx="0" cy="412750"/>
        </a:xfrm>
        <a:prstGeom prst="line">
          <a:avLst/>
        </a:prstGeom>
        <a:noFill/>
        <a:ln w="6350">
          <a:solidFill>
            <a:srgbClr val="000000"/>
          </a:solidFill>
          <a:round/>
          <a:headEnd/>
          <a:tailEnd/>
        </a:ln>
      </xdr:spPr>
    </xdr:sp>
    <xdr:clientData/>
  </xdr:twoCellAnchor>
  <xdr:twoCellAnchor>
    <xdr:from>
      <xdr:col>17</xdr:col>
      <xdr:colOff>88900</xdr:colOff>
      <xdr:row>31</xdr:row>
      <xdr:rowOff>127000</xdr:rowOff>
    </xdr:from>
    <xdr:to>
      <xdr:col>17</xdr:col>
      <xdr:colOff>958850</xdr:colOff>
      <xdr:row>31</xdr:row>
      <xdr:rowOff>127000</xdr:rowOff>
    </xdr:to>
    <xdr:sp macro="" textlink="">
      <xdr:nvSpPr>
        <xdr:cNvPr id="5501659" name="Line 286">
          <a:extLst>
            <a:ext uri="{FF2B5EF4-FFF2-40B4-BE49-F238E27FC236}">
              <a16:creationId xmlns:a16="http://schemas.microsoft.com/office/drawing/2014/main" id="{00000000-0008-0000-0700-0000DBF25300}"/>
            </a:ext>
          </a:extLst>
        </xdr:cNvPr>
        <xdr:cNvSpPr>
          <a:spLocks noChangeShapeType="1"/>
        </xdr:cNvSpPr>
      </xdr:nvSpPr>
      <xdr:spPr bwMode="auto">
        <a:xfrm flipV="1">
          <a:off x="13665200" y="5391150"/>
          <a:ext cx="869950" cy="0"/>
        </a:xfrm>
        <a:prstGeom prst="line">
          <a:avLst/>
        </a:prstGeom>
        <a:noFill/>
        <a:ln w="6350">
          <a:solidFill>
            <a:srgbClr val="000000"/>
          </a:solidFill>
          <a:round/>
          <a:headEnd type="triangle" w="sm" len="lg"/>
          <a:tailEnd type="triangle" w="sm" len="lg"/>
        </a:ln>
      </xdr:spPr>
    </xdr:sp>
    <xdr:clientData/>
  </xdr:twoCellAnchor>
  <xdr:twoCellAnchor>
    <xdr:from>
      <xdr:col>17</xdr:col>
      <xdr:colOff>666750</xdr:colOff>
      <xdr:row>16</xdr:row>
      <xdr:rowOff>57150</xdr:rowOff>
    </xdr:from>
    <xdr:to>
      <xdr:col>18</xdr:col>
      <xdr:colOff>514350</xdr:colOff>
      <xdr:row>16</xdr:row>
      <xdr:rowOff>57150</xdr:rowOff>
    </xdr:to>
    <xdr:sp macro="" textlink="">
      <xdr:nvSpPr>
        <xdr:cNvPr id="5501660" name="Line 287">
          <a:extLst>
            <a:ext uri="{FF2B5EF4-FFF2-40B4-BE49-F238E27FC236}">
              <a16:creationId xmlns:a16="http://schemas.microsoft.com/office/drawing/2014/main" id="{00000000-0008-0000-0700-0000DCF25300}"/>
            </a:ext>
          </a:extLst>
        </xdr:cNvPr>
        <xdr:cNvSpPr>
          <a:spLocks noChangeShapeType="1"/>
        </xdr:cNvSpPr>
      </xdr:nvSpPr>
      <xdr:spPr bwMode="auto">
        <a:xfrm flipV="1">
          <a:off x="14243050" y="2819400"/>
          <a:ext cx="984250" cy="0"/>
        </a:xfrm>
        <a:prstGeom prst="line">
          <a:avLst/>
        </a:prstGeom>
        <a:noFill/>
        <a:ln w="3175">
          <a:solidFill>
            <a:srgbClr val="92D050"/>
          </a:solidFill>
          <a:prstDash val="sysDot"/>
          <a:round/>
          <a:headEnd type="triangle" w="sm" len="sm"/>
          <a:tailEnd type="triangle" w="sm" len="sm"/>
        </a:ln>
      </xdr:spPr>
    </xdr:sp>
    <xdr:clientData/>
  </xdr:twoCellAnchor>
  <xdr:twoCellAnchor>
    <xdr:from>
      <xdr:col>17</xdr:col>
      <xdr:colOff>831850</xdr:colOff>
      <xdr:row>14</xdr:row>
      <xdr:rowOff>127000</xdr:rowOff>
    </xdr:from>
    <xdr:to>
      <xdr:col>19</xdr:col>
      <xdr:colOff>19050</xdr:colOff>
      <xdr:row>14</xdr:row>
      <xdr:rowOff>127000</xdr:rowOff>
    </xdr:to>
    <xdr:sp macro="" textlink="">
      <xdr:nvSpPr>
        <xdr:cNvPr id="5501661" name="Line 289">
          <a:extLst>
            <a:ext uri="{FF2B5EF4-FFF2-40B4-BE49-F238E27FC236}">
              <a16:creationId xmlns:a16="http://schemas.microsoft.com/office/drawing/2014/main" id="{00000000-0008-0000-0700-0000DDF25300}"/>
            </a:ext>
          </a:extLst>
        </xdr:cNvPr>
        <xdr:cNvSpPr>
          <a:spLocks noChangeShapeType="1"/>
        </xdr:cNvSpPr>
      </xdr:nvSpPr>
      <xdr:spPr bwMode="auto">
        <a:xfrm>
          <a:off x="14408150" y="2559050"/>
          <a:ext cx="1460500" cy="0"/>
        </a:xfrm>
        <a:prstGeom prst="line">
          <a:avLst/>
        </a:prstGeom>
        <a:noFill/>
        <a:ln w="6350">
          <a:solidFill>
            <a:srgbClr val="92D050"/>
          </a:solidFill>
          <a:round/>
          <a:headEnd/>
          <a:tailEnd/>
        </a:ln>
      </xdr:spPr>
    </xdr:sp>
    <xdr:clientData/>
  </xdr:twoCellAnchor>
  <xdr:twoCellAnchor>
    <xdr:from>
      <xdr:col>17</xdr:col>
      <xdr:colOff>679450</xdr:colOff>
      <xdr:row>15</xdr:row>
      <xdr:rowOff>127000</xdr:rowOff>
    </xdr:from>
    <xdr:to>
      <xdr:col>19</xdr:col>
      <xdr:colOff>44450</xdr:colOff>
      <xdr:row>15</xdr:row>
      <xdr:rowOff>127000</xdr:rowOff>
    </xdr:to>
    <xdr:sp macro="" textlink="">
      <xdr:nvSpPr>
        <xdr:cNvPr id="5501662" name="Line 290">
          <a:extLst>
            <a:ext uri="{FF2B5EF4-FFF2-40B4-BE49-F238E27FC236}">
              <a16:creationId xmlns:a16="http://schemas.microsoft.com/office/drawing/2014/main" id="{00000000-0008-0000-0700-0000DEF25300}"/>
            </a:ext>
          </a:extLst>
        </xdr:cNvPr>
        <xdr:cNvSpPr>
          <a:spLocks noChangeShapeType="1"/>
        </xdr:cNvSpPr>
      </xdr:nvSpPr>
      <xdr:spPr bwMode="auto">
        <a:xfrm>
          <a:off x="14255750" y="2724150"/>
          <a:ext cx="1638300" cy="0"/>
        </a:xfrm>
        <a:prstGeom prst="line">
          <a:avLst/>
        </a:prstGeom>
        <a:noFill/>
        <a:ln w="6350">
          <a:solidFill>
            <a:srgbClr val="92D050"/>
          </a:solidFill>
          <a:round/>
          <a:headEnd/>
          <a:tailEnd/>
        </a:ln>
      </xdr:spPr>
    </xdr:sp>
    <xdr:clientData/>
  </xdr:twoCellAnchor>
  <xdr:twoCellAnchor>
    <xdr:from>
      <xdr:col>17</xdr:col>
      <xdr:colOff>666750</xdr:colOff>
      <xdr:row>18</xdr:row>
      <xdr:rowOff>69850</xdr:rowOff>
    </xdr:from>
    <xdr:to>
      <xdr:col>19</xdr:col>
      <xdr:colOff>44450</xdr:colOff>
      <xdr:row>18</xdr:row>
      <xdr:rowOff>69850</xdr:rowOff>
    </xdr:to>
    <xdr:sp macro="" textlink="">
      <xdr:nvSpPr>
        <xdr:cNvPr id="5501663" name="Line 291">
          <a:extLst>
            <a:ext uri="{FF2B5EF4-FFF2-40B4-BE49-F238E27FC236}">
              <a16:creationId xmlns:a16="http://schemas.microsoft.com/office/drawing/2014/main" id="{00000000-0008-0000-0700-0000DFF25300}"/>
            </a:ext>
          </a:extLst>
        </xdr:cNvPr>
        <xdr:cNvSpPr>
          <a:spLocks noChangeShapeType="1"/>
        </xdr:cNvSpPr>
      </xdr:nvSpPr>
      <xdr:spPr bwMode="auto">
        <a:xfrm>
          <a:off x="14243050" y="3162300"/>
          <a:ext cx="1651000" cy="0"/>
        </a:xfrm>
        <a:prstGeom prst="line">
          <a:avLst/>
        </a:prstGeom>
        <a:noFill/>
        <a:ln w="6350">
          <a:solidFill>
            <a:srgbClr val="92D050"/>
          </a:solidFill>
          <a:round/>
          <a:headEnd/>
          <a:tailEnd/>
        </a:ln>
      </xdr:spPr>
    </xdr:sp>
    <xdr:clientData/>
  </xdr:twoCellAnchor>
  <xdr:twoCellAnchor>
    <xdr:from>
      <xdr:col>17</xdr:col>
      <xdr:colOff>946150</xdr:colOff>
      <xdr:row>19</xdr:row>
      <xdr:rowOff>139700</xdr:rowOff>
    </xdr:from>
    <xdr:to>
      <xdr:col>19</xdr:col>
      <xdr:colOff>12700</xdr:colOff>
      <xdr:row>19</xdr:row>
      <xdr:rowOff>139700</xdr:rowOff>
    </xdr:to>
    <xdr:sp macro="" textlink="">
      <xdr:nvSpPr>
        <xdr:cNvPr id="5501664" name="Line 292">
          <a:extLst>
            <a:ext uri="{FF2B5EF4-FFF2-40B4-BE49-F238E27FC236}">
              <a16:creationId xmlns:a16="http://schemas.microsoft.com/office/drawing/2014/main" id="{00000000-0008-0000-0700-0000E0F25300}"/>
            </a:ext>
          </a:extLst>
        </xdr:cNvPr>
        <xdr:cNvSpPr>
          <a:spLocks noChangeShapeType="1"/>
        </xdr:cNvSpPr>
      </xdr:nvSpPr>
      <xdr:spPr bwMode="auto">
        <a:xfrm>
          <a:off x="14522450" y="3397250"/>
          <a:ext cx="1339850" cy="0"/>
        </a:xfrm>
        <a:prstGeom prst="line">
          <a:avLst/>
        </a:prstGeom>
        <a:noFill/>
        <a:ln w="6350">
          <a:solidFill>
            <a:srgbClr val="92D050"/>
          </a:solidFill>
          <a:round/>
          <a:headEnd/>
          <a:tailEnd/>
        </a:ln>
      </xdr:spPr>
    </xdr:sp>
    <xdr:clientData/>
  </xdr:twoCellAnchor>
  <xdr:twoCellAnchor>
    <xdr:from>
      <xdr:col>17</xdr:col>
      <xdr:colOff>1136650</xdr:colOff>
      <xdr:row>1</xdr:row>
      <xdr:rowOff>0</xdr:rowOff>
    </xdr:from>
    <xdr:to>
      <xdr:col>18</xdr:col>
      <xdr:colOff>0</xdr:colOff>
      <xdr:row>14</xdr:row>
      <xdr:rowOff>127000</xdr:rowOff>
    </xdr:to>
    <xdr:sp macro="" textlink="">
      <xdr:nvSpPr>
        <xdr:cNvPr id="5501665" name="Line 293">
          <a:extLst>
            <a:ext uri="{FF2B5EF4-FFF2-40B4-BE49-F238E27FC236}">
              <a16:creationId xmlns:a16="http://schemas.microsoft.com/office/drawing/2014/main" id="{00000000-0008-0000-0700-0000E1F25300}"/>
            </a:ext>
          </a:extLst>
        </xdr:cNvPr>
        <xdr:cNvSpPr>
          <a:spLocks noChangeShapeType="1"/>
        </xdr:cNvSpPr>
      </xdr:nvSpPr>
      <xdr:spPr bwMode="auto">
        <a:xfrm flipH="1">
          <a:off x="14712950" y="171450"/>
          <a:ext cx="0" cy="2387600"/>
        </a:xfrm>
        <a:prstGeom prst="line">
          <a:avLst/>
        </a:prstGeom>
        <a:noFill/>
        <a:ln w="9525">
          <a:solidFill>
            <a:srgbClr val="92D050"/>
          </a:solidFill>
          <a:prstDash val="sysDot"/>
          <a:round/>
          <a:headEnd type="triangle" w="sm" len="sm"/>
          <a:tailEnd type="triangle" w="sm" len="sm"/>
        </a:ln>
      </xdr:spPr>
    </xdr:sp>
    <xdr:clientData/>
  </xdr:twoCellAnchor>
  <xdr:twoCellAnchor>
    <xdr:from>
      <xdr:col>18</xdr:col>
      <xdr:colOff>190500</xdr:colOff>
      <xdr:row>1</xdr:row>
      <xdr:rowOff>0</xdr:rowOff>
    </xdr:from>
    <xdr:to>
      <xdr:col>18</xdr:col>
      <xdr:colOff>190500</xdr:colOff>
      <xdr:row>18</xdr:row>
      <xdr:rowOff>69850</xdr:rowOff>
    </xdr:to>
    <xdr:sp macro="" textlink="">
      <xdr:nvSpPr>
        <xdr:cNvPr id="5501666" name="Line 294">
          <a:extLst>
            <a:ext uri="{FF2B5EF4-FFF2-40B4-BE49-F238E27FC236}">
              <a16:creationId xmlns:a16="http://schemas.microsoft.com/office/drawing/2014/main" id="{00000000-0008-0000-0700-0000E2F25300}"/>
            </a:ext>
          </a:extLst>
        </xdr:cNvPr>
        <xdr:cNvSpPr>
          <a:spLocks noChangeShapeType="1"/>
        </xdr:cNvSpPr>
      </xdr:nvSpPr>
      <xdr:spPr bwMode="auto">
        <a:xfrm>
          <a:off x="14903450" y="171450"/>
          <a:ext cx="0" cy="2990850"/>
        </a:xfrm>
        <a:prstGeom prst="line">
          <a:avLst/>
        </a:prstGeom>
        <a:noFill/>
        <a:ln w="9525">
          <a:solidFill>
            <a:srgbClr val="92D050"/>
          </a:solidFill>
          <a:prstDash val="sysDot"/>
          <a:round/>
          <a:headEnd type="triangle" w="sm" len="sm"/>
          <a:tailEnd type="triangle" w="sm" len="sm"/>
        </a:ln>
      </xdr:spPr>
    </xdr:sp>
    <xdr:clientData/>
  </xdr:twoCellAnchor>
  <xdr:twoCellAnchor>
    <xdr:from>
      <xdr:col>19</xdr:col>
      <xdr:colOff>19050</xdr:colOff>
      <xdr:row>14</xdr:row>
      <xdr:rowOff>127000</xdr:rowOff>
    </xdr:from>
    <xdr:to>
      <xdr:col>19</xdr:col>
      <xdr:colOff>19050</xdr:colOff>
      <xdr:row>15</xdr:row>
      <xdr:rowOff>127000</xdr:rowOff>
    </xdr:to>
    <xdr:sp macro="" textlink="">
      <xdr:nvSpPr>
        <xdr:cNvPr id="5501667" name="Line 295">
          <a:extLst>
            <a:ext uri="{FF2B5EF4-FFF2-40B4-BE49-F238E27FC236}">
              <a16:creationId xmlns:a16="http://schemas.microsoft.com/office/drawing/2014/main" id="{00000000-0008-0000-0700-0000E3F25300}"/>
            </a:ext>
          </a:extLst>
        </xdr:cNvPr>
        <xdr:cNvSpPr>
          <a:spLocks noChangeShapeType="1"/>
        </xdr:cNvSpPr>
      </xdr:nvSpPr>
      <xdr:spPr bwMode="auto">
        <a:xfrm>
          <a:off x="15868650" y="2559050"/>
          <a:ext cx="0" cy="165100"/>
        </a:xfrm>
        <a:prstGeom prst="line">
          <a:avLst/>
        </a:prstGeom>
        <a:noFill/>
        <a:ln w="3175">
          <a:solidFill>
            <a:srgbClr val="92D050"/>
          </a:solidFill>
          <a:prstDash val="sysDot"/>
          <a:round/>
          <a:headEnd type="triangle" w="sm" len="sm"/>
          <a:tailEnd type="triangle" w="sm" len="sm"/>
        </a:ln>
      </xdr:spPr>
    </xdr:sp>
    <xdr:clientData/>
  </xdr:twoCellAnchor>
  <xdr:twoCellAnchor>
    <xdr:from>
      <xdr:col>19</xdr:col>
      <xdr:colOff>12700</xdr:colOff>
      <xdr:row>18</xdr:row>
      <xdr:rowOff>69850</xdr:rowOff>
    </xdr:from>
    <xdr:to>
      <xdr:col>19</xdr:col>
      <xdr:colOff>12700</xdr:colOff>
      <xdr:row>19</xdr:row>
      <xdr:rowOff>139700</xdr:rowOff>
    </xdr:to>
    <xdr:sp macro="" textlink="">
      <xdr:nvSpPr>
        <xdr:cNvPr id="5501668" name="Line 296">
          <a:extLst>
            <a:ext uri="{FF2B5EF4-FFF2-40B4-BE49-F238E27FC236}">
              <a16:creationId xmlns:a16="http://schemas.microsoft.com/office/drawing/2014/main" id="{00000000-0008-0000-0700-0000E4F25300}"/>
            </a:ext>
          </a:extLst>
        </xdr:cNvPr>
        <xdr:cNvSpPr>
          <a:spLocks noChangeShapeType="1"/>
        </xdr:cNvSpPr>
      </xdr:nvSpPr>
      <xdr:spPr bwMode="auto">
        <a:xfrm>
          <a:off x="15862300" y="3162300"/>
          <a:ext cx="0" cy="234950"/>
        </a:xfrm>
        <a:prstGeom prst="line">
          <a:avLst/>
        </a:prstGeom>
        <a:noFill/>
        <a:ln w="9525">
          <a:solidFill>
            <a:srgbClr val="92D050"/>
          </a:solidFill>
          <a:prstDash val="sysDot"/>
          <a:round/>
          <a:headEnd type="triangle" w="sm" len="sm"/>
          <a:tailEnd type="triangle" w="sm" len="sm"/>
        </a:ln>
      </xdr:spPr>
    </xdr:sp>
    <xdr:clientData/>
  </xdr:twoCellAnchor>
  <xdr:twoCellAnchor>
    <xdr:from>
      <xdr:col>17</xdr:col>
      <xdr:colOff>0</xdr:colOff>
      <xdr:row>11</xdr:row>
      <xdr:rowOff>101600</xdr:rowOff>
    </xdr:from>
    <xdr:to>
      <xdr:col>17</xdr:col>
      <xdr:colOff>838200</xdr:colOff>
      <xdr:row>11</xdr:row>
      <xdr:rowOff>101600</xdr:rowOff>
    </xdr:to>
    <xdr:sp macro="" textlink="">
      <xdr:nvSpPr>
        <xdr:cNvPr id="5501669" name="Line 297">
          <a:extLst>
            <a:ext uri="{FF2B5EF4-FFF2-40B4-BE49-F238E27FC236}">
              <a16:creationId xmlns:a16="http://schemas.microsoft.com/office/drawing/2014/main" id="{00000000-0008-0000-0700-0000E5F25300}"/>
            </a:ext>
          </a:extLst>
        </xdr:cNvPr>
        <xdr:cNvSpPr>
          <a:spLocks noChangeShapeType="1"/>
        </xdr:cNvSpPr>
      </xdr:nvSpPr>
      <xdr:spPr bwMode="auto">
        <a:xfrm>
          <a:off x="13576300" y="2032000"/>
          <a:ext cx="838200" cy="0"/>
        </a:xfrm>
        <a:prstGeom prst="line">
          <a:avLst/>
        </a:prstGeom>
        <a:noFill/>
        <a:ln w="9525">
          <a:solidFill>
            <a:srgbClr val="000000"/>
          </a:solidFill>
          <a:round/>
          <a:headEnd/>
          <a:tailEnd/>
        </a:ln>
      </xdr:spPr>
    </xdr:sp>
    <xdr:clientData/>
  </xdr:twoCellAnchor>
  <xdr:twoCellAnchor>
    <xdr:from>
      <xdr:col>17</xdr:col>
      <xdr:colOff>0</xdr:colOff>
      <xdr:row>16</xdr:row>
      <xdr:rowOff>69850</xdr:rowOff>
    </xdr:from>
    <xdr:to>
      <xdr:col>17</xdr:col>
      <xdr:colOff>679450</xdr:colOff>
      <xdr:row>16</xdr:row>
      <xdr:rowOff>69850</xdr:rowOff>
    </xdr:to>
    <xdr:sp macro="" textlink="">
      <xdr:nvSpPr>
        <xdr:cNvPr id="5501670" name="Line 298">
          <a:extLst>
            <a:ext uri="{FF2B5EF4-FFF2-40B4-BE49-F238E27FC236}">
              <a16:creationId xmlns:a16="http://schemas.microsoft.com/office/drawing/2014/main" id="{00000000-0008-0000-0700-0000E6F25300}"/>
            </a:ext>
          </a:extLst>
        </xdr:cNvPr>
        <xdr:cNvSpPr>
          <a:spLocks noChangeShapeType="1"/>
        </xdr:cNvSpPr>
      </xdr:nvSpPr>
      <xdr:spPr bwMode="auto">
        <a:xfrm>
          <a:off x="13576300" y="2832100"/>
          <a:ext cx="679450" cy="0"/>
        </a:xfrm>
        <a:prstGeom prst="line">
          <a:avLst/>
        </a:prstGeom>
        <a:noFill/>
        <a:ln w="9525">
          <a:solidFill>
            <a:srgbClr val="92D050"/>
          </a:solidFill>
          <a:round/>
          <a:headEnd/>
          <a:tailEnd/>
        </a:ln>
      </xdr:spPr>
    </xdr:sp>
    <xdr:clientData/>
  </xdr:twoCellAnchor>
  <xdr:twoCellAnchor>
    <xdr:from>
      <xdr:col>17</xdr:col>
      <xdr:colOff>514350</xdr:colOff>
      <xdr:row>31</xdr:row>
      <xdr:rowOff>127000</xdr:rowOff>
    </xdr:from>
    <xdr:to>
      <xdr:col>17</xdr:col>
      <xdr:colOff>514350</xdr:colOff>
      <xdr:row>33</xdr:row>
      <xdr:rowOff>95250</xdr:rowOff>
    </xdr:to>
    <xdr:sp macro="" textlink="">
      <xdr:nvSpPr>
        <xdr:cNvPr id="5501671" name="Line 301">
          <a:extLst>
            <a:ext uri="{FF2B5EF4-FFF2-40B4-BE49-F238E27FC236}">
              <a16:creationId xmlns:a16="http://schemas.microsoft.com/office/drawing/2014/main" id="{00000000-0008-0000-0700-0000E7F25300}"/>
            </a:ext>
          </a:extLst>
        </xdr:cNvPr>
        <xdr:cNvSpPr>
          <a:spLocks noChangeShapeType="1"/>
        </xdr:cNvSpPr>
      </xdr:nvSpPr>
      <xdr:spPr bwMode="auto">
        <a:xfrm flipH="1">
          <a:off x="14090650" y="5391150"/>
          <a:ext cx="0" cy="311150"/>
        </a:xfrm>
        <a:prstGeom prst="line">
          <a:avLst/>
        </a:prstGeom>
        <a:noFill/>
        <a:ln w="9525">
          <a:solidFill>
            <a:srgbClr val="000000"/>
          </a:solidFill>
          <a:round/>
          <a:headEnd/>
          <a:tailEnd/>
        </a:ln>
      </xdr:spPr>
    </xdr:sp>
    <xdr:clientData/>
  </xdr:twoCellAnchor>
  <xdr:twoCellAnchor>
    <xdr:from>
      <xdr:col>17</xdr:col>
      <xdr:colOff>0</xdr:colOff>
      <xdr:row>2</xdr:row>
      <xdr:rowOff>76200</xdr:rowOff>
    </xdr:from>
    <xdr:to>
      <xdr:col>17</xdr:col>
      <xdr:colOff>152400</xdr:colOff>
      <xdr:row>2</xdr:row>
      <xdr:rowOff>76200</xdr:rowOff>
    </xdr:to>
    <xdr:sp macro="" textlink="">
      <xdr:nvSpPr>
        <xdr:cNvPr id="5501672" name="Line 302">
          <a:extLst>
            <a:ext uri="{FF2B5EF4-FFF2-40B4-BE49-F238E27FC236}">
              <a16:creationId xmlns:a16="http://schemas.microsoft.com/office/drawing/2014/main" id="{00000000-0008-0000-0700-0000E8F25300}"/>
            </a:ext>
          </a:extLst>
        </xdr:cNvPr>
        <xdr:cNvSpPr>
          <a:spLocks noChangeShapeType="1"/>
        </xdr:cNvSpPr>
      </xdr:nvSpPr>
      <xdr:spPr bwMode="auto">
        <a:xfrm>
          <a:off x="13576300" y="419100"/>
          <a:ext cx="152400" cy="0"/>
        </a:xfrm>
        <a:prstGeom prst="line">
          <a:avLst/>
        </a:prstGeom>
        <a:noFill/>
        <a:ln w="9525">
          <a:solidFill>
            <a:srgbClr val="000000"/>
          </a:solidFill>
          <a:round/>
          <a:headEnd/>
          <a:tailEnd/>
        </a:ln>
      </xdr:spPr>
    </xdr:sp>
    <xdr:clientData/>
  </xdr:twoCellAnchor>
  <xdr:twoCellAnchor>
    <xdr:from>
      <xdr:col>17</xdr:col>
      <xdr:colOff>1771650</xdr:colOff>
      <xdr:row>10</xdr:row>
      <xdr:rowOff>88900</xdr:rowOff>
    </xdr:from>
    <xdr:to>
      <xdr:col>20</xdr:col>
      <xdr:colOff>0</xdr:colOff>
      <xdr:row>10</xdr:row>
      <xdr:rowOff>88900</xdr:rowOff>
    </xdr:to>
    <xdr:sp macro="" textlink="">
      <xdr:nvSpPr>
        <xdr:cNvPr id="5501673" name="Line 303">
          <a:extLst>
            <a:ext uri="{FF2B5EF4-FFF2-40B4-BE49-F238E27FC236}">
              <a16:creationId xmlns:a16="http://schemas.microsoft.com/office/drawing/2014/main" id="{00000000-0008-0000-0700-0000E9F25300}"/>
            </a:ext>
          </a:extLst>
        </xdr:cNvPr>
        <xdr:cNvSpPr>
          <a:spLocks noChangeShapeType="1"/>
        </xdr:cNvSpPr>
      </xdr:nvSpPr>
      <xdr:spPr bwMode="auto">
        <a:xfrm flipV="1">
          <a:off x="14712950" y="1847850"/>
          <a:ext cx="1949450" cy="0"/>
        </a:xfrm>
        <a:prstGeom prst="line">
          <a:avLst/>
        </a:prstGeom>
        <a:noFill/>
        <a:ln w="9525">
          <a:solidFill>
            <a:srgbClr val="92D050"/>
          </a:solidFill>
          <a:prstDash val="sysDot"/>
          <a:round/>
          <a:headEnd/>
          <a:tailEnd/>
        </a:ln>
      </xdr:spPr>
    </xdr:sp>
    <xdr:clientData/>
  </xdr:twoCellAnchor>
  <xdr:twoCellAnchor>
    <xdr:from>
      <xdr:col>18</xdr:col>
      <xdr:colOff>190500</xdr:colOff>
      <xdr:row>12</xdr:row>
      <xdr:rowOff>76200</xdr:rowOff>
    </xdr:from>
    <xdr:to>
      <xdr:col>20</xdr:col>
      <xdr:colOff>0</xdr:colOff>
      <xdr:row>12</xdr:row>
      <xdr:rowOff>76200</xdr:rowOff>
    </xdr:to>
    <xdr:sp macro="" textlink="">
      <xdr:nvSpPr>
        <xdr:cNvPr id="5501674" name="Line 304">
          <a:extLst>
            <a:ext uri="{FF2B5EF4-FFF2-40B4-BE49-F238E27FC236}">
              <a16:creationId xmlns:a16="http://schemas.microsoft.com/office/drawing/2014/main" id="{00000000-0008-0000-0700-0000EAF25300}"/>
            </a:ext>
          </a:extLst>
        </xdr:cNvPr>
        <xdr:cNvSpPr>
          <a:spLocks noChangeShapeType="1"/>
        </xdr:cNvSpPr>
      </xdr:nvSpPr>
      <xdr:spPr bwMode="auto">
        <a:xfrm flipV="1">
          <a:off x="14903450" y="2178050"/>
          <a:ext cx="1758950" cy="0"/>
        </a:xfrm>
        <a:prstGeom prst="line">
          <a:avLst/>
        </a:prstGeom>
        <a:noFill/>
        <a:ln w="9525">
          <a:solidFill>
            <a:srgbClr val="92D050"/>
          </a:solidFill>
          <a:prstDash val="sysDot"/>
          <a:round/>
          <a:headEnd/>
          <a:tailEnd/>
        </a:ln>
      </xdr:spPr>
    </xdr:sp>
    <xdr:clientData/>
  </xdr:twoCellAnchor>
  <xdr:twoCellAnchor>
    <xdr:from>
      <xdr:col>19</xdr:col>
      <xdr:colOff>19050</xdr:colOff>
      <xdr:row>15</xdr:row>
      <xdr:rowOff>44450</xdr:rowOff>
    </xdr:from>
    <xdr:to>
      <xdr:col>19</xdr:col>
      <xdr:colOff>787400</xdr:colOff>
      <xdr:row>15</xdr:row>
      <xdr:rowOff>44450</xdr:rowOff>
    </xdr:to>
    <xdr:sp macro="" textlink="">
      <xdr:nvSpPr>
        <xdr:cNvPr id="5501675" name="Line 305">
          <a:extLst>
            <a:ext uri="{FF2B5EF4-FFF2-40B4-BE49-F238E27FC236}">
              <a16:creationId xmlns:a16="http://schemas.microsoft.com/office/drawing/2014/main" id="{00000000-0008-0000-0700-0000EBF25300}"/>
            </a:ext>
          </a:extLst>
        </xdr:cNvPr>
        <xdr:cNvSpPr>
          <a:spLocks noChangeShapeType="1"/>
        </xdr:cNvSpPr>
      </xdr:nvSpPr>
      <xdr:spPr bwMode="auto">
        <a:xfrm flipV="1">
          <a:off x="15868650" y="2641600"/>
          <a:ext cx="768350" cy="0"/>
        </a:xfrm>
        <a:prstGeom prst="line">
          <a:avLst/>
        </a:prstGeom>
        <a:noFill/>
        <a:ln w="9525">
          <a:solidFill>
            <a:srgbClr val="92D050"/>
          </a:solidFill>
          <a:prstDash val="sysDot"/>
          <a:round/>
          <a:headEnd/>
          <a:tailEnd/>
        </a:ln>
      </xdr:spPr>
    </xdr:sp>
    <xdr:clientData/>
  </xdr:twoCellAnchor>
  <xdr:twoCellAnchor>
    <xdr:from>
      <xdr:col>19</xdr:col>
      <xdr:colOff>19050</xdr:colOff>
      <xdr:row>19</xdr:row>
      <xdr:rowOff>25400</xdr:rowOff>
    </xdr:from>
    <xdr:to>
      <xdr:col>19</xdr:col>
      <xdr:colOff>806450</xdr:colOff>
      <xdr:row>19</xdr:row>
      <xdr:rowOff>25400</xdr:rowOff>
    </xdr:to>
    <xdr:sp macro="" textlink="">
      <xdr:nvSpPr>
        <xdr:cNvPr id="5501676" name="Line 308">
          <a:extLst>
            <a:ext uri="{FF2B5EF4-FFF2-40B4-BE49-F238E27FC236}">
              <a16:creationId xmlns:a16="http://schemas.microsoft.com/office/drawing/2014/main" id="{00000000-0008-0000-0700-0000ECF25300}"/>
            </a:ext>
          </a:extLst>
        </xdr:cNvPr>
        <xdr:cNvSpPr>
          <a:spLocks noChangeShapeType="1"/>
        </xdr:cNvSpPr>
      </xdr:nvSpPr>
      <xdr:spPr bwMode="auto">
        <a:xfrm flipH="1" flipV="1">
          <a:off x="15868650" y="3282950"/>
          <a:ext cx="787400" cy="0"/>
        </a:xfrm>
        <a:prstGeom prst="line">
          <a:avLst/>
        </a:prstGeom>
        <a:noFill/>
        <a:ln w="9525">
          <a:solidFill>
            <a:srgbClr val="92D050"/>
          </a:solidFill>
          <a:prstDash val="sysDot"/>
          <a:round/>
          <a:headEnd type="none" w="sm" len="sm"/>
          <a:tailEnd type="none" w="sm" len="sm"/>
        </a:ln>
      </xdr:spPr>
    </xdr:sp>
    <xdr:clientData/>
  </xdr:twoCellAnchor>
  <xdr:twoCellAnchor>
    <xdr:from>
      <xdr:col>15</xdr:col>
      <xdr:colOff>812800</xdr:colOff>
      <xdr:row>28</xdr:row>
      <xdr:rowOff>88900</xdr:rowOff>
    </xdr:from>
    <xdr:to>
      <xdr:col>16</xdr:col>
      <xdr:colOff>323850</xdr:colOff>
      <xdr:row>28</xdr:row>
      <xdr:rowOff>88900</xdr:rowOff>
    </xdr:to>
    <xdr:sp macro="" textlink="">
      <xdr:nvSpPr>
        <xdr:cNvPr id="5501677" name="Line 310">
          <a:extLst>
            <a:ext uri="{FF2B5EF4-FFF2-40B4-BE49-F238E27FC236}">
              <a16:creationId xmlns:a16="http://schemas.microsoft.com/office/drawing/2014/main" id="{00000000-0008-0000-0700-0000EDF25300}"/>
            </a:ext>
          </a:extLst>
        </xdr:cNvPr>
        <xdr:cNvSpPr>
          <a:spLocks noChangeShapeType="1"/>
        </xdr:cNvSpPr>
      </xdr:nvSpPr>
      <xdr:spPr bwMode="auto">
        <a:xfrm>
          <a:off x="12763500" y="4838700"/>
          <a:ext cx="323850" cy="0"/>
        </a:xfrm>
        <a:prstGeom prst="line">
          <a:avLst/>
        </a:prstGeom>
        <a:noFill/>
        <a:ln w="9525">
          <a:solidFill>
            <a:srgbClr val="000000"/>
          </a:solidFill>
          <a:round/>
          <a:headEnd/>
          <a:tailEnd/>
        </a:ln>
      </xdr:spPr>
    </xdr:sp>
    <xdr:clientData/>
  </xdr:twoCellAnchor>
  <xdr:twoCellAnchor>
    <xdr:from>
      <xdr:col>16</xdr:col>
      <xdr:colOff>234950</xdr:colOff>
      <xdr:row>27</xdr:row>
      <xdr:rowOff>127000</xdr:rowOff>
    </xdr:from>
    <xdr:to>
      <xdr:col>17</xdr:col>
      <xdr:colOff>69850</xdr:colOff>
      <xdr:row>27</xdr:row>
      <xdr:rowOff>127000</xdr:rowOff>
    </xdr:to>
    <xdr:sp macro="" textlink="">
      <xdr:nvSpPr>
        <xdr:cNvPr id="5501678" name="Line 277">
          <a:extLst>
            <a:ext uri="{FF2B5EF4-FFF2-40B4-BE49-F238E27FC236}">
              <a16:creationId xmlns:a16="http://schemas.microsoft.com/office/drawing/2014/main" id="{00000000-0008-0000-0700-0000EEF25300}"/>
            </a:ext>
          </a:extLst>
        </xdr:cNvPr>
        <xdr:cNvSpPr>
          <a:spLocks noChangeShapeType="1"/>
        </xdr:cNvSpPr>
      </xdr:nvSpPr>
      <xdr:spPr bwMode="auto">
        <a:xfrm>
          <a:off x="12998450" y="4705350"/>
          <a:ext cx="647700" cy="0"/>
        </a:xfrm>
        <a:prstGeom prst="line">
          <a:avLst/>
        </a:prstGeom>
        <a:noFill/>
        <a:ln w="6350">
          <a:solidFill>
            <a:srgbClr val="000000"/>
          </a:solidFill>
          <a:round/>
          <a:headEnd/>
          <a:tailEnd/>
        </a:ln>
      </xdr:spPr>
    </xdr:sp>
    <xdr:clientData/>
  </xdr:twoCellAnchor>
  <xdr:twoCellAnchor>
    <xdr:from>
      <xdr:col>17</xdr:col>
      <xdr:colOff>412750</xdr:colOff>
      <xdr:row>28</xdr:row>
      <xdr:rowOff>127000</xdr:rowOff>
    </xdr:from>
    <xdr:to>
      <xdr:col>19</xdr:col>
      <xdr:colOff>82550</xdr:colOff>
      <xdr:row>28</xdr:row>
      <xdr:rowOff>127000</xdr:rowOff>
    </xdr:to>
    <xdr:sp macro="" textlink="">
      <xdr:nvSpPr>
        <xdr:cNvPr id="5501679" name="Line 280">
          <a:extLst>
            <a:ext uri="{FF2B5EF4-FFF2-40B4-BE49-F238E27FC236}">
              <a16:creationId xmlns:a16="http://schemas.microsoft.com/office/drawing/2014/main" id="{00000000-0008-0000-0700-0000EFF25300}"/>
            </a:ext>
          </a:extLst>
        </xdr:cNvPr>
        <xdr:cNvSpPr>
          <a:spLocks noChangeShapeType="1"/>
        </xdr:cNvSpPr>
      </xdr:nvSpPr>
      <xdr:spPr bwMode="auto">
        <a:xfrm flipV="1">
          <a:off x="13989050" y="4876800"/>
          <a:ext cx="1943100" cy="0"/>
        </a:xfrm>
        <a:prstGeom prst="line">
          <a:avLst/>
        </a:prstGeom>
        <a:noFill/>
        <a:ln w="6350">
          <a:solidFill>
            <a:srgbClr val="000000"/>
          </a:solidFill>
          <a:round/>
          <a:headEnd/>
          <a:tailEnd/>
        </a:ln>
      </xdr:spPr>
    </xdr:sp>
    <xdr:clientData/>
  </xdr:twoCellAnchor>
  <xdr:twoCellAnchor>
    <xdr:from>
      <xdr:col>18</xdr:col>
      <xdr:colOff>165100</xdr:colOff>
      <xdr:row>30</xdr:row>
      <xdr:rowOff>44450</xdr:rowOff>
    </xdr:from>
    <xdr:to>
      <xdr:col>18</xdr:col>
      <xdr:colOff>927100</xdr:colOff>
      <xdr:row>30</xdr:row>
      <xdr:rowOff>44450</xdr:rowOff>
    </xdr:to>
    <xdr:sp macro="" textlink="">
      <xdr:nvSpPr>
        <xdr:cNvPr id="5501680" name="Line 280">
          <a:extLst>
            <a:ext uri="{FF2B5EF4-FFF2-40B4-BE49-F238E27FC236}">
              <a16:creationId xmlns:a16="http://schemas.microsoft.com/office/drawing/2014/main" id="{00000000-0008-0000-0700-0000F0F25300}"/>
            </a:ext>
          </a:extLst>
        </xdr:cNvPr>
        <xdr:cNvSpPr>
          <a:spLocks noChangeShapeType="1"/>
        </xdr:cNvSpPr>
      </xdr:nvSpPr>
      <xdr:spPr bwMode="auto">
        <a:xfrm>
          <a:off x="14878050" y="5137150"/>
          <a:ext cx="762000" cy="0"/>
        </a:xfrm>
        <a:prstGeom prst="line">
          <a:avLst/>
        </a:prstGeom>
        <a:noFill/>
        <a:ln w="6350">
          <a:solidFill>
            <a:srgbClr val="000000"/>
          </a:solidFill>
          <a:round/>
          <a:headEnd/>
          <a:tailEnd/>
        </a:ln>
      </xdr:spPr>
    </xdr:sp>
    <xdr:clientData/>
  </xdr:twoCellAnchor>
  <xdr:twoCellAnchor>
    <xdr:from>
      <xdr:col>17</xdr:col>
      <xdr:colOff>1047750</xdr:colOff>
      <xdr:row>20</xdr:row>
      <xdr:rowOff>0</xdr:rowOff>
    </xdr:from>
    <xdr:to>
      <xdr:col>18</xdr:col>
      <xdr:colOff>158750</xdr:colOff>
      <xdr:row>30</xdr:row>
      <xdr:rowOff>44450</xdr:rowOff>
    </xdr:to>
    <xdr:sp macro="" textlink="">
      <xdr:nvSpPr>
        <xdr:cNvPr id="5501681" name="Rectangle 139">
          <a:extLst>
            <a:ext uri="{FF2B5EF4-FFF2-40B4-BE49-F238E27FC236}">
              <a16:creationId xmlns:a16="http://schemas.microsoft.com/office/drawing/2014/main" id="{00000000-0008-0000-0700-0000F1F25300}"/>
            </a:ext>
          </a:extLst>
        </xdr:cNvPr>
        <xdr:cNvSpPr>
          <a:spLocks noChangeArrowheads="1"/>
        </xdr:cNvSpPr>
      </xdr:nvSpPr>
      <xdr:spPr bwMode="auto">
        <a:xfrm>
          <a:off x="14624050" y="3422650"/>
          <a:ext cx="247650" cy="1714500"/>
        </a:xfrm>
        <a:prstGeom prst="rect">
          <a:avLst/>
        </a:prstGeom>
        <a:noFill/>
        <a:ln w="9525" algn="ctr">
          <a:solidFill>
            <a:srgbClr val="00B0F0"/>
          </a:solidFill>
          <a:prstDash val="sysDash"/>
          <a:round/>
          <a:headEnd/>
          <a:tailEnd/>
        </a:ln>
      </xdr:spPr>
    </xdr:sp>
    <xdr:clientData/>
  </xdr:twoCellAnchor>
  <xdr:twoCellAnchor>
    <xdr:from>
      <xdr:col>18</xdr:col>
      <xdr:colOff>927100</xdr:colOff>
      <xdr:row>1</xdr:row>
      <xdr:rowOff>12700</xdr:rowOff>
    </xdr:from>
    <xdr:to>
      <xdr:col>18</xdr:col>
      <xdr:colOff>927100</xdr:colOff>
      <xdr:row>29</xdr:row>
      <xdr:rowOff>69850</xdr:rowOff>
    </xdr:to>
    <xdr:sp macro="" textlink="">
      <xdr:nvSpPr>
        <xdr:cNvPr id="5501682" name="Line 270">
          <a:extLst>
            <a:ext uri="{FF2B5EF4-FFF2-40B4-BE49-F238E27FC236}">
              <a16:creationId xmlns:a16="http://schemas.microsoft.com/office/drawing/2014/main" id="{00000000-0008-0000-0700-0000F2F25300}"/>
            </a:ext>
          </a:extLst>
        </xdr:cNvPr>
        <xdr:cNvSpPr>
          <a:spLocks noChangeShapeType="1"/>
        </xdr:cNvSpPr>
      </xdr:nvSpPr>
      <xdr:spPr bwMode="auto">
        <a:xfrm flipH="1">
          <a:off x="15640050" y="184150"/>
          <a:ext cx="0" cy="4806950"/>
        </a:xfrm>
        <a:prstGeom prst="line">
          <a:avLst/>
        </a:prstGeom>
        <a:noFill/>
        <a:ln w="6350">
          <a:solidFill>
            <a:srgbClr val="000000"/>
          </a:solidFill>
          <a:round/>
          <a:headEnd type="triangle" w="sm" len="lg"/>
          <a:tailEnd type="triangle" w="sm" len="lg"/>
        </a:ln>
      </xdr:spPr>
    </xdr:sp>
    <xdr:clientData/>
  </xdr:twoCellAnchor>
  <xdr:twoCellAnchor>
    <xdr:from>
      <xdr:col>17</xdr:col>
      <xdr:colOff>12700</xdr:colOff>
      <xdr:row>33</xdr:row>
      <xdr:rowOff>95250</xdr:rowOff>
    </xdr:from>
    <xdr:to>
      <xdr:col>17</xdr:col>
      <xdr:colOff>520700</xdr:colOff>
      <xdr:row>33</xdr:row>
      <xdr:rowOff>95250</xdr:rowOff>
    </xdr:to>
    <xdr:sp macro="" textlink="">
      <xdr:nvSpPr>
        <xdr:cNvPr id="5501683" name="Line 301">
          <a:extLst>
            <a:ext uri="{FF2B5EF4-FFF2-40B4-BE49-F238E27FC236}">
              <a16:creationId xmlns:a16="http://schemas.microsoft.com/office/drawing/2014/main" id="{00000000-0008-0000-0700-0000F3F25300}"/>
            </a:ext>
          </a:extLst>
        </xdr:cNvPr>
        <xdr:cNvSpPr>
          <a:spLocks noChangeShapeType="1"/>
        </xdr:cNvSpPr>
      </xdr:nvSpPr>
      <xdr:spPr bwMode="auto">
        <a:xfrm>
          <a:off x="13589000" y="5702300"/>
          <a:ext cx="508000" cy="0"/>
        </a:xfrm>
        <a:prstGeom prst="line">
          <a:avLst/>
        </a:prstGeom>
        <a:noFill/>
        <a:ln w="9525">
          <a:solidFill>
            <a:srgbClr val="000000"/>
          </a:solidFill>
          <a:round/>
          <a:headEnd/>
          <a:tailEnd/>
        </a:ln>
      </xdr:spPr>
    </xdr:sp>
    <xdr:clientData/>
  </xdr:twoCellAnchor>
  <xdr:twoCellAnchor>
    <xdr:from>
      <xdr:col>18</xdr:col>
      <xdr:colOff>787400</xdr:colOff>
      <xdr:row>1</xdr:row>
      <xdr:rowOff>19050</xdr:rowOff>
    </xdr:from>
    <xdr:to>
      <xdr:col>18</xdr:col>
      <xdr:colOff>787400</xdr:colOff>
      <xdr:row>30</xdr:row>
      <xdr:rowOff>38100</xdr:rowOff>
    </xdr:to>
    <xdr:sp macro="" textlink="">
      <xdr:nvSpPr>
        <xdr:cNvPr id="5501684" name="Line 270">
          <a:extLst>
            <a:ext uri="{FF2B5EF4-FFF2-40B4-BE49-F238E27FC236}">
              <a16:creationId xmlns:a16="http://schemas.microsoft.com/office/drawing/2014/main" id="{00000000-0008-0000-0700-0000F4F25300}"/>
            </a:ext>
          </a:extLst>
        </xdr:cNvPr>
        <xdr:cNvSpPr>
          <a:spLocks noChangeShapeType="1"/>
        </xdr:cNvSpPr>
      </xdr:nvSpPr>
      <xdr:spPr bwMode="auto">
        <a:xfrm>
          <a:off x="15500350" y="190500"/>
          <a:ext cx="0" cy="4940300"/>
        </a:xfrm>
        <a:prstGeom prst="line">
          <a:avLst/>
        </a:prstGeom>
        <a:noFill/>
        <a:ln w="6350">
          <a:solidFill>
            <a:srgbClr val="000000"/>
          </a:solidFill>
          <a:round/>
          <a:headEnd type="triangle" w="sm" len="lg"/>
          <a:tailEnd type="triangle" w="sm" len="lg"/>
        </a:ln>
      </xdr:spPr>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omments" Target="../comments1.xml"/><Relationship Id="rId2" Type="http://schemas.openxmlformats.org/officeDocument/2006/relationships/drawing" Target="../drawings/drawing1.xml"/><Relationship Id="rId16" Type="http://schemas.openxmlformats.org/officeDocument/2006/relationships/ctrlProp" Target="../ctrlProps/ctrlProp13.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16.xml"/><Relationship Id="rId3" Type="http://schemas.openxmlformats.org/officeDocument/2006/relationships/vmlDrawing" Target="../drawings/vmlDrawing2.vml"/><Relationship Id="rId7" Type="http://schemas.openxmlformats.org/officeDocument/2006/relationships/ctrlProp" Target="../ctrlProps/ctrlProp15.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14.xml"/><Relationship Id="rId11" Type="http://schemas.openxmlformats.org/officeDocument/2006/relationships/comments" Target="../comments2.xml"/><Relationship Id="rId5" Type="http://schemas.openxmlformats.org/officeDocument/2006/relationships/image" Target="../media/image6.emf"/><Relationship Id="rId10" Type="http://schemas.openxmlformats.org/officeDocument/2006/relationships/ctrlProp" Target="../ctrlProps/ctrlProp18.xml"/><Relationship Id="rId4" Type="http://schemas.openxmlformats.org/officeDocument/2006/relationships/oleObject" Target="../embeddings/oleObject1.bin"/><Relationship Id="rId9" Type="http://schemas.openxmlformats.org/officeDocument/2006/relationships/ctrlProp" Target="../ctrlProps/ctrlProp17.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oleObject" Target="../embeddings/oleObject12.bin"/><Relationship Id="rId21" Type="http://schemas.openxmlformats.org/officeDocument/2006/relationships/image" Target="../media/image14.emf"/><Relationship Id="rId42" Type="http://schemas.openxmlformats.org/officeDocument/2006/relationships/oleObject" Target="../embeddings/oleObject20.bin"/><Relationship Id="rId47" Type="http://schemas.openxmlformats.org/officeDocument/2006/relationships/image" Target="../media/image27.emf"/><Relationship Id="rId63" Type="http://schemas.openxmlformats.org/officeDocument/2006/relationships/image" Target="../media/image35.emf"/><Relationship Id="rId68" Type="http://schemas.openxmlformats.org/officeDocument/2006/relationships/oleObject" Target="../embeddings/oleObject33.bin"/><Relationship Id="rId16" Type="http://schemas.openxmlformats.org/officeDocument/2006/relationships/oleObject" Target="../embeddings/oleObject7.bin"/><Relationship Id="rId11" Type="http://schemas.openxmlformats.org/officeDocument/2006/relationships/image" Target="../media/image9.emf"/><Relationship Id="rId24" Type="http://schemas.openxmlformats.org/officeDocument/2006/relationships/oleObject" Target="../embeddings/oleObject11.bin"/><Relationship Id="rId32" Type="http://schemas.openxmlformats.org/officeDocument/2006/relationships/oleObject" Target="../embeddings/oleObject15.bin"/><Relationship Id="rId37" Type="http://schemas.openxmlformats.org/officeDocument/2006/relationships/image" Target="../media/image22.emf"/><Relationship Id="rId40" Type="http://schemas.openxmlformats.org/officeDocument/2006/relationships/oleObject" Target="../embeddings/oleObject19.bin"/><Relationship Id="rId45" Type="http://schemas.openxmlformats.org/officeDocument/2006/relationships/image" Target="../media/image26.emf"/><Relationship Id="rId53" Type="http://schemas.openxmlformats.org/officeDocument/2006/relationships/image" Target="../media/image30.emf"/><Relationship Id="rId58" Type="http://schemas.openxmlformats.org/officeDocument/2006/relationships/oleObject" Target="../embeddings/oleObject28.bin"/><Relationship Id="rId66" Type="http://schemas.openxmlformats.org/officeDocument/2006/relationships/oleObject" Target="../embeddings/oleObject32.bin"/><Relationship Id="rId74" Type="http://schemas.openxmlformats.org/officeDocument/2006/relationships/oleObject" Target="../embeddings/oleObject36.bin"/><Relationship Id="rId5" Type="http://schemas.openxmlformats.org/officeDocument/2006/relationships/vmlDrawing" Target="../drawings/vmlDrawing3.vml"/><Relationship Id="rId61" Type="http://schemas.openxmlformats.org/officeDocument/2006/relationships/image" Target="../media/image34.emf"/><Relationship Id="rId19" Type="http://schemas.openxmlformats.org/officeDocument/2006/relationships/image" Target="../media/image13.emf"/><Relationship Id="rId14" Type="http://schemas.openxmlformats.org/officeDocument/2006/relationships/oleObject" Target="../embeddings/oleObject6.bin"/><Relationship Id="rId22" Type="http://schemas.openxmlformats.org/officeDocument/2006/relationships/oleObject" Target="../embeddings/oleObject10.bin"/><Relationship Id="rId27" Type="http://schemas.openxmlformats.org/officeDocument/2006/relationships/image" Target="../media/image17.emf"/><Relationship Id="rId30" Type="http://schemas.openxmlformats.org/officeDocument/2006/relationships/oleObject" Target="../embeddings/oleObject14.bin"/><Relationship Id="rId35" Type="http://schemas.openxmlformats.org/officeDocument/2006/relationships/image" Target="../media/image21.emf"/><Relationship Id="rId43" Type="http://schemas.openxmlformats.org/officeDocument/2006/relationships/image" Target="../media/image25.emf"/><Relationship Id="rId48" Type="http://schemas.openxmlformats.org/officeDocument/2006/relationships/oleObject" Target="../embeddings/oleObject23.bin"/><Relationship Id="rId56" Type="http://schemas.openxmlformats.org/officeDocument/2006/relationships/oleObject" Target="../embeddings/oleObject27.bin"/><Relationship Id="rId64" Type="http://schemas.openxmlformats.org/officeDocument/2006/relationships/oleObject" Target="../embeddings/oleObject31.bin"/><Relationship Id="rId69" Type="http://schemas.openxmlformats.org/officeDocument/2006/relationships/image" Target="../media/image38.emf"/><Relationship Id="rId77" Type="http://schemas.openxmlformats.org/officeDocument/2006/relationships/image" Target="../media/image42.emf"/><Relationship Id="rId8" Type="http://schemas.openxmlformats.org/officeDocument/2006/relationships/oleObject" Target="../embeddings/oleObject3.bin"/><Relationship Id="rId51" Type="http://schemas.openxmlformats.org/officeDocument/2006/relationships/image" Target="../media/image29.emf"/><Relationship Id="rId72" Type="http://schemas.openxmlformats.org/officeDocument/2006/relationships/oleObject" Target="../embeddings/oleObject35.bin"/><Relationship Id="rId3" Type="http://schemas.openxmlformats.org/officeDocument/2006/relationships/printerSettings" Target="../printerSettings/printerSettings5.bin"/><Relationship Id="rId12" Type="http://schemas.openxmlformats.org/officeDocument/2006/relationships/oleObject" Target="../embeddings/oleObject5.bin"/><Relationship Id="rId17" Type="http://schemas.openxmlformats.org/officeDocument/2006/relationships/image" Target="../media/image12.emf"/><Relationship Id="rId25" Type="http://schemas.openxmlformats.org/officeDocument/2006/relationships/image" Target="../media/image16.emf"/><Relationship Id="rId33" Type="http://schemas.openxmlformats.org/officeDocument/2006/relationships/image" Target="../media/image20.emf"/><Relationship Id="rId38" Type="http://schemas.openxmlformats.org/officeDocument/2006/relationships/oleObject" Target="../embeddings/oleObject18.bin"/><Relationship Id="rId46" Type="http://schemas.openxmlformats.org/officeDocument/2006/relationships/oleObject" Target="../embeddings/oleObject22.bin"/><Relationship Id="rId59" Type="http://schemas.openxmlformats.org/officeDocument/2006/relationships/image" Target="../media/image33.emf"/><Relationship Id="rId67" Type="http://schemas.openxmlformats.org/officeDocument/2006/relationships/image" Target="../media/image37.emf"/><Relationship Id="rId20" Type="http://schemas.openxmlformats.org/officeDocument/2006/relationships/oleObject" Target="../embeddings/oleObject9.bin"/><Relationship Id="rId41" Type="http://schemas.openxmlformats.org/officeDocument/2006/relationships/image" Target="../media/image24.emf"/><Relationship Id="rId54" Type="http://schemas.openxmlformats.org/officeDocument/2006/relationships/oleObject" Target="../embeddings/oleObject26.bin"/><Relationship Id="rId62" Type="http://schemas.openxmlformats.org/officeDocument/2006/relationships/oleObject" Target="../embeddings/oleObject30.bin"/><Relationship Id="rId70" Type="http://schemas.openxmlformats.org/officeDocument/2006/relationships/oleObject" Target="../embeddings/oleObject34.bin"/><Relationship Id="rId75" Type="http://schemas.openxmlformats.org/officeDocument/2006/relationships/image" Target="../media/image41.emf"/><Relationship Id="rId1" Type="http://schemas.openxmlformats.org/officeDocument/2006/relationships/hyperlink" Target="http://en.wikipedia.org/wiki/Template:Numerical_integrators" TargetMode="External"/><Relationship Id="rId6" Type="http://schemas.openxmlformats.org/officeDocument/2006/relationships/oleObject" Target="../embeddings/oleObject2.bin"/><Relationship Id="rId15" Type="http://schemas.openxmlformats.org/officeDocument/2006/relationships/image" Target="../media/image11.emf"/><Relationship Id="rId23" Type="http://schemas.openxmlformats.org/officeDocument/2006/relationships/image" Target="../media/image15.emf"/><Relationship Id="rId28" Type="http://schemas.openxmlformats.org/officeDocument/2006/relationships/oleObject" Target="../embeddings/oleObject13.bin"/><Relationship Id="rId36" Type="http://schemas.openxmlformats.org/officeDocument/2006/relationships/oleObject" Target="../embeddings/oleObject17.bin"/><Relationship Id="rId49" Type="http://schemas.openxmlformats.org/officeDocument/2006/relationships/image" Target="../media/image28.emf"/><Relationship Id="rId57" Type="http://schemas.openxmlformats.org/officeDocument/2006/relationships/image" Target="../media/image32.emf"/><Relationship Id="rId10" Type="http://schemas.openxmlformats.org/officeDocument/2006/relationships/oleObject" Target="../embeddings/oleObject4.bin"/><Relationship Id="rId31" Type="http://schemas.openxmlformats.org/officeDocument/2006/relationships/image" Target="../media/image19.emf"/><Relationship Id="rId44" Type="http://schemas.openxmlformats.org/officeDocument/2006/relationships/oleObject" Target="../embeddings/oleObject21.bin"/><Relationship Id="rId52" Type="http://schemas.openxmlformats.org/officeDocument/2006/relationships/oleObject" Target="../embeddings/oleObject25.bin"/><Relationship Id="rId60" Type="http://schemas.openxmlformats.org/officeDocument/2006/relationships/oleObject" Target="../embeddings/oleObject29.bin"/><Relationship Id="rId65" Type="http://schemas.openxmlformats.org/officeDocument/2006/relationships/image" Target="../media/image36.emf"/><Relationship Id="rId73" Type="http://schemas.openxmlformats.org/officeDocument/2006/relationships/image" Target="../media/image40.emf"/><Relationship Id="rId4" Type="http://schemas.openxmlformats.org/officeDocument/2006/relationships/drawing" Target="../drawings/drawing5.xml"/><Relationship Id="rId9" Type="http://schemas.openxmlformats.org/officeDocument/2006/relationships/image" Target="../media/image8.emf"/><Relationship Id="rId13" Type="http://schemas.openxmlformats.org/officeDocument/2006/relationships/image" Target="../media/image10.emf"/><Relationship Id="rId18" Type="http://schemas.openxmlformats.org/officeDocument/2006/relationships/oleObject" Target="../embeddings/oleObject8.bin"/><Relationship Id="rId39" Type="http://schemas.openxmlformats.org/officeDocument/2006/relationships/image" Target="../media/image23.emf"/><Relationship Id="rId34" Type="http://schemas.openxmlformats.org/officeDocument/2006/relationships/oleObject" Target="../embeddings/oleObject16.bin"/><Relationship Id="rId50" Type="http://schemas.openxmlformats.org/officeDocument/2006/relationships/oleObject" Target="../embeddings/oleObject24.bin"/><Relationship Id="rId55" Type="http://schemas.openxmlformats.org/officeDocument/2006/relationships/image" Target="../media/image31.emf"/><Relationship Id="rId76" Type="http://schemas.openxmlformats.org/officeDocument/2006/relationships/oleObject" Target="../embeddings/oleObject37.bin"/><Relationship Id="rId7" Type="http://schemas.openxmlformats.org/officeDocument/2006/relationships/image" Target="../media/image7.emf"/><Relationship Id="rId71" Type="http://schemas.openxmlformats.org/officeDocument/2006/relationships/image" Target="../media/image39.emf"/><Relationship Id="rId2" Type="http://schemas.openxmlformats.org/officeDocument/2006/relationships/hyperlink" Target="http://www.planete-sciences.org/espace/basedoc/" TargetMode="External"/><Relationship Id="rId29" Type="http://schemas.openxmlformats.org/officeDocument/2006/relationships/image" Target="../media/image18.emf"/></Relationships>
</file>

<file path=xl/worksheets/_rels/sheet6.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vmlDrawing" Target="../drawings/vmlDrawing4.vml"/><Relationship Id="rId7" Type="http://schemas.openxmlformats.org/officeDocument/2006/relationships/ctrlProp" Target="../ctrlProps/ctrlProp20.xml"/><Relationship Id="rId2" Type="http://schemas.openxmlformats.org/officeDocument/2006/relationships/drawing" Target="../drawings/drawing6.xml"/><Relationship Id="rId1" Type="http://schemas.openxmlformats.org/officeDocument/2006/relationships/printerSettings" Target="../printerSettings/printerSettings6.bin"/><Relationship Id="rId6" Type="http://schemas.openxmlformats.org/officeDocument/2006/relationships/ctrlProp" Target="../ctrlProps/ctrlProp19.xml"/><Relationship Id="rId5" Type="http://schemas.openxmlformats.org/officeDocument/2006/relationships/image" Target="../media/image43.emf"/><Relationship Id="rId4" Type="http://schemas.openxmlformats.org/officeDocument/2006/relationships/oleObject" Target="../embeddings/oleObject38.bin"/></Relationships>
</file>

<file path=xl/worksheets/_rels/sheet7.xml.rels><?xml version="1.0" encoding="UTF-8" standalone="yes"?>
<Relationships xmlns="http://schemas.openxmlformats.org/package/2006/relationships"><Relationship Id="rId3" Type="http://schemas.openxmlformats.org/officeDocument/2006/relationships/hyperlink" Target="http://creativecommons.org/licenses/by-sa/3.0/" TargetMode="External"/><Relationship Id="rId7" Type="http://schemas.openxmlformats.org/officeDocument/2006/relationships/comments" Target="../comments4.xml"/><Relationship Id="rId2" Type="http://schemas.openxmlformats.org/officeDocument/2006/relationships/hyperlink" Target="mailto:espace@planete-sciences.org" TargetMode="External"/><Relationship Id="rId1" Type="http://schemas.openxmlformats.org/officeDocument/2006/relationships/hyperlink" Target="http://www.planete-sciences.org/espace/basedoc/" TargetMode="External"/><Relationship Id="rId6" Type="http://schemas.openxmlformats.org/officeDocument/2006/relationships/vmlDrawing" Target="../drawings/vmlDrawing5.vm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2">
    <pageSetUpPr fitToPage="1"/>
  </sheetPr>
  <dimension ref="A1:W361"/>
  <sheetViews>
    <sheetView showGridLines="0" tabSelected="1" zoomScale="115" zoomScaleNormal="115" zoomScaleSheetLayoutView="100" workbookViewId="0">
      <selection activeCell="C20" sqref="C20:D20"/>
    </sheetView>
  </sheetViews>
  <sheetFormatPr baseColWidth="10" defaultColWidth="11.42578125" defaultRowHeight="12.75" x14ac:dyDescent="0.2"/>
  <cols>
    <col min="1" max="1" width="2.140625" style="24" customWidth="1"/>
    <col min="2" max="2" width="16.140625" style="24" customWidth="1"/>
    <col min="3" max="3" width="12.85546875" style="31" customWidth="1"/>
    <col min="4" max="4" width="12.85546875" style="24" customWidth="1"/>
    <col min="5" max="5" width="4.140625" style="89" customWidth="1"/>
    <col min="6" max="6" width="10.140625" style="26" bestFit="1" customWidth="1"/>
    <col min="7" max="7" width="10" style="26" bestFit="1" customWidth="1"/>
    <col min="8" max="9" width="8.5703125" style="26" customWidth="1"/>
    <col min="10" max="10" width="5.42578125" style="24" customWidth="1"/>
    <col min="11" max="11" width="2.140625" style="24" customWidth="1"/>
    <col min="12" max="12" width="17" style="24" customWidth="1"/>
    <col min="13" max="13" width="8.5703125" style="24" customWidth="1"/>
    <col min="14" max="15" width="4.140625" style="24" customWidth="1"/>
    <col min="16" max="16" width="8.5703125" style="24" customWidth="1"/>
    <col min="17" max="18" width="2.140625" style="24" customWidth="1"/>
    <col min="19" max="16384" width="11.42578125" style="24"/>
  </cols>
  <sheetData>
    <row r="1" spans="1:20" ht="12.75" customHeight="1" x14ac:dyDescent="0.2">
      <c r="A1" s="19"/>
      <c r="B1" s="20"/>
      <c r="C1" s="21"/>
      <c r="D1" s="20"/>
      <c r="E1" s="88"/>
      <c r="F1" s="22"/>
      <c r="G1" s="22"/>
      <c r="H1" s="22"/>
      <c r="I1" s="22"/>
      <c r="J1" s="20"/>
      <c r="K1" s="20"/>
      <c r="L1" s="20"/>
      <c r="M1" s="20"/>
      <c r="N1" s="20"/>
      <c r="O1" s="20"/>
      <c r="P1" s="20"/>
      <c r="Q1" s="23"/>
    </row>
    <row r="2" spans="1:20" ht="12.75" customHeight="1" x14ac:dyDescent="0.2">
      <c r="A2" s="25"/>
      <c r="C2" s="568" t="s">
        <v>53</v>
      </c>
      <c r="D2" s="568"/>
      <c r="L2" s="147" t="str">
        <f>"Language/Langue"</f>
        <v>Language/Langue</v>
      </c>
      <c r="M2" s="544" t="s">
        <v>1</v>
      </c>
      <c r="N2" s="544"/>
      <c r="O2" s="544"/>
      <c r="P2" s="545"/>
      <c r="Q2" s="27"/>
    </row>
    <row r="3" spans="1:20" ht="12.75" customHeight="1" x14ac:dyDescent="0.2">
      <c r="A3" s="25"/>
      <c r="C3" s="568"/>
      <c r="D3" s="568"/>
      <c r="L3" s="555"/>
      <c r="M3" s="555"/>
      <c r="N3" s="45"/>
      <c r="Q3" s="27"/>
    </row>
    <row r="4" spans="1:20" ht="12.75" customHeight="1" x14ac:dyDescent="0.2">
      <c r="A4" s="25"/>
      <c r="C4" s="569" t="str">
        <f>IF(Lang="Français","Stabilité de fusée à ailerons",IF(Lang="English","Stability for rocket with fins",""))</f>
        <v>Stabilité de fusée à ailerons</v>
      </c>
      <c r="D4" s="569"/>
      <c r="L4" s="33"/>
      <c r="M4" s="544" t="s">
        <v>570</v>
      </c>
      <c r="N4" s="544"/>
      <c r="O4" s="544"/>
      <c r="P4" s="545"/>
      <c r="Q4" s="27"/>
    </row>
    <row r="5" spans="1:20" ht="12.75" customHeight="1" x14ac:dyDescent="0.25">
      <c r="A5" s="25"/>
      <c r="B5" s="28"/>
      <c r="C5" s="583"/>
      <c r="D5" s="583"/>
      <c r="L5" s="33"/>
      <c r="M5" s="575" t="s">
        <v>156</v>
      </c>
      <c r="N5" s="576"/>
      <c r="O5" s="558" t="s">
        <v>157</v>
      </c>
      <c r="P5" s="558"/>
      <c r="Q5" s="29"/>
    </row>
    <row r="6" spans="1:20" ht="12.75" customHeight="1" thickBot="1" x14ac:dyDescent="0.25">
      <c r="A6" s="25"/>
      <c r="B6" s="87"/>
      <c r="C6" s="593" t="str">
        <f>IF(Lang="Français","Remplir les cases jaunes",IF(Lang="English","Fill-in yellow cells only",""))</f>
        <v>Remplir les cases jaunes</v>
      </c>
      <c r="D6" s="593"/>
      <c r="L6" s="139" t="str">
        <f>IF(Lang="Français","Longueur      'L'",IF(Lang="English","Length      'L'",""))</f>
        <v>Longueur      'L'</v>
      </c>
      <c r="M6" s="564">
        <v>0</v>
      </c>
      <c r="N6" s="565"/>
      <c r="O6" s="550">
        <v>0</v>
      </c>
      <c r="P6" s="550"/>
      <c r="Q6" s="29"/>
    </row>
    <row r="7" spans="1:20" ht="12.75" customHeight="1" thickTop="1" thickBot="1" x14ac:dyDescent="0.25">
      <c r="A7" s="25"/>
      <c r="B7" s="31"/>
      <c r="C7" s="571" t="str">
        <f>IF(Lang="Français","Fusée",IF(Lang="English","Rocket",""))</f>
        <v>Fusée</v>
      </c>
      <c r="D7" s="572"/>
      <c r="L7" s="139" t="str">
        <f>IF(Lang="Français","Diamètre     'D1'",IF(Lang="English","Diameter 'D1'",""))</f>
        <v>Diamètre     'D1'</v>
      </c>
      <c r="M7" s="564">
        <v>0</v>
      </c>
      <c r="N7" s="565"/>
      <c r="O7" s="550">
        <v>0</v>
      </c>
      <c r="P7" s="550"/>
      <c r="Q7" s="29"/>
    </row>
    <row r="8" spans="1:20" ht="12.75" customHeight="1" thickTop="1" x14ac:dyDescent="0.2">
      <c r="A8" s="25"/>
      <c r="B8" s="138" t="str">
        <f>IF(Lang="Français","Nom",IF(Lang="English","Name",""))</f>
        <v>Nom</v>
      </c>
      <c r="C8" s="594" t="s">
        <v>571</v>
      </c>
      <c r="D8" s="594"/>
      <c r="E8" s="90"/>
      <c r="K8" s="33"/>
      <c r="L8" s="139" t="str">
        <f>IF(Lang="Français","Diamètre     'D2'",IF(Lang="English","Diameter 'D2'",""))</f>
        <v>Diamètre     'D2'</v>
      </c>
      <c r="M8" s="564">
        <v>0</v>
      </c>
      <c r="N8" s="565"/>
      <c r="O8" s="550">
        <v>0</v>
      </c>
      <c r="P8" s="550"/>
      <c r="Q8" s="29"/>
    </row>
    <row r="9" spans="1:20" ht="12.75" customHeight="1" x14ac:dyDescent="0.2">
      <c r="A9" s="25"/>
      <c r="B9" s="138" t="s">
        <v>4</v>
      </c>
      <c r="C9" s="595" t="s">
        <v>568</v>
      </c>
      <c r="D9" s="595"/>
      <c r="E9" s="90"/>
      <c r="K9" s="33"/>
      <c r="L9" s="139" t="str">
        <f>IF(Lang="Français","Implantation 'x'",IF(Lang="English","Basement 'x'",""))</f>
        <v>Implantation 'x'</v>
      </c>
      <c r="M9" s="564">
        <v>0</v>
      </c>
      <c r="N9" s="565"/>
      <c r="O9" s="550">
        <v>0</v>
      </c>
      <c r="P9" s="550"/>
      <c r="Q9" s="29"/>
    </row>
    <row r="10" spans="1:20" ht="12.75" customHeight="1" x14ac:dyDescent="0.2">
      <c r="A10" s="25"/>
      <c r="B10" s="138" t="s">
        <v>563</v>
      </c>
      <c r="C10" s="537" t="str">
        <f>IF((LEFT(Type_fusee,4)="Mini"),"MF",(IF((RIGHT(Type_fusee,1)="."),"FX","")))</f>
        <v>MF</v>
      </c>
      <c r="D10" s="538">
        <v>0</v>
      </c>
      <c r="E10" s="539" t="str">
        <f>IF(C10="","",C10&amp;D10)</f>
        <v>MF0</v>
      </c>
      <c r="K10" s="33"/>
      <c r="Q10" s="29"/>
    </row>
    <row r="11" spans="1:20" ht="12.75" customHeight="1" x14ac:dyDescent="0.2">
      <c r="A11" s="25"/>
      <c r="B11" s="139" t="s">
        <v>54</v>
      </c>
      <c r="C11" s="573" t="s">
        <v>572</v>
      </c>
      <c r="D11" s="574"/>
      <c r="E11" s="90"/>
      <c r="K11" s="33"/>
      <c r="L11" s="107"/>
      <c r="M11" s="224" t="str">
        <f>IF(Lang="Français","Propu plein",IF(Lang="English","Loaded Motor",""))</f>
        <v>Propu plein</v>
      </c>
      <c r="N11" s="556" t="str">
        <f>IF(Lang="Français","Propu vide",IF(Lang="English","Empty Motor",""))</f>
        <v>Propu vide</v>
      </c>
      <c r="O11" s="557"/>
      <c r="P11" s="224" t="str">
        <f>IF(Lang="Français","Sans propu",IF(Lang="English","Without M",""))</f>
        <v>Sans propu</v>
      </c>
      <c r="Q11" s="29"/>
      <c r="S11" s="385"/>
      <c r="T11" s="386" t="str">
        <f>IF(Lang="Français","Propulseur",IF(Lang="English","Motor",""))</f>
        <v>Propulseur</v>
      </c>
    </row>
    <row r="12" spans="1:20" ht="12.75" customHeight="1" x14ac:dyDescent="0.2">
      <c r="A12" s="25"/>
      <c r="B12" s="139" t="str">
        <f>IF(Lang="Français","Masse",IF(Lang="English","Weight",""))</f>
        <v>Masse</v>
      </c>
      <c r="C12" s="222">
        <v>2595</v>
      </c>
      <c r="D12" s="34" t="s">
        <v>423</v>
      </c>
      <c r="L12" s="108" t="str">
        <f>IF(Lang="Français","Masse propu",IF(Lang="English","Motor Mass",""))</f>
        <v>Masse propu</v>
      </c>
      <c r="M12" s="109">
        <f ca="1">MpropuPlein</f>
        <v>1E-4</v>
      </c>
      <c r="N12" s="548">
        <f ca="1">MpropuVide</f>
        <v>0</v>
      </c>
      <c r="O12" s="549"/>
      <c r="P12" s="110" t="s">
        <v>14</v>
      </c>
      <c r="Q12" s="29"/>
      <c r="S12" s="386" t="str">
        <f>IF(Lang="Français","Haut",IF(Lang="English","Top",""))</f>
        <v>Haut</v>
      </c>
      <c r="T12" s="387">
        <f ca="1">XpropuRef-Long_propu</f>
        <v>942</v>
      </c>
    </row>
    <row r="13" spans="1:20" ht="12.75" customHeight="1" x14ac:dyDescent="0.2">
      <c r="A13" s="25"/>
      <c r="B13" s="139" t="str">
        <f>IF(Lang="Français","Centre de Masse",IF(Lang="English","Center of Mass",""))</f>
        <v>Centre de Masse</v>
      </c>
      <c r="C13" s="35">
        <v>528</v>
      </c>
      <c r="D13" s="34" t="s">
        <v>423</v>
      </c>
      <c r="L13" s="108" t="str">
        <f>IF(Lang="Français","CdM propu",IF(Lang="English","Motor CoM",""))</f>
        <v>CdM propu</v>
      </c>
      <c r="M13" s="111">
        <f ca="1">XpropuPlein</f>
        <v>0</v>
      </c>
      <c r="N13" s="546">
        <f ca="1">XpropuVide</f>
        <v>0</v>
      </c>
      <c r="O13" s="547"/>
      <c r="P13" s="110" t="s">
        <v>14</v>
      </c>
      <c r="Q13" s="29"/>
      <c r="S13" s="386" t="str">
        <f>IF(Lang="Français","Longueur",IF(Lang="English","Length",""))</f>
        <v>Longueur</v>
      </c>
      <c r="T13" s="387">
        <f ca="1">Long_propu</f>
        <v>0</v>
      </c>
    </row>
    <row r="14" spans="1:20" ht="12.6" customHeight="1" x14ac:dyDescent="0.2">
      <c r="A14" s="25"/>
      <c r="B14" s="139" t="str">
        <f>IF(Lang="Français","Longueur totale",IF(Lang="English","Total length",""))</f>
        <v>Longueur totale</v>
      </c>
      <c r="C14" s="564">
        <v>992</v>
      </c>
      <c r="D14" s="565"/>
      <c r="L14" s="108" t="str">
        <f>IF(Lang="Français","Masse fusée",IF(Lang="English","Rocket Mass",""))</f>
        <v>Masse fusée</v>
      </c>
      <c r="M14" s="112">
        <f ca="1">MasseSans+MpropuPlein</f>
        <v>2.5951000000000004</v>
      </c>
      <c r="N14" s="577">
        <f ca="1">MasseSans+MpropuVide</f>
        <v>2.5950000000000002</v>
      </c>
      <c r="O14" s="578"/>
      <c r="P14" s="109">
        <f>IF(OR(D12="sans propu",D12="without motor"),C12/1000,IF(OR(D12="avec propu vide",D12="with empty motor"),C12/1000-MpropuVide,IF(OR(D12="avec propu plein",D12="with loaded motor"),C12/1000-MpropuPlein,"Erreur")))</f>
        <v>2.5950000000000002</v>
      </c>
      <c r="Q14" s="29"/>
      <c r="S14" s="386" t="str">
        <f>IF(Lang="Français","Bas",IF(Lang="English","Base",""))</f>
        <v>Bas</v>
      </c>
      <c r="T14" s="387">
        <f>XpropuRef</f>
        <v>942</v>
      </c>
    </row>
    <row r="15" spans="1:20" ht="12.75" customHeight="1" x14ac:dyDescent="0.2">
      <c r="A15" s="25"/>
      <c r="B15" s="139" t="str">
        <f>IF(Lang="Français","Diamètre Réf.",IF(Lang="English","Ref. Diameter",""))</f>
        <v>Diamètre Réf.</v>
      </c>
      <c r="C15" s="564">
        <v>84</v>
      </c>
      <c r="D15" s="565"/>
      <c r="L15" s="175" t="str">
        <f>IF(Lang="Français","CdM fusée",IF(Lang="English","Rocket CoM",""))</f>
        <v>CdM fusée</v>
      </c>
      <c r="M15" s="176">
        <f ca="1">(XcgSans*MasseSans+(XpropuRef-Long_propu+XpropuPlein)*MpropuPlein)/MassePlein</f>
        <v>528.01595314246072</v>
      </c>
      <c r="N15" s="579">
        <f ca="1">(XcgSans*MasseSans+(XpropuRef-Long_propu+XpropuVide)*MpropuVide)/MasseVide</f>
        <v>528</v>
      </c>
      <c r="O15" s="580"/>
      <c r="P15" s="113">
        <f>IF(OR(D13="sans propu",D13="without motor"),C13,IF(OR(D13="avec propu vide",D13="with empty motor"),(C13*MasseVide-(XpropuRef-Long_propu+XpropuVide)*MpropuVide)/MasseSans,IF(OR(D13="avec propu plein",D13="with loaded motor"),(C13*MassePlein-(XpropuRef-Long_propu+XpropuPlein)*MpropuPlein)/MasseSans,"Erreur")))</f>
        <v>528</v>
      </c>
      <c r="Q15" s="29"/>
    </row>
    <row r="16" spans="1:20" ht="12.75" customHeight="1" thickBot="1" x14ac:dyDescent="0.25">
      <c r="A16" s="25"/>
      <c r="D16" s="31"/>
      <c r="L16" s="94"/>
      <c r="M16" s="94"/>
      <c r="N16" s="94"/>
      <c r="O16" s="94"/>
      <c r="P16" s="94"/>
      <c r="Q16" s="29"/>
      <c r="S16" s="385"/>
      <c r="T16" s="386" t="str">
        <f>IF(RIGHT(Type_masquage,1)=",",IF(Lang="Français","Ailerons","Fins"),IF(Lang="Français","Ailerons bas","Lower Fins"))</f>
        <v>Ailerons bas</v>
      </c>
    </row>
    <row r="17" spans="1:20" ht="12.75" customHeight="1" thickTop="1" thickBot="1" x14ac:dyDescent="0.25">
      <c r="A17" s="25"/>
      <c r="C17" s="585" t="str">
        <f>IF(Lang="Français","Propulseur",IF(Lang="English","Motor",""))</f>
        <v>Propulseur</v>
      </c>
      <c r="D17" s="586"/>
      <c r="L17" s="114"/>
      <c r="M17" s="581" t="s">
        <v>55</v>
      </c>
      <c r="N17" s="582"/>
      <c r="O17" s="559" t="s">
        <v>65</v>
      </c>
      <c r="P17" s="559"/>
      <c r="Q17" s="29"/>
      <c r="S17" s="386" t="str">
        <f>IF(Lang="Français","Haut","Top")</f>
        <v>Haut</v>
      </c>
      <c r="T17" s="387">
        <f>X_ail-m_ail</f>
        <v>772</v>
      </c>
    </row>
    <row r="18" spans="1:20" ht="12.75" customHeight="1" thickTop="1" x14ac:dyDescent="0.2">
      <c r="A18" s="25"/>
      <c r="B18" s="139" t="s">
        <v>54</v>
      </c>
      <c r="C18" s="587" t="s">
        <v>44</v>
      </c>
      <c r="D18" s="588"/>
      <c r="K18" s="37"/>
      <c r="L18" s="108" t="str">
        <f>IF(Lang="Français","Coiffe",IF(Lang="English","Nose Cone",""))</f>
        <v>Coiffe</v>
      </c>
      <c r="M18" s="553">
        <f>IF(LEFT(Forme_ogive,5)="Parab",1/2*Long_ogive,IF(LEFT(Forme_ogive,4)="Ogiv",7/15*Long_ogive,IF(LEFT(Forme_ogive,3)="Con",2/3*Long_ogive)))</f>
        <v>168</v>
      </c>
      <c r="N18" s="554"/>
      <c r="O18" s="560">
        <f>2*POWER(D_og/D_ref, 2)</f>
        <v>2</v>
      </c>
      <c r="P18" s="560"/>
      <c r="Q18" s="29"/>
      <c r="S18" s="386" t="str">
        <f>IF(Lang="Français","Emplanture","Root edge")</f>
        <v>Emplanture</v>
      </c>
      <c r="T18" s="387">
        <f>m_ail</f>
        <v>170</v>
      </c>
    </row>
    <row r="19" spans="1:20" ht="12.75" customHeight="1" x14ac:dyDescent="0.2">
      <c r="A19" s="25"/>
      <c r="B19" s="139" t="str">
        <f>IF(Lang="Français","Position du bas",IF(Lang="English","Basement",""))</f>
        <v>Position du bas</v>
      </c>
      <c r="C19" s="550">
        <v>942</v>
      </c>
      <c r="D19" s="550"/>
      <c r="L19" s="108" t="str">
        <f>IF(Lang="Français","Ailerons",IF(Lang="English","Fins",""))</f>
        <v>Ailerons</v>
      </c>
      <c r="M19" s="553">
        <f>(XCpa*Cnail-0.5*XCpi*Cni)/Cnai</f>
        <v>857.4</v>
      </c>
      <c r="N19" s="554"/>
      <c r="O19" s="589">
        <f>Cnail-Cni/2</f>
        <v>13.602161052846441</v>
      </c>
      <c r="P19" s="590"/>
      <c r="Q19" s="29"/>
      <c r="S19" s="386" t="str">
        <f>IF(Lang="Français","Bas","Base")</f>
        <v>Bas</v>
      </c>
      <c r="T19" s="387">
        <f>X_ail</f>
        <v>942</v>
      </c>
    </row>
    <row r="20" spans="1:20" ht="12.75" customHeight="1" thickBot="1" x14ac:dyDescent="0.25">
      <c r="A20" s="25"/>
      <c r="B20" s="428" t="str">
        <f>IF(Propu="Cariacou","Cariacou :"," ")</f>
        <v xml:space="preserve"> </v>
      </c>
      <c r="C20" s="563" t="str">
        <f>IF(Propu="Pandora (Pro24-6G)",IF(Lang="Français","C'Space Seulement",IF(Lang="English","C'Space only","")),"")</f>
        <v/>
      </c>
      <c r="D20" s="563"/>
      <c r="L20" s="108" t="str">
        <f>IF(Lang="Français","Ail bas entier",IF(Lang="English","Total Lower Fins",""))</f>
        <v>Ail bas entier</v>
      </c>
      <c r="M20" s="553">
        <f>X_ail-m_ail+p_ail*(m_ail+2*n_ail)/(3*(m_ail+n_ail))+(m_ail+n_ail-m_ail*n_ail/(m_ail+n_ail))/6</f>
        <v>857.4</v>
      </c>
      <c r="N20" s="554"/>
      <c r="O20" s="560">
        <f>4*Q_ail*POWER((E_ail/D_ref),2)*(1+D_ail/(2*E_ail+D_ail))/(1+SQRT(1+POWER(2*f_ail/(m_ail+n_ail),2)))</f>
        <v>13.602161052846441</v>
      </c>
      <c r="P20" s="560"/>
      <c r="Q20" s="29"/>
    </row>
    <row r="21" spans="1:20" ht="12.75" customHeight="1" thickTop="1" thickBot="1" x14ac:dyDescent="0.25">
      <c r="A21" s="25"/>
      <c r="B21" s="30"/>
      <c r="C21" s="591" t="str">
        <f>IF(Lang="Français","Coiffe",IF(Lang="English","Nose Cone",""))</f>
        <v>Coiffe</v>
      </c>
      <c r="D21" s="592"/>
      <c r="L21" s="108" t="str">
        <f>IF(Lang="Français","Ailerons haut",IF(Lang="English","Upper Fins",""))</f>
        <v>Ailerons haut</v>
      </c>
      <c r="M21" s="553">
        <f>IF(LEFT(Type_masquage,1)="M",0, X_can-m_can+p_can*(m_can+2*n_can)/(3*(m_can+n_can))+(m_can+n_can-m_can*n_can/(m_can+n_can))/6)</f>
        <v>0</v>
      </c>
      <c r="N21" s="554"/>
      <c r="O21" s="560">
        <f>IF(LEFT(Type_masquage,1)="M",0, 4*Q_can*POWER((E_can/D_ref),2)*(1+D_can/(2*E_can+D_can))/(1+SQRT(1+POWER(2*f_can/(m_can+n_can),2))))</f>
        <v>0</v>
      </c>
      <c r="P21" s="560"/>
      <c r="Q21" s="29"/>
    </row>
    <row r="22" spans="1:20" ht="12.75" customHeight="1" thickTop="1" x14ac:dyDescent="0.2">
      <c r="A22" s="25"/>
      <c r="B22" s="139" t="str">
        <f>IF(Lang="Français","Forme",IF(Lang="English","Shape",""))</f>
        <v>Forme</v>
      </c>
      <c r="C22" s="566" t="s">
        <v>569</v>
      </c>
      <c r="D22" s="567"/>
      <c r="L22" s="108" t="str">
        <f>IF(Lang="Français","Partie masquée",IF(Lang="English","Interation zone",""))</f>
        <v>Partie masquée</v>
      </c>
      <c r="M22" s="570">
        <f>IF(LEFT(Type_masquage,1)="B", X_int-m_int+p_int*(m_int+2*n_int)/(3*(m_int+n_int))+(m_int+n_int-m_int*n_int/(m_int+n_int))/6, 0 )</f>
        <v>0</v>
      </c>
      <c r="N22" s="570"/>
      <c r="O22" s="589">
        <f>IF(LEFT(Type_masquage,1)="B", 4*Q_int*POWER((E_int/D_ref),2)*(1+D_int/(2*E_int+D_int))/(1+SQRT(1+POWER(2*f_int/(m_int+n_int),2))), 0 )</f>
        <v>0</v>
      </c>
      <c r="P22" s="590"/>
      <c r="Q22" s="29"/>
    </row>
    <row r="23" spans="1:20" ht="12.75" customHeight="1" x14ac:dyDescent="0.2">
      <c r="A23" s="25"/>
      <c r="B23" s="139" t="str">
        <f>IF(Lang="Français","Hauteur",IF(Lang="English","Heigth",""))</f>
        <v>Hauteur</v>
      </c>
      <c r="C23" s="564">
        <v>252</v>
      </c>
      <c r="D23" s="565"/>
      <c r="L23" s="108" t="s">
        <v>156</v>
      </c>
      <c r="M23" s="553">
        <f>IF(OR(RIGHT(Nb_diam,1)=",",D2j=0),0, X_j+l_j/3*(1+1/(1+D1j/D2j)) )</f>
        <v>0</v>
      </c>
      <c r="N23" s="554"/>
      <c r="O23" s="560">
        <f>IF(OR(RIGHT(Nb_diam,1)=",",D2j=0),0,2*(POWER(D2j/D_ref,2)-POWER(D1j/D_ref,2)))</f>
        <v>0</v>
      </c>
      <c r="P23" s="560"/>
      <c r="Q23" s="29"/>
    </row>
    <row r="24" spans="1:20" ht="12.75" customHeight="1" thickBot="1" x14ac:dyDescent="0.25">
      <c r="A24" s="25"/>
      <c r="B24" s="139" t="str">
        <f>IF(Lang="Français","Diamètre",IF(Lang="English","Diameter",""))</f>
        <v>Diamètre</v>
      </c>
      <c r="C24" s="564">
        <v>84</v>
      </c>
      <c r="D24" s="565"/>
      <c r="L24" s="108" t="s">
        <v>157</v>
      </c>
      <c r="M24" s="553">
        <f>IF( OR(RIGHT(Nb_diam,1)=",",D2r=0), 0, X_r+l_r/3*(1+1/(1+D1r/D2r)) )</f>
        <v>0</v>
      </c>
      <c r="N24" s="554"/>
      <c r="O24" s="560">
        <f>IF( OR(RIGHT(Nb_diam,1)=",",D2r=0), 0, 2*(POWER(D2r/D_ref,2)-POWER(D1r/D_ref,2)) )</f>
        <v>0</v>
      </c>
      <c r="P24" s="560"/>
      <c r="Q24" s="29"/>
    </row>
    <row r="25" spans="1:20" ht="12.75" customHeight="1" thickBot="1" x14ac:dyDescent="0.25">
      <c r="A25" s="25"/>
      <c r="E25" s="180" t="s">
        <v>151</v>
      </c>
      <c r="L25" s="38"/>
      <c r="M25" s="38"/>
      <c r="N25" s="38"/>
      <c r="Q25" s="29"/>
      <c r="R25" s="38"/>
      <c r="S25" s="388" t="str">
        <f ca="1">IF(AND(Portee_balistique&gt;200,LEFT(Type_propu,3)="Min"),IF(Lang="Français","Fusée trop lègère !","Rocket too light"),"")</f>
        <v/>
      </c>
    </row>
    <row r="26" spans="1:20" ht="12.75" customHeight="1" thickTop="1" thickBot="1" x14ac:dyDescent="0.25">
      <c r="A26" s="25"/>
      <c r="B26" s="30"/>
      <c r="C26" s="178" t="str">
        <f>IF(LEFT(Type_masquage,1)="M",IF(Lang="Français","Ailerons","Fins"),IF(Lang="Français","Ailerons bas","Lower Fins"))</f>
        <v>Ailerons</v>
      </c>
      <c r="D26" s="179" t="str">
        <f>IF(Lang="Français","Ailerons haut",IF(Lang="English","Upper Fins",""))</f>
        <v>Ailerons haut</v>
      </c>
      <c r="F26" s="39">
        <f ca="1">TODAY()</f>
        <v>45931</v>
      </c>
      <c r="G26" s="137" t="s">
        <v>62</v>
      </c>
      <c r="H26" s="584" t="str">
        <f>IF(Lang="Français","Résultats",IF(Lang="English","Results",""))</f>
        <v>Résultats</v>
      </c>
      <c r="I26" s="584"/>
      <c r="J26" s="137" t="s">
        <v>63</v>
      </c>
      <c r="K26" s="32"/>
      <c r="L26" s="38"/>
      <c r="M26" s="38"/>
      <c r="N26" s="38"/>
      <c r="Q26" s="29"/>
      <c r="R26" s="38"/>
      <c r="S26" s="388" t="e">
        <f ca="1">IF(AND(Vsortie_de_rampe&lt;18, OR(LEFT(Type_fusee,1)=",",LEFT(Type_fusee,4)="Mini",LEFT(Type_fusee,1)="R")),IF(Lang="Français","Fusée trop lourde ou rampe trop courte !","Rocket too heavy or launch pad too small!"),"")</f>
        <v>#N/A</v>
      </c>
    </row>
    <row r="27" spans="1:20" ht="12.75" customHeight="1" thickTop="1" x14ac:dyDescent="0.2">
      <c r="A27" s="25"/>
      <c r="B27" s="30"/>
      <c r="C27" s="561" t="s">
        <v>424</v>
      </c>
      <c r="D27" s="562"/>
      <c r="E27" s="146">
        <f>m_ail</f>
        <v>170</v>
      </c>
      <c r="F27" s="105" t="s">
        <v>64</v>
      </c>
      <c r="G27" s="104">
        <f>IF(RIGHT(Type_fusee,1)=".",10, IF(OR(LEFT(Type_fusee,1)="R",LEFT(Type_fusee,1)=",",LEFT(Type_fusee,4)="Mini"),10, IF(LEFT(Type_fusee,5)="Micro",10, IF(RIGHT(Type_fusee,1)=" ",1))))</f>
        <v>10</v>
      </c>
      <c r="H27" s="551">
        <f>Long_tot/D_ref</f>
        <v>11.80952380952381</v>
      </c>
      <c r="I27" s="552"/>
      <c r="J27" s="104">
        <f>IF(RIGHT(Type_fusee,1)=".",35, IF(OR(LEFT(Type_fusee,1)="R",LEFT(Type_fusee,1)=",",LEFT(Type_fusee,4)="Mini"),20, IF(LEFT(Type_fusee,5)="Micro",30, IF(RIGHT(Type_fusee,1)=" ",100))))</f>
        <v>20</v>
      </c>
      <c r="K27" s="32"/>
      <c r="L27" s="38"/>
      <c r="M27" s="38"/>
      <c r="N27" s="38"/>
      <c r="Q27" s="29"/>
      <c r="R27" s="38"/>
      <c r="S27" s="388" t="str">
        <f>IF(Finesse&lt;CritFinessemin, IF(Lang="Français","Fusée trop courte !","Rocket too short!"), "" ) &amp; IF(Finesse&gt;CritFinessemax, IF(Lang="Français","Fusée trop longue !","Rocket too long!"), "" )</f>
        <v/>
      </c>
    </row>
    <row r="28" spans="1:20" ht="12.75" customHeight="1" x14ac:dyDescent="0.2">
      <c r="A28" s="25"/>
      <c r="B28" s="524" t="str">
        <f>IF(Lang="Français"," Emplanture  'm'",IF(Lang="English"," Root edge  'm'",""))</f>
        <v xml:space="preserve"> Emplanture  'm'</v>
      </c>
      <c r="C28" s="177">
        <v>170</v>
      </c>
      <c r="D28" s="177">
        <v>180</v>
      </c>
      <c r="E28" s="146">
        <f>n_ail+(m_ail-n_ail)*(1-E_int/E_ail)</f>
        <v>80</v>
      </c>
      <c r="F28" s="105" t="str">
        <f>IF(Lang="Français","Portance","Lift")</f>
        <v>Portance</v>
      </c>
      <c r="G28" s="104">
        <f>IF(RIGHT(Type_fusee,1)=".",15,IF(OR(LEFT(Type_fusee,1)="R",LEFT(Type_fusee,1)=",",LEFT(Type_fusee,4)="Mini"),15, IF(LEFT(Type_fusee,5)="Micro",15, IF(RIGHT(Type_fusee,1)=" ",15))))</f>
        <v>15</v>
      </c>
      <c r="H28" s="508">
        <f>Cnai+Cnc+Cno+Cnj+Cnr</f>
        <v>15.602161052846441</v>
      </c>
      <c r="I28" s="508">
        <f>Cnail+Cnc+Cno+Cnj+Cnr</f>
        <v>15.602161052846441</v>
      </c>
      <c r="J28" s="104">
        <f>IF(RIGHT(Type_fusee,1)=".",40, IF(OR(LEFT(Type_fusee,1)="R",LEFT(Type_fusee,1)=",",LEFT(Type_fusee,4)="Mini"),30, IF(LEFT(Type_fusee,5)="Micro",30, IF(RIGHT(Type_fusee,1)=" ",30))))</f>
        <v>30</v>
      </c>
      <c r="K28" s="32"/>
      <c r="L28" s="38"/>
      <c r="M28" s="38"/>
      <c r="N28" s="38"/>
      <c r="Q28" s="29"/>
      <c r="R28" s="38"/>
      <c r="S28" s="388" t="str">
        <f>IF(Cn&lt;CritCnmin, IF(Lang="Français","Ailerons trop petits !","Fins too small!"), "" ) &amp; IF(Cn&gt;CritCnmax, IF(Lang="Français","Ailerons trop grands !","Fins too big!"), "" )</f>
        <v/>
      </c>
    </row>
    <row r="29" spans="1:20" ht="12.75" customHeight="1" x14ac:dyDescent="0.2">
      <c r="A29" s="25"/>
      <c r="B29" s="524" t="str">
        <f>IF(Lang="Français"," Saumon       'n'",IF(Lang="English"," Tip edge    'n'",""))</f>
        <v xml:space="preserve"> Saumon       'n'</v>
      </c>
      <c r="C29" s="35">
        <v>80</v>
      </c>
      <c r="D29" s="35">
        <v>80</v>
      </c>
      <c r="E29" s="146">
        <f>p_ail*E_int/E_ail</f>
        <v>120</v>
      </c>
      <c r="F29" s="515" t="str">
        <f>IF(Lang="Français","MargeStat.","StatMargin")</f>
        <v>MargeStat.</v>
      </c>
      <c r="G29" s="510">
        <f>IF(RIGHT(Type_fusee,1)=".",2, IF(OR(LEFT(Type_fusee,1)="R",LEFT(Type_fusee,1)=",",LEFT(Type_fusee,4)="Mini"),1.5, IF(LEFT(Type_fusee,5)="Micro",1, IF(RIGHT(Type_fusee,1)=" ",1))))</f>
        <v>1.5</v>
      </c>
      <c r="H29" s="97">
        <f ca="1">(XCp-XcgPlein)/D_ref</f>
        <v>2.8691865906184071</v>
      </c>
      <c r="I29" s="98">
        <f ca="1">(XCp0-XcgVide)/D_ref</f>
        <v>2.869376508981035</v>
      </c>
      <c r="J29" s="510">
        <f>IF(RIGHT(Type_fusee,1)=".",6, IF(OR(LEFT(Type_fusee,1)="R",LEFT(Type_fusee,1)=",",LEFT(Type_fusee,4)="Mini"),6, IF(LEFT(Type_fusee,5)="Micro",3, IF(RIGHT(Type_fusee,1)=" ",3))))</f>
        <v>6</v>
      </c>
      <c r="K29" s="32"/>
      <c r="Q29" s="29"/>
      <c r="R29" s="38"/>
      <c r="S29" s="388" t="str">
        <f ca="1">IF(MS_min&lt;CritMsmin, IF(Lang="Français","Abaisser les ailerons ou rehausser le CdM !","Lower the fins or move up the center of mass!"), "" ) &amp; IF(MS_max&gt;CritMsmax, IF(Lang="Français","Rehausser les ailerons ou abaisser le CdM !","Move up the fins or lower the center of mass!"), "" )</f>
        <v/>
      </c>
    </row>
    <row r="30" spans="1:20" ht="12.75" customHeight="1" x14ac:dyDescent="0.2">
      <c r="A30" s="25"/>
      <c r="B30" s="524" t="str">
        <f>IF(Lang="Français"," Flèche          'p'"," Offset         'p'")</f>
        <v xml:space="preserve"> Flèche          'p'</v>
      </c>
      <c r="C30" s="35">
        <v>120</v>
      </c>
      <c r="D30" s="35">
        <v>160</v>
      </c>
      <c r="E30" s="146">
        <f>IF(D_can/2+E_can&lt;=D_ail/2,0, IF(D_can/2+E_can&gt;=D_ail/2+E_ail,E_ail,  D_can/2+E_can - D_ail/2  ) )</f>
        <v>107</v>
      </c>
      <c r="F30" s="516" t="str">
        <f>IF(Lang="Français","Couple","Torque")</f>
        <v>Couple</v>
      </c>
      <c r="G30" s="511">
        <f>IF(RIGHT(Type_fusee,1)=".",40, IF(OR(LEFT(Type_fusee,1)="R",LEFT(Type_fusee,1)=",",LEFT(Type_fusee,4)="Mini"),30, IF(LEFT(Type_fusee,5)="Micro",15, IF(RIGHT(Type_fusee,1)=" ",15))))</f>
        <v>30</v>
      </c>
      <c r="H30" s="99">
        <f ca="1">MS_min*Cn</f>
        <v>44.765511277495776</v>
      </c>
      <c r="I30" s="96">
        <f ca="1">MS_max*Cn0</f>
        <v>44.768474414376392</v>
      </c>
      <c r="J30" s="511">
        <f>IF(RIGHT(Type_fusee,1)=".",100, IF(OR(LEFT(Type_fusee,1)="R",LEFT(Type_fusee,1)=",",LEFT(Type_fusee,4)="Mini"),100, IF(LEFT(Type_fusee,5)="Micro",100, IF(RIGHT(Type_fusee,1)=" ",90))))</f>
        <v>100</v>
      </c>
      <c r="K30" s="32"/>
      <c r="Q30" s="29"/>
      <c r="R30" s="38"/>
      <c r="S30" s="388" t="str">
        <f ca="1">IF(MS_Cn_min&lt;CritMsCnmin, IF(Lang="Français","Ailerons trop petits ou trop haut /CdM !","Fins too small or too high /CoM!"), "" ) &amp; IF(MS_Cn_max&gt;CritMsCnmax, IF(Lang="Français","Ailerons trop grands ou trop bas  /CdM !","Fins too big or too low / CoM!"), "" )</f>
        <v/>
      </c>
    </row>
    <row r="31" spans="1:20" ht="12.75" customHeight="1" x14ac:dyDescent="0.2">
      <c r="A31" s="25"/>
      <c r="B31" s="524" t="str">
        <f>IF(Lang="Français"," Envergure     'E'",IF(Lang="English"," Span          'E'",""))</f>
        <v xml:space="preserve"> Envergure     'E'</v>
      </c>
      <c r="C31" s="35">
        <v>107</v>
      </c>
      <c r="D31" s="35">
        <v>110</v>
      </c>
      <c r="E31" s="146">
        <f>ep_ail</f>
        <v>3</v>
      </c>
      <c r="F31" s="106" t="s">
        <v>55</v>
      </c>
      <c r="G31" s="103"/>
      <c r="H31" s="509">
        <f>(Cnai*XCpai+Cnc*XCpc+Cnj*XCpj+Cnr*XCpr+Cno*XCpo)/(Cnai+Cnc+Cnr+Cnj+Cno)</f>
        <v>769.02762675440692</v>
      </c>
      <c r="I31" s="509">
        <f>(Cnail*XCpa+Cnc*XCpc+Cnj*XCpj+Cnr*XCpr+Cno*XCpo)/(Cnail+Cnc+Cnr+Cnj+Cno)</f>
        <v>769.02762675440692</v>
      </c>
      <c r="J31" s="102"/>
      <c r="K31" s="32"/>
      <c r="Q31" s="29"/>
      <c r="R31" s="38"/>
      <c r="S31" s="388"/>
    </row>
    <row r="32" spans="1:20" ht="12.75" customHeight="1" x14ac:dyDescent="0.2">
      <c r="A32" s="25"/>
      <c r="B32" s="525" t="str">
        <f>IF(Lang="Français"," Epaisseur     'ep'",IF(Lang="English"," Thickness  'ep'",""))</f>
        <v xml:space="preserve"> Epaisseur     'ep'</v>
      </c>
      <c r="C32" s="35">
        <v>3</v>
      </c>
      <c r="D32" s="35">
        <v>4</v>
      </c>
      <c r="E32" s="146">
        <f>IF(Q_ail=Q_can,Q_ail,FALSE)</f>
        <v>4</v>
      </c>
      <c r="F32" s="106" t="s">
        <v>66</v>
      </c>
      <c r="G32" s="103"/>
      <c r="H32" s="100">
        <f ca="1">(XCp-XcgPlein)/Long_tot*100</f>
        <v>24.295531614107478</v>
      </c>
      <c r="I32" s="101">
        <f ca="1">(XCp-XcgVide)/Long_tot*100</f>
        <v>24.297139793791018</v>
      </c>
      <c r="J32" s="102"/>
      <c r="K32" s="32"/>
      <c r="Q32" s="29"/>
      <c r="R32" s="38"/>
    </row>
    <row r="33" spans="1:23" ht="12.75" customHeight="1" x14ac:dyDescent="0.2">
      <c r="A33" s="25"/>
      <c r="B33" s="524" t="str">
        <f>IF(Lang="Français"," Nombre            ",IF(Lang="English"," Number of fins",""))</f>
        <v xml:space="preserve"> Nombre            </v>
      </c>
      <c r="C33" s="36">
        <v>4</v>
      </c>
      <c r="D33" s="36">
        <v>4</v>
      </c>
      <c r="E33" s="146">
        <f>X_ail</f>
        <v>942</v>
      </c>
      <c r="G33" s="24"/>
      <c r="H33" s="540" t="str">
        <f ca="1">IF(AND(CritCnmin&lt;Cn,Cn0&lt;CritCnmax,CritMsmin&lt;MS_min,MS_max&lt;CritMsmax,CritMsCnmin&lt;MS_Cn_min,MS_Cn_max&lt;CritMsCnmax),"STABLE",IF(OR(Cn&lt;CritCnmin,MS_min&lt;CritMsmin,MS_Cn_min&lt;CritMsCnmin),"INSTABLE",IF(Lang="Français","SURSTABLE","OVERSTABLE")))</f>
        <v>STABLE</v>
      </c>
      <c r="I33" s="541"/>
      <c r="J33" s="31"/>
      <c r="K33" s="32"/>
      <c r="Q33" s="29"/>
      <c r="R33" s="38"/>
    </row>
    <row r="34" spans="1:23" ht="12.75" customHeight="1" x14ac:dyDescent="0.2">
      <c r="A34" s="25"/>
      <c r="B34" s="524" t="str">
        <f>IF(Lang="Français"," Position du bas",IF(Lang="English"," Basement",""))</f>
        <v xml:space="preserve"> Position du bas</v>
      </c>
      <c r="C34" s="35">
        <v>942</v>
      </c>
      <c r="D34" s="35">
        <v>1250</v>
      </c>
      <c r="E34" s="146">
        <f>D_ail</f>
        <v>84</v>
      </c>
      <c r="G34" s="24"/>
      <c r="H34" s="542"/>
      <c r="I34" s="543"/>
      <c r="K34" s="32"/>
      <c r="Q34" s="29"/>
      <c r="R34" s="38"/>
    </row>
    <row r="35" spans="1:23" ht="12.75" customHeight="1" x14ac:dyDescent="0.2">
      <c r="A35" s="25"/>
      <c r="B35" s="524" t="str">
        <f>IF(Lang="Français"," Diamètre         ",IF(Lang="English"," Diameter at Fins",""))</f>
        <v xml:space="preserve"> Diamètre         </v>
      </c>
      <c r="C35" s="35">
        <v>84</v>
      </c>
      <c r="D35" s="35">
        <f>D_ref</f>
        <v>84</v>
      </c>
      <c r="E35" s="146">
        <f>SQRT(POWER(p_int+n_int/2-m_int/2,2)+POWER(E_int,2))</f>
        <v>130.66751700403586</v>
      </c>
      <c r="K35" s="32"/>
      <c r="Q35" s="29"/>
      <c r="R35" s="38"/>
      <c r="W35" s="24" t="str">
        <f>RIGHT(Type_fusee,1="R")</f>
        <v/>
      </c>
    </row>
    <row r="36" spans="1:23" ht="12.75" customHeight="1" x14ac:dyDescent="0.2">
      <c r="A36" s="25"/>
      <c r="B36" s="524" t="str">
        <f>IF(Lang="Français"," Ligne mi-corde f",IF(Lang="English"," Mid-chord line f",""))</f>
        <v xml:space="preserve"> Ligne mi-corde f</v>
      </c>
      <c r="C36" s="145">
        <f>SQRT(POWER(p_ail+n_ail/2-m_ail/2,2)+POWER(E_ail,2))</f>
        <v>130.66751700403586</v>
      </c>
      <c r="D36" s="145">
        <f>SQRT(POWER(p_can+n_can/2-m_can/2,2)+POWER(E_can,2))</f>
        <v>155.56349186104046</v>
      </c>
      <c r="E36" s="536"/>
      <c r="K36" s="32"/>
      <c r="Q36" s="29"/>
      <c r="R36" s="38"/>
    </row>
    <row r="37" spans="1:23" ht="12.75" customHeight="1" thickBot="1" x14ac:dyDescent="0.25">
      <c r="A37" s="40"/>
      <c r="B37" s="182" t="str">
        <f>IF(Lang="Français","Commentaire libre :",IF(Lang="English","Free comment:",""))</f>
        <v>Commentaire libre :</v>
      </c>
      <c r="C37" s="41"/>
      <c r="D37" s="42"/>
      <c r="E37" s="91"/>
      <c r="F37" s="67"/>
      <c r="G37" s="67"/>
      <c r="H37" s="67"/>
      <c r="I37" s="67"/>
      <c r="J37" s="42"/>
      <c r="K37" s="42"/>
      <c r="L37" s="389" t="s">
        <v>270</v>
      </c>
      <c r="M37" s="392" t="str">
        <f>IF(ROUND(SUM(Propu!5:1228),0)=437735,"propu OK","propu NOK")</f>
        <v>propu OK</v>
      </c>
      <c r="N37" s="391" t="str">
        <f>IF(Lang="Français","fichier initial","Initial file")</f>
        <v>fichier initial</v>
      </c>
      <c r="O37" s="392"/>
      <c r="P37" s="390"/>
      <c r="Q37" s="291" t="s">
        <v>567</v>
      </c>
      <c r="R37" s="43"/>
    </row>
    <row r="39" spans="1:23" x14ac:dyDescent="0.2">
      <c r="L39" s="226" t="str">
        <f>IF(Lang="Français","Maintenant que votre fusée est stable, vérifiez sa trajectoire via la feuille","Now your rocket is stable, check its trajectory on sheet")</f>
        <v>Maintenant que votre fusée est stable, vérifiez sa trajectoire via la feuille</v>
      </c>
      <c r="M39" s="481" t="s">
        <v>180</v>
      </c>
    </row>
    <row r="40" spans="1:23" x14ac:dyDescent="0.2">
      <c r="H40" s="87"/>
      <c r="O40" s="26"/>
      <c r="P40" s="26"/>
      <c r="S40" s="506"/>
    </row>
    <row r="41" spans="1:23" x14ac:dyDescent="0.2">
      <c r="F41" s="24"/>
      <c r="H41" s="43"/>
      <c r="I41" s="44"/>
      <c r="J41" s="43"/>
      <c r="N41" s="43"/>
      <c r="Q41" s="43"/>
      <c r="R41" s="43"/>
    </row>
    <row r="42" spans="1:23" x14ac:dyDescent="0.2">
      <c r="F42" s="24"/>
      <c r="G42" s="503"/>
      <c r="H42" s="504"/>
      <c r="I42" s="44"/>
      <c r="J42" s="43"/>
      <c r="N42" s="43"/>
      <c r="Q42" s="43"/>
      <c r="R42" s="43"/>
    </row>
    <row r="43" spans="1:23" x14ac:dyDescent="0.2">
      <c r="F43" s="24"/>
      <c r="H43" s="43"/>
      <c r="I43" s="44"/>
      <c r="J43" s="43"/>
      <c r="N43" s="43"/>
      <c r="Q43" s="43"/>
      <c r="R43" s="43"/>
    </row>
    <row r="44" spans="1:23" x14ac:dyDescent="0.2">
      <c r="F44" s="24"/>
      <c r="H44" s="43"/>
      <c r="I44" s="44"/>
      <c r="J44" s="43"/>
      <c r="N44" s="43"/>
      <c r="Q44" s="43"/>
      <c r="R44" s="43"/>
    </row>
    <row r="45" spans="1:23" x14ac:dyDescent="0.2">
      <c r="F45" s="24"/>
      <c r="H45" s="43"/>
      <c r="I45" s="44"/>
      <c r="J45" s="43"/>
      <c r="N45" s="43"/>
      <c r="Q45" s="43"/>
      <c r="R45" s="43"/>
    </row>
    <row r="46" spans="1:23" x14ac:dyDescent="0.2">
      <c r="F46" s="24"/>
      <c r="H46" s="43"/>
      <c r="I46" s="44"/>
      <c r="J46" s="43"/>
      <c r="N46" s="43"/>
      <c r="Q46" s="43"/>
      <c r="R46" s="43"/>
    </row>
    <row r="47" spans="1:23" x14ac:dyDescent="0.2">
      <c r="F47" s="24"/>
      <c r="H47" s="43"/>
      <c r="I47" s="44"/>
      <c r="J47" s="43"/>
      <c r="L47" s="43"/>
      <c r="M47" s="43"/>
      <c r="N47" s="43"/>
      <c r="Q47" s="43"/>
      <c r="R47" s="43"/>
    </row>
    <row r="48" spans="1:23" x14ac:dyDescent="0.2">
      <c r="F48" s="24"/>
      <c r="H48" s="43"/>
      <c r="I48" s="44"/>
      <c r="J48" s="43"/>
      <c r="L48" s="43"/>
      <c r="M48" s="43"/>
      <c r="N48" s="43"/>
      <c r="Q48" s="43"/>
      <c r="R48" s="43"/>
    </row>
    <row r="49" spans="2:18" x14ac:dyDescent="0.2">
      <c r="F49" s="24"/>
      <c r="H49" s="43"/>
      <c r="I49" s="44"/>
      <c r="J49" s="43"/>
      <c r="L49" s="43"/>
      <c r="M49" s="43"/>
      <c r="N49" s="43"/>
      <c r="Q49" s="43"/>
      <c r="R49" s="43"/>
    </row>
    <row r="50" spans="2:18" x14ac:dyDescent="0.2">
      <c r="F50" s="24"/>
      <c r="H50" s="43"/>
      <c r="I50" s="44"/>
      <c r="J50" s="43"/>
      <c r="L50" s="43"/>
      <c r="M50" s="43"/>
      <c r="N50" s="43"/>
      <c r="Q50" s="43"/>
      <c r="R50" s="43"/>
    </row>
    <row r="51" spans="2:18" x14ac:dyDescent="0.2">
      <c r="F51" s="24"/>
      <c r="H51" s="43"/>
      <c r="I51" s="44"/>
      <c r="J51" s="43"/>
      <c r="L51" s="43"/>
      <c r="M51" s="43"/>
      <c r="N51" s="43"/>
      <c r="Q51" s="43"/>
      <c r="R51" s="43"/>
    </row>
    <row r="52" spans="2:18" x14ac:dyDescent="0.2">
      <c r="F52" s="24"/>
      <c r="H52" s="43"/>
      <c r="I52" s="44"/>
      <c r="J52" s="43"/>
      <c r="L52" s="43"/>
      <c r="M52" s="43"/>
      <c r="N52" s="43"/>
      <c r="Q52" s="43"/>
      <c r="R52" s="43"/>
    </row>
    <row r="53" spans="2:18" x14ac:dyDescent="0.2">
      <c r="H53" s="43"/>
      <c r="I53" s="44"/>
      <c r="J53" s="43"/>
      <c r="L53" s="43"/>
      <c r="M53" s="43"/>
      <c r="N53" s="43"/>
      <c r="Q53" s="43"/>
      <c r="R53" s="43"/>
    </row>
    <row r="54" spans="2:18" x14ac:dyDescent="0.2">
      <c r="H54" s="43"/>
      <c r="I54" s="44"/>
      <c r="J54" s="43"/>
      <c r="L54" s="43"/>
      <c r="M54" s="43"/>
      <c r="N54" s="43"/>
      <c r="Q54" s="43"/>
      <c r="R54" s="43"/>
    </row>
    <row r="55" spans="2:18" x14ac:dyDescent="0.2">
      <c r="H55" s="43"/>
      <c r="I55" s="44"/>
      <c r="J55" s="43"/>
      <c r="L55" s="43"/>
      <c r="M55" s="43"/>
      <c r="N55" s="43"/>
      <c r="Q55" s="43"/>
      <c r="R55" s="43"/>
    </row>
    <row r="56" spans="2:18" x14ac:dyDescent="0.2">
      <c r="H56" s="43"/>
      <c r="I56" s="44"/>
      <c r="J56" s="43"/>
      <c r="L56" s="43"/>
      <c r="M56" s="43"/>
      <c r="N56" s="43"/>
      <c r="Q56" s="43"/>
      <c r="R56" s="43"/>
    </row>
    <row r="57" spans="2:18" x14ac:dyDescent="0.2">
      <c r="C57" s="24"/>
      <c r="H57" s="43"/>
      <c r="I57" s="44"/>
      <c r="J57" s="43"/>
      <c r="L57" s="43"/>
      <c r="M57" s="43"/>
      <c r="N57" s="43"/>
      <c r="Q57" s="43"/>
      <c r="R57" s="43"/>
    </row>
    <row r="58" spans="2:18" x14ac:dyDescent="0.2">
      <c r="H58" s="43"/>
      <c r="I58" s="44"/>
      <c r="J58" s="43"/>
      <c r="L58" s="43"/>
      <c r="M58" s="43"/>
      <c r="N58" s="43"/>
      <c r="Q58" s="43"/>
      <c r="R58" s="43"/>
    </row>
    <row r="59" spans="2:18" x14ac:dyDescent="0.2">
      <c r="B59" s="31"/>
      <c r="H59" s="43"/>
      <c r="I59" s="44"/>
      <c r="J59" s="43"/>
      <c r="L59" s="43"/>
      <c r="M59" s="43"/>
      <c r="N59" s="43"/>
      <c r="Q59" s="43"/>
      <c r="R59" s="43"/>
    </row>
    <row r="60" spans="2:18" x14ac:dyDescent="0.2">
      <c r="B60" s="31"/>
      <c r="H60" s="43"/>
      <c r="I60" s="44"/>
      <c r="J60" s="43"/>
      <c r="L60" s="43"/>
      <c r="M60" s="43"/>
      <c r="N60" s="43"/>
      <c r="Q60" s="43"/>
      <c r="R60" s="43"/>
    </row>
    <row r="61" spans="2:18" x14ac:dyDescent="0.2">
      <c r="B61" s="31"/>
      <c r="H61" s="43"/>
      <c r="I61" s="44"/>
      <c r="J61" s="43"/>
      <c r="L61" s="43"/>
      <c r="M61" s="43"/>
      <c r="N61" s="43"/>
      <c r="Q61" s="43"/>
      <c r="R61" s="43"/>
    </row>
    <row r="62" spans="2:18" x14ac:dyDescent="0.2">
      <c r="B62" s="31"/>
      <c r="H62" s="43"/>
      <c r="I62" s="44"/>
      <c r="J62" s="43"/>
      <c r="L62" s="43"/>
      <c r="M62" s="43"/>
      <c r="N62" s="43"/>
      <c r="Q62" s="43"/>
      <c r="R62" s="43"/>
    </row>
    <row r="63" spans="2:18" x14ac:dyDescent="0.2">
      <c r="B63" s="31"/>
      <c r="H63" s="43"/>
      <c r="I63" s="44"/>
      <c r="J63" s="43"/>
      <c r="L63" s="43"/>
      <c r="M63" s="43"/>
      <c r="N63" s="43"/>
      <c r="Q63" s="43"/>
      <c r="R63" s="43"/>
    </row>
    <row r="64" spans="2:18" x14ac:dyDescent="0.2">
      <c r="B64" s="31"/>
      <c r="H64" s="43"/>
      <c r="I64" s="44"/>
      <c r="J64" s="43"/>
      <c r="L64" s="43"/>
      <c r="M64" s="43"/>
      <c r="N64" s="43"/>
      <c r="Q64" s="43"/>
      <c r="R64" s="43"/>
    </row>
    <row r="65" spans="2:18" x14ac:dyDescent="0.2">
      <c r="B65" s="31"/>
      <c r="H65" s="43"/>
      <c r="I65" s="44"/>
      <c r="J65" s="43"/>
      <c r="L65" s="43"/>
      <c r="M65" s="43"/>
      <c r="N65" s="43"/>
      <c r="Q65" s="43"/>
      <c r="R65" s="43"/>
    </row>
    <row r="66" spans="2:18" x14ac:dyDescent="0.2">
      <c r="B66" s="31"/>
      <c r="H66" s="43"/>
      <c r="I66" s="44"/>
      <c r="J66" s="43"/>
      <c r="L66" s="43"/>
      <c r="M66" s="43"/>
      <c r="N66" s="43"/>
      <c r="Q66" s="43"/>
      <c r="R66" s="43"/>
    </row>
    <row r="67" spans="2:18" x14ac:dyDescent="0.2">
      <c r="B67" s="31"/>
      <c r="H67" s="43"/>
      <c r="I67" s="44"/>
      <c r="J67" s="43"/>
      <c r="L67" s="43"/>
      <c r="M67" s="43"/>
      <c r="N67" s="43"/>
      <c r="Q67" s="43"/>
      <c r="R67" s="43"/>
    </row>
    <row r="68" spans="2:18" x14ac:dyDescent="0.2">
      <c r="C68" s="24"/>
      <c r="H68" s="43"/>
      <c r="I68" s="44"/>
      <c r="J68" s="43"/>
      <c r="L68" s="43"/>
      <c r="M68" s="43"/>
      <c r="N68" s="43"/>
      <c r="Q68" s="43"/>
      <c r="R68" s="43"/>
    </row>
    <row r="69" spans="2:18" x14ac:dyDescent="0.2">
      <c r="C69" s="24"/>
      <c r="H69" s="43"/>
      <c r="I69" s="44"/>
      <c r="J69" s="43"/>
      <c r="L69" s="43"/>
      <c r="M69" s="43"/>
      <c r="N69" s="43"/>
      <c r="Q69" s="43"/>
      <c r="R69" s="43"/>
    </row>
    <row r="70" spans="2:18" x14ac:dyDescent="0.2">
      <c r="C70" s="24"/>
      <c r="H70" s="43"/>
      <c r="I70" s="44"/>
      <c r="J70" s="43"/>
      <c r="L70" s="43"/>
      <c r="M70" s="43"/>
      <c r="N70" s="43"/>
      <c r="Q70" s="43"/>
      <c r="R70" s="43"/>
    </row>
    <row r="71" spans="2:18" x14ac:dyDescent="0.2">
      <c r="C71" s="24"/>
      <c r="H71" s="43"/>
      <c r="I71" s="44"/>
      <c r="J71" s="43"/>
      <c r="L71" s="43"/>
      <c r="M71" s="43"/>
      <c r="N71" s="43"/>
      <c r="Q71" s="43"/>
      <c r="R71" s="43"/>
    </row>
    <row r="72" spans="2:18" x14ac:dyDescent="0.2">
      <c r="C72" s="24"/>
      <c r="H72" s="43"/>
      <c r="I72" s="44"/>
      <c r="J72" s="43"/>
      <c r="L72" s="43"/>
      <c r="M72" s="43"/>
      <c r="N72" s="43"/>
      <c r="Q72" s="43"/>
      <c r="R72" s="43"/>
    </row>
    <row r="73" spans="2:18" x14ac:dyDescent="0.2">
      <c r="C73" s="24"/>
      <c r="H73" s="43"/>
      <c r="I73" s="44"/>
      <c r="J73" s="43"/>
      <c r="L73" s="43"/>
      <c r="M73" s="43"/>
      <c r="N73" s="43"/>
      <c r="Q73" s="43"/>
      <c r="R73" s="43"/>
    </row>
    <row r="74" spans="2:18" x14ac:dyDescent="0.2">
      <c r="C74" s="24"/>
      <c r="H74" s="43"/>
      <c r="I74" s="44"/>
      <c r="J74" s="43"/>
      <c r="L74" s="43"/>
      <c r="M74" s="43"/>
      <c r="N74" s="43"/>
      <c r="Q74" s="43"/>
      <c r="R74" s="43"/>
    </row>
    <row r="75" spans="2:18" x14ac:dyDescent="0.2">
      <c r="C75" s="24"/>
      <c r="H75" s="43"/>
      <c r="I75" s="44"/>
      <c r="J75" s="43"/>
      <c r="L75" s="43"/>
      <c r="M75" s="43"/>
      <c r="N75" s="43"/>
      <c r="Q75" s="43"/>
      <c r="R75" s="43"/>
    </row>
    <row r="76" spans="2:18" x14ac:dyDescent="0.2">
      <c r="C76" s="24"/>
      <c r="H76" s="43"/>
      <c r="I76" s="44"/>
      <c r="J76" s="43"/>
      <c r="L76" s="43"/>
      <c r="M76" s="43"/>
      <c r="N76" s="43"/>
      <c r="Q76" s="43"/>
      <c r="R76" s="43"/>
    </row>
    <row r="77" spans="2:18" x14ac:dyDescent="0.2">
      <c r="C77" s="24"/>
      <c r="H77" s="43"/>
      <c r="I77" s="44"/>
      <c r="J77" s="43"/>
      <c r="L77" s="43"/>
      <c r="M77" s="43"/>
      <c r="N77" s="43"/>
      <c r="Q77" s="43"/>
      <c r="R77" s="43"/>
    </row>
    <row r="78" spans="2:18" x14ac:dyDescent="0.2">
      <c r="C78" s="24"/>
      <c r="H78" s="43"/>
      <c r="I78" s="44"/>
      <c r="J78" s="43"/>
      <c r="L78" s="43"/>
      <c r="M78" s="43"/>
      <c r="N78" s="43"/>
      <c r="Q78" s="43"/>
      <c r="R78" s="43"/>
    </row>
    <row r="79" spans="2:18" x14ac:dyDescent="0.2">
      <c r="C79" s="24"/>
      <c r="H79" s="43"/>
      <c r="I79" s="44"/>
      <c r="J79" s="43"/>
      <c r="L79" s="43"/>
      <c r="M79" s="43"/>
      <c r="N79" s="43"/>
      <c r="Q79" s="43"/>
      <c r="R79" s="43"/>
    </row>
    <row r="80" spans="2:18" x14ac:dyDescent="0.2">
      <c r="C80" s="24"/>
      <c r="H80" s="43"/>
      <c r="I80" s="44"/>
      <c r="J80" s="43"/>
      <c r="L80" s="43"/>
      <c r="M80" s="43"/>
      <c r="N80" s="43"/>
      <c r="Q80" s="43"/>
      <c r="R80" s="43"/>
    </row>
    <row r="81" spans="2:18" x14ac:dyDescent="0.2">
      <c r="C81" s="24"/>
      <c r="H81" s="43"/>
      <c r="I81" s="44"/>
      <c r="J81" s="43"/>
      <c r="L81" s="43"/>
      <c r="M81" s="43"/>
      <c r="N81" s="43"/>
      <c r="Q81" s="43"/>
      <c r="R81" s="43"/>
    </row>
    <row r="82" spans="2:18" x14ac:dyDescent="0.2">
      <c r="C82" s="24"/>
      <c r="H82" s="43"/>
      <c r="I82" s="44"/>
      <c r="J82" s="43"/>
      <c r="L82" s="43"/>
      <c r="M82" s="43"/>
      <c r="N82" s="43"/>
      <c r="Q82" s="43"/>
      <c r="R82" s="43"/>
    </row>
    <row r="83" spans="2:18" x14ac:dyDescent="0.2">
      <c r="C83" s="24"/>
      <c r="H83" s="43"/>
      <c r="I83" s="44"/>
      <c r="J83" s="43"/>
      <c r="L83" s="43"/>
      <c r="M83" s="43"/>
      <c r="N83" s="43"/>
      <c r="Q83" s="43"/>
      <c r="R83" s="43"/>
    </row>
    <row r="84" spans="2:18" x14ac:dyDescent="0.2">
      <c r="C84" s="24"/>
      <c r="H84" s="43"/>
      <c r="I84" s="44"/>
      <c r="J84" s="43"/>
      <c r="L84" s="43"/>
      <c r="M84" s="43"/>
      <c r="N84" s="43"/>
      <c r="Q84" s="43"/>
      <c r="R84" s="43"/>
    </row>
    <row r="85" spans="2:18" x14ac:dyDescent="0.2">
      <c r="C85" s="24"/>
      <c r="H85" s="43"/>
      <c r="I85" s="44"/>
      <c r="J85" s="43"/>
      <c r="L85" s="43"/>
      <c r="M85" s="43"/>
      <c r="N85" s="43"/>
      <c r="Q85" s="43"/>
      <c r="R85" s="43"/>
    </row>
    <row r="86" spans="2:18" x14ac:dyDescent="0.2">
      <c r="C86" s="24"/>
      <c r="H86" s="43"/>
      <c r="I86" s="44"/>
      <c r="J86" s="43"/>
      <c r="L86" s="43"/>
      <c r="M86" s="43"/>
      <c r="N86" s="43"/>
      <c r="Q86" s="43"/>
      <c r="R86" s="43"/>
    </row>
    <row r="87" spans="2:18" x14ac:dyDescent="0.2">
      <c r="C87" s="24"/>
      <c r="H87" s="43"/>
      <c r="I87" s="44"/>
      <c r="J87" s="43"/>
      <c r="L87" s="43"/>
      <c r="M87" s="43"/>
      <c r="N87" s="43"/>
      <c r="Q87" s="43"/>
      <c r="R87" s="43"/>
    </row>
    <row r="88" spans="2:18" x14ac:dyDescent="0.2">
      <c r="C88" s="24"/>
      <c r="H88" s="43"/>
      <c r="I88" s="44"/>
      <c r="J88" s="43"/>
      <c r="L88" s="43"/>
      <c r="M88" s="43"/>
      <c r="N88" s="43"/>
      <c r="Q88" s="43"/>
      <c r="R88" s="43"/>
    </row>
    <row r="89" spans="2:18" x14ac:dyDescent="0.2">
      <c r="C89" s="24"/>
      <c r="H89" s="43"/>
      <c r="I89" s="44"/>
      <c r="J89" s="43"/>
      <c r="L89" s="43"/>
      <c r="M89" s="43"/>
      <c r="N89" s="43"/>
      <c r="Q89" s="43"/>
      <c r="R89" s="43"/>
    </row>
    <row r="90" spans="2:18" x14ac:dyDescent="0.2">
      <c r="C90" s="24"/>
      <c r="H90" s="43"/>
      <c r="I90" s="44"/>
      <c r="J90" s="43"/>
      <c r="L90" s="43"/>
      <c r="M90" s="43"/>
      <c r="N90" s="43"/>
      <c r="Q90" s="43"/>
      <c r="R90" s="43"/>
    </row>
    <row r="91" spans="2:18" x14ac:dyDescent="0.2">
      <c r="C91" s="24"/>
      <c r="H91" s="43"/>
      <c r="I91" s="44"/>
      <c r="J91" s="43"/>
      <c r="L91" s="43"/>
      <c r="M91" s="43"/>
      <c r="N91" s="43"/>
      <c r="Q91" s="43"/>
      <c r="R91" s="43"/>
    </row>
    <row r="92" spans="2:18" x14ac:dyDescent="0.2">
      <c r="B92" s="24" t="str">
        <f>IF(Lang="Français","Textes pour les listes déroulantes et graphiques :",IF(Lang="English","Texts for drop-down lists &amp; graphics :",""))</f>
        <v>Textes pour les listes déroulantes et graphiques :</v>
      </c>
      <c r="H92" s="43"/>
      <c r="I92" s="44"/>
      <c r="J92" s="43"/>
      <c r="L92" s="43"/>
      <c r="M92" s="43"/>
      <c r="N92" s="43"/>
      <c r="Q92" s="43"/>
      <c r="R92" s="43"/>
    </row>
    <row r="93" spans="2:18" x14ac:dyDescent="0.2">
      <c r="H93" s="43"/>
      <c r="I93" s="44"/>
      <c r="J93" s="43"/>
      <c r="L93" s="43"/>
      <c r="M93" s="43"/>
      <c r="N93" s="43"/>
      <c r="Q93" s="43"/>
      <c r="R93" s="43"/>
    </row>
    <row r="94" spans="2:18" x14ac:dyDescent="0.2">
      <c r="B94" s="26" t="s">
        <v>1</v>
      </c>
      <c r="H94" s="43"/>
      <c r="I94" s="44"/>
      <c r="J94" s="43"/>
      <c r="L94" s="43"/>
      <c r="M94" s="43"/>
      <c r="N94" s="43"/>
      <c r="Q94" s="43"/>
      <c r="R94" s="43"/>
    </row>
    <row r="95" spans="2:18" x14ac:dyDescent="0.2">
      <c r="B95" s="26" t="s">
        <v>67</v>
      </c>
      <c r="H95" s="43"/>
      <c r="I95" s="44"/>
      <c r="J95" s="43"/>
      <c r="L95" s="43"/>
      <c r="M95" s="43"/>
      <c r="N95" s="43"/>
      <c r="Q95" s="43"/>
      <c r="R95" s="43"/>
    </row>
    <row r="96" spans="2:18" x14ac:dyDescent="0.2">
      <c r="B96" s="26"/>
      <c r="H96" s="43"/>
      <c r="I96" s="44"/>
      <c r="J96" s="43"/>
      <c r="L96" s="43"/>
      <c r="M96" s="43"/>
      <c r="N96" s="43"/>
      <c r="Q96" s="43"/>
      <c r="R96" s="43"/>
    </row>
    <row r="97" spans="2:18" x14ac:dyDescent="0.2">
      <c r="B97" s="26" t="str">
        <f>IF(Lang="Français","Fusée à eau  ",IF(Lang="English","Water-rocket  ",""))</f>
        <v xml:space="preserve">Fusée à eau  </v>
      </c>
      <c r="H97" s="43"/>
      <c r="I97" s="44"/>
      <c r="J97" s="43"/>
      <c r="L97" s="43"/>
      <c r="M97" s="43"/>
      <c r="N97" s="43"/>
      <c r="Q97" s="43"/>
      <c r="R97" s="43"/>
    </row>
    <row r="98" spans="2:18" x14ac:dyDescent="0.2">
      <c r="B98" s="26" t="str">
        <f>IF(Lang="Français","Microfusée",IF(Lang="English","Micro-rocket",""))</f>
        <v>Microfusée</v>
      </c>
      <c r="H98" s="43"/>
      <c r="I98" s="44"/>
      <c r="J98" s="43"/>
      <c r="L98" s="43"/>
      <c r="M98" s="43"/>
      <c r="N98" s="43"/>
      <c r="Q98" s="43"/>
      <c r="R98" s="43"/>
    </row>
    <row r="99" spans="2:18" x14ac:dyDescent="0.2">
      <c r="B99" s="26" t="str">
        <f>IF(Lang="Français","Minifusée",IF(Lang="English","Mini-rocket",""))</f>
        <v>Minifusée</v>
      </c>
      <c r="H99" s="43"/>
      <c r="I99" s="44"/>
      <c r="J99" s="43"/>
      <c r="L99" s="43"/>
      <c r="M99" s="43"/>
      <c r="N99" s="43"/>
      <c r="Q99" s="43"/>
      <c r="R99" s="43"/>
    </row>
    <row r="100" spans="2:18" x14ac:dyDescent="0.2">
      <c r="B100" s="26" t="str">
        <f>IF(Lang="Français","Fusée expérimentale.",IF(Lang="English","Experimental Rocket.",""))</f>
        <v>Fusée expérimentale.</v>
      </c>
      <c r="H100" s="43"/>
      <c r="I100" s="44"/>
      <c r="J100" s="43"/>
      <c r="L100" s="43"/>
      <c r="M100" s="43"/>
      <c r="N100" s="43"/>
      <c r="Q100" s="43"/>
      <c r="R100" s="43"/>
    </row>
    <row r="101" spans="2:18" x14ac:dyDescent="0.2">
      <c r="B101" s="26" t="s">
        <v>398</v>
      </c>
      <c r="H101" s="43"/>
      <c r="I101" s="44"/>
      <c r="J101" s="43"/>
      <c r="L101" s="43"/>
      <c r="M101" s="43"/>
      <c r="N101" s="43"/>
      <c r="Q101" s="43"/>
      <c r="R101" s="43"/>
    </row>
    <row r="102" spans="2:18" x14ac:dyDescent="0.2">
      <c r="B102" s="26"/>
      <c r="H102" s="43"/>
      <c r="I102" s="44"/>
      <c r="J102" s="43"/>
      <c r="L102" s="43"/>
      <c r="M102" s="43"/>
      <c r="N102" s="43"/>
      <c r="Q102" s="43"/>
      <c r="R102" s="43"/>
    </row>
    <row r="103" spans="2:18" x14ac:dyDescent="0.2">
      <c r="B103" s="26" t="str">
        <f>IF(Lang="Français","sans propu",IF(Lang="English","without motor",""))</f>
        <v>sans propu</v>
      </c>
      <c r="H103" s="43"/>
      <c r="I103" s="44"/>
      <c r="J103" s="43"/>
      <c r="L103" s="43"/>
      <c r="M103" s="43"/>
      <c r="N103" s="43"/>
      <c r="Q103" s="43"/>
      <c r="R103" s="43"/>
    </row>
    <row r="104" spans="2:18" x14ac:dyDescent="0.2">
      <c r="B104" s="26" t="str">
        <f>IF(Lang="Français","avec propu vide",IF(Lang="English","with empty motor",""))</f>
        <v>avec propu vide</v>
      </c>
      <c r="H104" s="43"/>
      <c r="I104" s="44"/>
      <c r="J104" s="43"/>
      <c r="L104" s="43"/>
      <c r="M104" s="43"/>
      <c r="N104" s="43"/>
      <c r="Q104" s="43"/>
      <c r="R104" s="43"/>
    </row>
    <row r="105" spans="2:18" x14ac:dyDescent="0.2">
      <c r="B105" s="26" t="str">
        <f>IF(Lang="Français","avec propu plein",IF(Lang="English","with loaded motor",""))</f>
        <v>avec propu plein</v>
      </c>
      <c r="H105" s="43"/>
      <c r="I105" s="44"/>
      <c r="J105" s="43"/>
      <c r="L105" s="43"/>
      <c r="M105" s="43"/>
      <c r="N105" s="43"/>
      <c r="Q105" s="43"/>
      <c r="R105" s="43"/>
    </row>
    <row r="106" spans="2:18" x14ac:dyDescent="0.2">
      <c r="B106" s="26"/>
      <c r="H106" s="43"/>
      <c r="I106" s="44"/>
      <c r="J106" s="43"/>
      <c r="L106" s="43"/>
      <c r="M106" s="43"/>
      <c r="N106" s="43"/>
      <c r="Q106" s="43"/>
      <c r="R106" s="43"/>
    </row>
    <row r="107" spans="2:18" x14ac:dyDescent="0.2">
      <c r="B107" s="26" t="str">
        <f>IF(Lang="Français","Parabolique (arrondie)",IF(Lang="English","Parabola (rounded)",""))</f>
        <v>Parabolique (arrondie)</v>
      </c>
      <c r="H107" s="43"/>
      <c r="I107" s="44"/>
      <c r="J107" s="43"/>
      <c r="L107" s="43"/>
      <c r="M107" s="43"/>
      <c r="N107" s="43"/>
      <c r="Q107" s="43"/>
      <c r="R107" s="43"/>
    </row>
    <row r="108" spans="2:18" x14ac:dyDescent="0.2">
      <c r="B108" s="26" t="str">
        <f>IF(Lang="Français","Ogivale (pointue)",IF(Lang="English","Ogive (sharp)",""))</f>
        <v>Ogivale (pointue)</v>
      </c>
      <c r="H108" s="43"/>
      <c r="I108" s="44"/>
      <c r="J108" s="43"/>
      <c r="L108" s="43"/>
      <c r="M108" s="43"/>
      <c r="N108" s="43"/>
      <c r="Q108" s="43"/>
      <c r="R108" s="43"/>
    </row>
    <row r="109" spans="2:18" x14ac:dyDescent="0.2">
      <c r="B109" s="26" t="str">
        <f>IF(Lang="Français","Conique (droite)",IF(Lang="English","Cone (straight)",""))</f>
        <v>Conique (droite)</v>
      </c>
      <c r="H109" s="43"/>
      <c r="I109" s="44"/>
      <c r="J109" s="43"/>
      <c r="L109" s="43"/>
      <c r="M109" s="43"/>
      <c r="N109" s="43"/>
      <c r="Q109" s="43"/>
      <c r="R109" s="43"/>
    </row>
    <row r="110" spans="2:18" x14ac:dyDescent="0.2">
      <c r="B110" s="38"/>
      <c r="H110" s="43"/>
      <c r="I110" s="44"/>
      <c r="J110" s="43"/>
      <c r="L110" s="43"/>
      <c r="M110" s="43"/>
      <c r="N110" s="43"/>
      <c r="Q110" s="43"/>
      <c r="R110" s="43"/>
    </row>
    <row r="111" spans="2:18" x14ac:dyDescent="0.2">
      <c r="B111" s="38" t="s">
        <v>424</v>
      </c>
      <c r="H111" s="43"/>
      <c r="I111" s="44"/>
      <c r="J111" s="43"/>
      <c r="L111" s="43"/>
      <c r="M111" s="43"/>
      <c r="N111" s="43"/>
      <c r="Q111" s="43"/>
      <c r="R111" s="43"/>
    </row>
    <row r="112" spans="2:18" x14ac:dyDescent="0.2">
      <c r="B112" s="38" t="s">
        <v>425</v>
      </c>
      <c r="H112" s="43"/>
      <c r="I112" s="44"/>
      <c r="J112" s="43"/>
      <c r="L112" s="43"/>
      <c r="M112" s="43"/>
      <c r="N112" s="43"/>
      <c r="Q112" s="43"/>
      <c r="R112" s="43"/>
    </row>
    <row r="113" spans="2:18" x14ac:dyDescent="0.2">
      <c r="B113" s="38"/>
      <c r="H113" s="43"/>
      <c r="I113" s="44"/>
      <c r="J113" s="43"/>
      <c r="L113" s="43"/>
      <c r="M113" s="43"/>
      <c r="N113" s="43"/>
      <c r="Q113" s="43"/>
      <c r="R113" s="43"/>
    </row>
    <row r="114" spans="2:18" x14ac:dyDescent="0.2">
      <c r="B114" s="38" t="str">
        <f>IF(Lang="Français","Fusée mono-diamètre,",IF(Lang="English","Mono-diameter rocket,",""))</f>
        <v>Fusée mono-diamètre,</v>
      </c>
      <c r="H114" s="43"/>
      <c r="I114" s="44"/>
      <c r="J114" s="43"/>
      <c r="L114" s="43"/>
      <c r="M114" s="43"/>
      <c r="N114" s="43"/>
      <c r="Q114" s="43"/>
      <c r="R114" s="43"/>
    </row>
    <row r="115" spans="2:18" x14ac:dyDescent="0.2">
      <c r="B115" s="38" t="str">
        <f>IF(Lang="Français","Plusieurs diamètres.",IF(Lang="English","Many diameters rocket.",""))</f>
        <v>Plusieurs diamètres.</v>
      </c>
      <c r="H115" s="43"/>
      <c r="I115" s="44"/>
      <c r="J115" s="43"/>
      <c r="L115" s="43"/>
      <c r="M115" s="43"/>
      <c r="N115" s="43"/>
      <c r="Q115" s="43"/>
      <c r="R115" s="43"/>
    </row>
    <row r="116" spans="2:18" x14ac:dyDescent="0.2">
      <c r="B116" s="38"/>
      <c r="H116" s="43"/>
      <c r="I116" s="44"/>
      <c r="J116" s="43"/>
      <c r="L116" s="43"/>
      <c r="M116" s="43"/>
      <c r="N116" s="43"/>
      <c r="Q116" s="43"/>
      <c r="R116" s="43"/>
    </row>
    <row r="117" spans="2:18" x14ac:dyDescent="0.2">
      <c r="B117" s="223" t="str">
        <f>IF(Lang="Français","Diagramme des critères de stabilité","Stability criterions diagram")</f>
        <v>Diagramme des critères de stabilité</v>
      </c>
      <c r="H117" s="43"/>
      <c r="I117" s="44"/>
      <c r="J117" s="43"/>
      <c r="L117" s="43"/>
      <c r="M117" s="43"/>
      <c r="N117" s="43"/>
      <c r="Q117" s="43"/>
      <c r="R117" s="43"/>
    </row>
    <row r="118" spans="2:18" x14ac:dyDescent="0.2">
      <c r="B118" s="223" t="str">
        <f>IF(Lang="Français","Marge Statique (MS)","Static Margin")</f>
        <v>Marge Statique (MS)</v>
      </c>
      <c r="H118" s="43"/>
      <c r="I118" s="44"/>
      <c r="J118" s="43"/>
      <c r="L118" s="43"/>
      <c r="M118" s="43"/>
      <c r="N118" s="43"/>
      <c r="Q118" s="43"/>
      <c r="R118" s="43"/>
    </row>
    <row r="119" spans="2:18" x14ac:dyDescent="0.2">
      <c r="B119" s="223" t="str">
        <f>IF(Lang="Français","Portance Cnα","Lift Cnα")</f>
        <v>Portance Cnα</v>
      </c>
      <c r="H119" s="43"/>
      <c r="I119" s="44"/>
      <c r="J119" s="43"/>
      <c r="L119" s="43"/>
      <c r="M119" s="43"/>
      <c r="N119" s="43"/>
      <c r="Q119" s="43"/>
      <c r="R119" s="43"/>
    </row>
    <row r="120" spans="2:18" x14ac:dyDescent="0.2">
      <c r="B120" s="38"/>
      <c r="H120" s="43"/>
      <c r="I120" s="44"/>
      <c r="J120" s="43"/>
      <c r="L120" s="43"/>
      <c r="M120" s="43"/>
      <c r="N120" s="43"/>
      <c r="Q120" s="43"/>
      <c r="R120" s="43"/>
    </row>
    <row r="121" spans="2:18" x14ac:dyDescent="0.2">
      <c r="B121" s="24" t="str">
        <f>IF(Lang="Français","Données pour les graphiques :",IF(Lang="English","Data for plots:",""))</f>
        <v>Données pour les graphiques :</v>
      </c>
      <c r="H121" s="43"/>
      <c r="I121" s="44"/>
      <c r="J121" s="43"/>
      <c r="L121" s="43"/>
      <c r="M121" s="43"/>
      <c r="N121" s="43"/>
      <c r="Q121" s="43"/>
      <c r="R121" s="43"/>
    </row>
    <row r="122" spans="2:18" x14ac:dyDescent="0.2">
      <c r="H122" s="43"/>
      <c r="I122" s="44"/>
      <c r="J122" s="43"/>
      <c r="L122" s="43"/>
      <c r="M122" s="43"/>
      <c r="N122" s="43"/>
      <c r="Q122" s="43"/>
      <c r="R122" s="43"/>
    </row>
    <row r="123" spans="2:18" x14ac:dyDescent="0.2">
      <c r="B123" s="45"/>
      <c r="C123" s="45" t="s">
        <v>68</v>
      </c>
      <c r="D123" s="45" t="s">
        <v>69</v>
      </c>
      <c r="E123" s="92" t="s">
        <v>70</v>
      </c>
      <c r="K123" s="45"/>
    </row>
    <row r="124" spans="2:18" x14ac:dyDescent="0.2">
      <c r="B124" s="45" t="s">
        <v>72</v>
      </c>
      <c r="C124" s="46">
        <f>-Long_ogive</f>
        <v>-252</v>
      </c>
      <c r="D124" s="46">
        <v>0</v>
      </c>
      <c r="E124" s="93">
        <f t="shared" ref="E124:E136" si="0">-D124</f>
        <v>0</v>
      </c>
      <c r="K124" s="46"/>
    </row>
    <row r="125" spans="2:18" x14ac:dyDescent="0.2">
      <c r="B125" s="45" t="s">
        <v>72</v>
      </c>
      <c r="C125" s="46">
        <f>-Long_ogive</f>
        <v>-252</v>
      </c>
      <c r="D125" s="46">
        <f>D_og/2</f>
        <v>42</v>
      </c>
      <c r="E125" s="93">
        <f t="shared" si="0"/>
        <v>-42</v>
      </c>
      <c r="K125" s="46"/>
    </row>
    <row r="126" spans="2:18" x14ac:dyDescent="0.2">
      <c r="B126" s="45" t="s">
        <v>73</v>
      </c>
      <c r="C126" s="46">
        <f>IF(AND(RIGHT(Nb_diam,1)=".",X_j), -X_j, C125 )</f>
        <v>-252</v>
      </c>
      <c r="D126" s="46">
        <f>IF(AND(RIGHT(Nb_diam,1)=".",X_j), D1j/2, D125 )</f>
        <v>42</v>
      </c>
      <c r="E126" s="93">
        <f t="shared" si="0"/>
        <v>-42</v>
      </c>
      <c r="K126" s="46"/>
    </row>
    <row r="127" spans="2:18" x14ac:dyDescent="0.2">
      <c r="B127" s="45" t="s">
        <v>74</v>
      </c>
      <c r="C127" s="46">
        <f>IF(AND(RIGHT(Nb_diam,1)=".",X_j), -X_j-l_j, C126 )</f>
        <v>-252</v>
      </c>
      <c r="D127" s="46">
        <f>IF(AND(RIGHT(Nb_diam,1)=".",X_j), D2j/2, D126 )</f>
        <v>42</v>
      </c>
      <c r="E127" s="93">
        <f t="shared" si="0"/>
        <v>-42</v>
      </c>
      <c r="K127" s="46"/>
    </row>
    <row r="128" spans="2:18" x14ac:dyDescent="0.2">
      <c r="B128" s="45" t="s">
        <v>75</v>
      </c>
      <c r="C128" s="46">
        <f>IF(AND(RIGHT(Nb_diam,1)=".",X_r), -X_r, C127 )</f>
        <v>-252</v>
      </c>
      <c r="D128" s="46">
        <f>IF(AND(RIGHT(Nb_diam,1)=".",X_r), D1r/2, D127 )</f>
        <v>42</v>
      </c>
      <c r="E128" s="93">
        <f t="shared" si="0"/>
        <v>-42</v>
      </c>
      <c r="K128" s="46"/>
    </row>
    <row r="129" spans="2:11" x14ac:dyDescent="0.2">
      <c r="B129" s="45" t="s">
        <v>76</v>
      </c>
      <c r="C129" s="46">
        <f>IF(AND(RIGHT(Nb_diam,1)=".",X_r), -X_r-l_r, C128 )</f>
        <v>-252</v>
      </c>
      <c r="D129" s="46">
        <f>IF(AND(RIGHT(Nb_diam,1)=".",X_r), D2r/2, D128 )</f>
        <v>42</v>
      </c>
      <c r="E129" s="93">
        <f t="shared" si="0"/>
        <v>-42</v>
      </c>
      <c r="K129" s="46"/>
    </row>
    <row r="130" spans="2:11" x14ac:dyDescent="0.2">
      <c r="B130" s="45" t="s">
        <v>77</v>
      </c>
      <c r="C130" s="46">
        <f>-Long_tot</f>
        <v>-992</v>
      </c>
      <c r="D130" s="46">
        <f>D129</f>
        <v>42</v>
      </c>
      <c r="E130" s="93">
        <f t="shared" si="0"/>
        <v>-42</v>
      </c>
      <c r="K130" s="46"/>
    </row>
    <row r="131" spans="2:11" x14ac:dyDescent="0.2">
      <c r="B131" s="45" t="s">
        <v>77</v>
      </c>
      <c r="C131" s="46">
        <f>-Long_tot</f>
        <v>-992</v>
      </c>
      <c r="D131" s="46">
        <v>0</v>
      </c>
      <c r="E131" s="93">
        <f t="shared" si="0"/>
        <v>0</v>
      </c>
      <c r="K131" s="46"/>
    </row>
    <row r="132" spans="2:11" x14ac:dyDescent="0.2">
      <c r="B132" s="183" t="s">
        <v>78</v>
      </c>
      <c r="C132" s="197">
        <f>-X_ail+m_ail</f>
        <v>-772</v>
      </c>
      <c r="D132" s="197">
        <f>D_ail/2</f>
        <v>42</v>
      </c>
      <c r="E132" s="198">
        <f t="shared" si="0"/>
        <v>-42</v>
      </c>
      <c r="K132" s="46"/>
    </row>
    <row r="133" spans="2:11" x14ac:dyDescent="0.2">
      <c r="B133" s="185" t="s">
        <v>79</v>
      </c>
      <c r="C133" s="46">
        <f>-X_ail+m_ail-p_ail</f>
        <v>-892</v>
      </c>
      <c r="D133" s="46">
        <f>D_ail/2+E_ail</f>
        <v>149</v>
      </c>
      <c r="E133" s="199">
        <f t="shared" si="0"/>
        <v>-149</v>
      </c>
      <c r="K133" s="46"/>
    </row>
    <row r="134" spans="2:11" x14ac:dyDescent="0.2">
      <c r="B134" s="185" t="s">
        <v>80</v>
      </c>
      <c r="C134" s="46">
        <f>-X_ail+m_ail-p_ail-n_ail</f>
        <v>-972</v>
      </c>
      <c r="D134" s="46">
        <f>D_ail/2+E_ail</f>
        <v>149</v>
      </c>
      <c r="E134" s="199">
        <f t="shared" si="0"/>
        <v>-149</v>
      </c>
      <c r="K134" s="46"/>
    </row>
    <row r="135" spans="2:11" x14ac:dyDescent="0.2">
      <c r="B135" s="185" t="s">
        <v>81</v>
      </c>
      <c r="C135" s="46">
        <f>-X_ail</f>
        <v>-942</v>
      </c>
      <c r="D135" s="46">
        <f>D_ail/2</f>
        <v>42</v>
      </c>
      <c r="E135" s="199">
        <f t="shared" si="0"/>
        <v>-42</v>
      </c>
      <c r="K135" s="46"/>
    </row>
    <row r="136" spans="2:11" x14ac:dyDescent="0.2">
      <c r="B136" s="187" t="s">
        <v>78</v>
      </c>
      <c r="C136" s="200">
        <f>-X_ail+m_ail</f>
        <v>-772</v>
      </c>
      <c r="D136" s="200">
        <f>D_ail/2</f>
        <v>42</v>
      </c>
      <c r="E136" s="201">
        <f t="shared" si="0"/>
        <v>-42</v>
      </c>
      <c r="K136" s="46"/>
    </row>
    <row r="137" spans="2:11" x14ac:dyDescent="0.2">
      <c r="B137" s="192" t="str">
        <f>IF(E_ail&gt;0,IF(Lang="Français","Envergure","Span"),"")</f>
        <v>Envergure</v>
      </c>
      <c r="C137" s="197">
        <f>MIN(-X_ail,-X_ail+m_ail-p_ail-n_ail)-Long_tot/30</f>
        <v>-1005.0666666666667</v>
      </c>
      <c r="D137" s="207">
        <f>-D_ail/2-E_ail</f>
        <v>-149</v>
      </c>
      <c r="E137" s="93"/>
      <c r="K137" s="46"/>
    </row>
    <row r="138" spans="2:11" x14ac:dyDescent="0.2">
      <c r="B138" s="195" t="s">
        <v>166</v>
      </c>
      <c r="C138" s="46">
        <f>MIN(-X_ail,-X_ail+m_ail-p_ail-n_ail)-Long_tot/30</f>
        <v>-1005.0666666666667</v>
      </c>
      <c r="D138" s="208">
        <f>-D_ail/2-E_ail/2</f>
        <v>-95.5</v>
      </c>
      <c r="E138" s="93"/>
      <c r="K138" s="46"/>
    </row>
    <row r="139" spans="2:11" x14ac:dyDescent="0.2">
      <c r="B139" s="212" t="s">
        <v>162</v>
      </c>
      <c r="C139" s="200">
        <f>MIN(-X_ail,-X_ail+m_ail-p_ail-n_ail)-Long_tot/30</f>
        <v>-1005.0666666666667</v>
      </c>
      <c r="D139" s="209">
        <f>-D_ail/2</f>
        <v>-42</v>
      </c>
      <c r="E139" s="93"/>
      <c r="K139" s="46"/>
    </row>
    <row r="140" spans="2:11" x14ac:dyDescent="0.2">
      <c r="B140" s="192" t="str">
        <f>IF(Lang="Français","Emplanture","Root edge")</f>
        <v>Emplanture</v>
      </c>
      <c r="C140" s="197">
        <f>-X_ail+m_ail</f>
        <v>-772</v>
      </c>
      <c r="D140" s="207">
        <f>D_ail/2+E_ail+Long_tot/20</f>
        <v>198.6</v>
      </c>
      <c r="E140" s="93"/>
      <c r="K140" s="46"/>
    </row>
    <row r="141" spans="2:11" x14ac:dyDescent="0.2">
      <c r="B141" s="195" t="s">
        <v>168</v>
      </c>
      <c r="C141" s="46">
        <f>-X_ail+m_ail/2</f>
        <v>-857</v>
      </c>
      <c r="D141" s="208">
        <f>D_ail/2+E_ail+Long_tot/20</f>
        <v>198.6</v>
      </c>
      <c r="E141" s="93"/>
      <c r="K141" s="46"/>
    </row>
    <row r="142" spans="2:11" x14ac:dyDescent="0.2">
      <c r="B142" s="212" t="s">
        <v>169</v>
      </c>
      <c r="C142" s="200">
        <f>-X_ail</f>
        <v>-942</v>
      </c>
      <c r="D142" s="209">
        <f>D_ail/2+E_ail+Long_tot/20</f>
        <v>198.6</v>
      </c>
      <c r="E142" s="93"/>
      <c r="K142" s="46"/>
    </row>
    <row r="143" spans="2:11" x14ac:dyDescent="0.2">
      <c r="B143" s="192" t="str">
        <f>IF(p_ail&lt;&gt;0,IF(Lang="Français","Flèche","Offset"),"")</f>
        <v>Flèche</v>
      </c>
      <c r="C143" s="197">
        <f>-X_ail+m_ail</f>
        <v>-772</v>
      </c>
      <c r="D143" s="207">
        <f>-D_ail/2-E_ail-Long_tot/30</f>
        <v>-182.06666666666666</v>
      </c>
      <c r="E143" s="93"/>
      <c r="K143" s="46"/>
    </row>
    <row r="144" spans="2:11" x14ac:dyDescent="0.2">
      <c r="B144" s="195" t="s">
        <v>165</v>
      </c>
      <c r="C144" s="46">
        <f>-X_ail+m_ail-p_ail/2</f>
        <v>-832</v>
      </c>
      <c r="D144" s="208">
        <f>-D_ail/2-E_ail-Long_tot/30</f>
        <v>-182.06666666666666</v>
      </c>
      <c r="E144" s="93"/>
      <c r="K144" s="46"/>
    </row>
    <row r="145" spans="2:11" x14ac:dyDescent="0.2">
      <c r="B145" s="212" t="s">
        <v>163</v>
      </c>
      <c r="C145" s="200">
        <f>-X_ail+m_ail-p_ail</f>
        <v>-892</v>
      </c>
      <c r="D145" s="209">
        <f>-D_ail/2-E_ail-Long_tot/30</f>
        <v>-182.06666666666666</v>
      </c>
      <c r="E145" s="93"/>
      <c r="K145" s="46"/>
    </row>
    <row r="146" spans="2:11" x14ac:dyDescent="0.2">
      <c r="B146" s="192" t="str">
        <f>IF(n_ail&gt;0,IF(Lang="Français","Saumon","Tip edge"),"")</f>
        <v>Saumon</v>
      </c>
      <c r="C146" s="197">
        <f>-X_ail+m_ail-p_ail</f>
        <v>-892</v>
      </c>
      <c r="D146" s="207">
        <f>-D_ail/2-E_ail-Long_tot/20</f>
        <v>-198.6</v>
      </c>
      <c r="E146" s="93"/>
      <c r="K146" s="46"/>
    </row>
    <row r="147" spans="2:11" x14ac:dyDescent="0.2">
      <c r="B147" s="195" t="s">
        <v>167</v>
      </c>
      <c r="C147" s="46">
        <f>-X_ail+m_ail-p_ail-n_ail/2</f>
        <v>-932</v>
      </c>
      <c r="D147" s="208">
        <f>-D_ail/2-E_ail-Long_tot/20</f>
        <v>-198.6</v>
      </c>
      <c r="E147" s="93"/>
      <c r="K147" s="46"/>
    </row>
    <row r="148" spans="2:11" x14ac:dyDescent="0.2">
      <c r="B148" s="212" t="s">
        <v>164</v>
      </c>
      <c r="C148" s="200">
        <f>-X_ail+m_ail-p_ail-n_ail</f>
        <v>-972</v>
      </c>
      <c r="D148" s="209">
        <f>-D_ail/2-E_ail-Long_tot/20</f>
        <v>-198.6</v>
      </c>
      <c r="E148" s="93"/>
      <c r="K148" s="46"/>
    </row>
    <row r="149" spans="2:11" x14ac:dyDescent="0.2">
      <c r="B149" s="183" t="s">
        <v>82</v>
      </c>
      <c r="C149" s="197">
        <f ca="1">-XcgPlein</f>
        <v>-528.01595314246072</v>
      </c>
      <c r="D149" s="207">
        <v>0</v>
      </c>
      <c r="E149" s="93"/>
      <c r="K149" s="46"/>
    </row>
    <row r="150" spans="2:11" x14ac:dyDescent="0.2">
      <c r="B150" s="187" t="s">
        <v>83</v>
      </c>
      <c r="C150" s="200">
        <f ca="1">-XcgVide</f>
        <v>-528</v>
      </c>
      <c r="D150" s="209">
        <v>0</v>
      </c>
      <c r="E150" s="93"/>
      <c r="K150" s="46"/>
    </row>
    <row r="151" spans="2:11" x14ac:dyDescent="0.2">
      <c r="B151" s="183" t="s">
        <v>84</v>
      </c>
      <c r="C151" s="197">
        <f>-XCp</f>
        <v>-769.02762675440692</v>
      </c>
      <c r="D151" s="207">
        <v>0</v>
      </c>
      <c r="E151" s="93"/>
      <c r="K151" s="46"/>
    </row>
    <row r="152" spans="2:11" x14ac:dyDescent="0.2">
      <c r="B152" s="187" t="s">
        <v>84</v>
      </c>
      <c r="C152" s="200">
        <f>-XCp</f>
        <v>-769.02762675440692</v>
      </c>
      <c r="D152" s="209">
        <f>Cn*D_ref/CritCnmin</f>
        <v>87.372101895940062</v>
      </c>
      <c r="E152" s="93"/>
      <c r="K152" s="46"/>
    </row>
    <row r="153" spans="2:11" x14ac:dyDescent="0.2">
      <c r="B153" s="185" t="s">
        <v>422</v>
      </c>
      <c r="C153" s="46">
        <f>-XCp0</f>
        <v>-769.02762675440692</v>
      </c>
      <c r="D153" s="208">
        <f>Cn0*D_ref/CritCnmin</f>
        <v>87.372101895940062</v>
      </c>
      <c r="E153" s="93"/>
      <c r="K153" s="46"/>
    </row>
    <row r="154" spans="2:11" x14ac:dyDescent="0.2">
      <c r="B154" s="185" t="s">
        <v>422</v>
      </c>
      <c r="C154" s="46">
        <f>-XCp0</f>
        <v>-769.02762675440692</v>
      </c>
      <c r="D154" s="208">
        <v>0</v>
      </c>
      <c r="E154" s="93"/>
      <c r="K154" s="46"/>
    </row>
    <row r="155" spans="2:11" x14ac:dyDescent="0.2">
      <c r="B155" s="192" t="str">
        <f>IF(n_ail&gt;0,IF(Lang="Français","Marge Statique","Static Margin"),"")</f>
        <v>Marge Statique</v>
      </c>
      <c r="C155" s="197">
        <f ca="1">(-XcgPlein-XcgVide)/2</f>
        <v>-528.0079765712303</v>
      </c>
      <c r="D155" s="207">
        <f>-D_ail/2-E_ail-Long_tot/20</f>
        <v>-198.6</v>
      </c>
      <c r="E155" s="93"/>
      <c r="K155" s="46"/>
    </row>
    <row r="156" spans="2:11" x14ac:dyDescent="0.2">
      <c r="B156" s="195" t="s">
        <v>170</v>
      </c>
      <c r="C156" s="46">
        <f ca="1">(C155+C157)/2</f>
        <v>-648.51780166281856</v>
      </c>
      <c r="D156" s="208">
        <f>-D_ail/2-E_ail-Long_tot/20</f>
        <v>-198.6</v>
      </c>
      <c r="E156" s="93"/>
      <c r="K156" s="46"/>
    </row>
    <row r="157" spans="2:11" x14ac:dyDescent="0.2">
      <c r="B157" s="212" t="s">
        <v>171</v>
      </c>
      <c r="C157" s="200">
        <f>-XCp</f>
        <v>-769.02762675440692</v>
      </c>
      <c r="D157" s="209">
        <f>-D_ail/2-E_ail-Long_tot/20</f>
        <v>-198.6</v>
      </c>
      <c r="E157" s="93"/>
      <c r="K157" s="46"/>
    </row>
    <row r="158" spans="2:11" x14ac:dyDescent="0.2">
      <c r="B158" s="183" t="s">
        <v>85</v>
      </c>
      <c r="C158" s="197">
        <f>IF(LEFT(Type_masquage,1)="M",0,-X_can+m_can)</f>
        <v>0</v>
      </c>
      <c r="D158" s="197">
        <f>IF(LEFT(Type_masquage,1)="M",0,D_ail/2)</f>
        <v>0</v>
      </c>
      <c r="E158" s="198">
        <f t="shared" ref="E158:E167" si="1">-D158</f>
        <v>0</v>
      </c>
      <c r="K158" s="46"/>
    </row>
    <row r="159" spans="2:11" x14ac:dyDescent="0.2">
      <c r="B159" s="185" t="s">
        <v>86</v>
      </c>
      <c r="C159" s="46">
        <f>IF(LEFT(Type_masquage,1)="M",0,-X_can+m_can-p_can)</f>
        <v>0</v>
      </c>
      <c r="D159" s="46">
        <f>IF(LEFT(Type_masquage,1)="M",0,D_ail/2+E_can)</f>
        <v>0</v>
      </c>
      <c r="E159" s="199">
        <f t="shared" si="1"/>
        <v>0</v>
      </c>
      <c r="K159" s="46"/>
    </row>
    <row r="160" spans="2:11" x14ac:dyDescent="0.2">
      <c r="B160" s="185" t="s">
        <v>87</v>
      </c>
      <c r="C160" s="46">
        <f>IF(LEFT(Type_masquage,1)="M",0,-X_can+m_can-p_can-n_can)</f>
        <v>0</v>
      </c>
      <c r="D160" s="46">
        <f>IF(LEFT(Type_masquage,1)="M",0,D_ail/2+E_can)</f>
        <v>0</v>
      </c>
      <c r="E160" s="199">
        <f t="shared" si="1"/>
        <v>0</v>
      </c>
      <c r="K160" s="46"/>
    </row>
    <row r="161" spans="2:11" x14ac:dyDescent="0.2">
      <c r="B161" s="185" t="s">
        <v>88</v>
      </c>
      <c r="C161" s="46">
        <f>IF(LEFT(Type_masquage,1)="M",0,-X_can)</f>
        <v>0</v>
      </c>
      <c r="D161" s="46">
        <f>IF(LEFT(Type_masquage,1)="M",0,D_ail/2)</f>
        <v>0</v>
      </c>
      <c r="E161" s="199">
        <f t="shared" si="1"/>
        <v>0</v>
      </c>
      <c r="K161" s="46"/>
    </row>
    <row r="162" spans="2:11" x14ac:dyDescent="0.2">
      <c r="B162" s="187" t="s">
        <v>85</v>
      </c>
      <c r="C162" s="200">
        <f>IF(LEFT(Type_masquage,1)="M",0,-X_can+m_can)</f>
        <v>0</v>
      </c>
      <c r="D162" s="200">
        <f>IF(LEFT(Type_masquage,1)="M",0,D_ail/2)</f>
        <v>0</v>
      </c>
      <c r="E162" s="201">
        <f t="shared" si="1"/>
        <v>0</v>
      </c>
      <c r="K162" s="46"/>
    </row>
    <row r="163" spans="2:11" x14ac:dyDescent="0.2">
      <c r="B163" s="183" t="s">
        <v>89</v>
      </c>
      <c r="C163" s="197">
        <f>IF(LEFT(Type_masquage,1)="B",-X_int+m_int,0)</f>
        <v>0</v>
      </c>
      <c r="D163" s="197">
        <f>IF(LEFT(Type_masquage,1)="B",D_int/2,0)</f>
        <v>0</v>
      </c>
      <c r="E163" s="198">
        <f t="shared" si="1"/>
        <v>0</v>
      </c>
      <c r="K163" s="46"/>
    </row>
    <row r="164" spans="2:11" x14ac:dyDescent="0.2">
      <c r="B164" s="185" t="s">
        <v>90</v>
      </c>
      <c r="C164" s="46">
        <f>IF(LEFT(Type_masquage,1)="B",-X_int+m_int-p_int,0)</f>
        <v>0</v>
      </c>
      <c r="D164" s="46">
        <f>IF(LEFT(Type_masquage,1)="B",D_int/2+E_int,0)</f>
        <v>0</v>
      </c>
      <c r="E164" s="199">
        <f t="shared" si="1"/>
        <v>0</v>
      </c>
      <c r="K164" s="46"/>
    </row>
    <row r="165" spans="2:11" x14ac:dyDescent="0.2">
      <c r="B165" s="185" t="s">
        <v>91</v>
      </c>
      <c r="C165" s="46">
        <f>IF(LEFT(Type_masquage,1)="B",-X_int+m_int-p_int-n_int,0)</f>
        <v>0</v>
      </c>
      <c r="D165" s="46">
        <f>IF(LEFT(Type_masquage,1)="B",D_int/2+E_int,0)</f>
        <v>0</v>
      </c>
      <c r="E165" s="199">
        <f t="shared" si="1"/>
        <v>0</v>
      </c>
      <c r="K165" s="46"/>
    </row>
    <row r="166" spans="2:11" x14ac:dyDescent="0.2">
      <c r="B166" s="185" t="s">
        <v>92</v>
      </c>
      <c r="C166" s="46">
        <f>IF(LEFT(Type_masquage,1)="B",-X_int,0)</f>
        <v>0</v>
      </c>
      <c r="D166" s="46">
        <f>IF(LEFT(Type_masquage,1)="B",D_int/2,0)</f>
        <v>0</v>
      </c>
      <c r="E166" s="199">
        <f t="shared" si="1"/>
        <v>0</v>
      </c>
      <c r="K166" s="46"/>
    </row>
    <row r="167" spans="2:11" x14ac:dyDescent="0.2">
      <c r="B167" s="187" t="s">
        <v>89</v>
      </c>
      <c r="C167" s="200">
        <f>IF(LEFT(Type_masquage,1)="B",-X_int+m_int,0)</f>
        <v>0</v>
      </c>
      <c r="D167" s="200">
        <f>IF(LEFT(Type_masquage,1)="B",D_int/2,0)</f>
        <v>0</v>
      </c>
      <c r="E167" s="201">
        <f t="shared" si="1"/>
        <v>0</v>
      </c>
      <c r="K167" s="46"/>
    </row>
    <row r="168" spans="2:11" x14ac:dyDescent="0.2">
      <c r="B168" s="45" t="s">
        <v>93</v>
      </c>
      <c r="C168" s="46">
        <f>-MAX(Long_tot, X_ail-m_ail+p_ail+n_ail, (E_ail+D_ail/2)*3.2)*1.01</f>
        <v>-1001.92</v>
      </c>
      <c r="D168" s="46">
        <f>MAX(E_ail+D_ail/2, Long_tot/3)</f>
        <v>330.66666666666669</v>
      </c>
      <c r="E168" s="93"/>
      <c r="K168" s="46"/>
    </row>
    <row r="169" spans="2:11" x14ac:dyDescent="0.2">
      <c r="B169" s="45" t="s">
        <v>93</v>
      </c>
      <c r="C169" s="46">
        <f>C168</f>
        <v>-1001.92</v>
      </c>
      <c r="D169" s="46">
        <f>-D168</f>
        <v>-330.66666666666669</v>
      </c>
      <c r="E169" s="93"/>
      <c r="K169" s="46"/>
    </row>
    <row r="170" spans="2:11" x14ac:dyDescent="0.2">
      <c r="B170" s="183" t="s">
        <v>94</v>
      </c>
      <c r="C170" s="197">
        <f ca="1">-XpropuRef+Long_propu</f>
        <v>-942</v>
      </c>
      <c r="D170" s="207">
        <f ca="1">-Diam_propu/2</f>
        <v>0</v>
      </c>
      <c r="E170" s="93"/>
      <c r="K170" s="46"/>
    </row>
    <row r="171" spans="2:11" x14ac:dyDescent="0.2">
      <c r="B171" s="185" t="s">
        <v>95</v>
      </c>
      <c r="C171" s="46">
        <f ca="1">-XpropuRef+Long_propu</f>
        <v>-942</v>
      </c>
      <c r="D171" s="208">
        <f ca="1">Diam_propu/2</f>
        <v>0</v>
      </c>
      <c r="E171" s="93"/>
      <c r="K171" s="46"/>
    </row>
    <row r="172" spans="2:11" x14ac:dyDescent="0.2">
      <c r="B172" s="185" t="s">
        <v>96</v>
      </c>
      <c r="C172" s="46">
        <f>-XpropuRef</f>
        <v>-942</v>
      </c>
      <c r="D172" s="208">
        <f ca="1">Diam_propu/2</f>
        <v>0</v>
      </c>
      <c r="E172" s="93"/>
      <c r="K172" s="46"/>
    </row>
    <row r="173" spans="2:11" x14ac:dyDescent="0.2">
      <c r="B173" s="185" t="s">
        <v>97</v>
      </c>
      <c r="C173" s="46">
        <f>-XpropuRef</f>
        <v>-942</v>
      </c>
      <c r="D173" s="208">
        <f ca="1">-Diam_propu/2</f>
        <v>0</v>
      </c>
      <c r="E173" s="93"/>
      <c r="K173" s="46"/>
    </row>
    <row r="174" spans="2:11" x14ac:dyDescent="0.2">
      <c r="B174" s="187" t="s">
        <v>98</v>
      </c>
      <c r="C174" s="200">
        <f ca="1">-XpropuRef+Long_propu</f>
        <v>-942</v>
      </c>
      <c r="D174" s="209">
        <f ca="1">-Diam_propu/2</f>
        <v>0</v>
      </c>
      <c r="E174" s="93"/>
      <c r="F174" s="192" t="s">
        <v>159</v>
      </c>
      <c r="G174" s="193" t="s">
        <v>160</v>
      </c>
      <c r="H174" s="194" t="s">
        <v>161</v>
      </c>
      <c r="K174" s="46"/>
    </row>
    <row r="175" spans="2:11" x14ac:dyDescent="0.2">
      <c r="B175" s="183" t="s">
        <v>71</v>
      </c>
      <c r="C175" s="197">
        <v>0</v>
      </c>
      <c r="D175" s="197">
        <v>0</v>
      </c>
      <c r="E175" s="198">
        <f t="shared" ref="E175:E180" si="2">-D175</f>
        <v>0</v>
      </c>
      <c r="F175" s="195">
        <v>0</v>
      </c>
      <c r="G175" s="45">
        <v>0</v>
      </c>
      <c r="H175" s="189">
        <v>0</v>
      </c>
      <c r="K175" s="46"/>
    </row>
    <row r="176" spans="2:11" x14ac:dyDescent="0.2">
      <c r="B176" s="185" t="s">
        <v>72</v>
      </c>
      <c r="C176" s="46">
        <f>-Long_ogive*0.1</f>
        <v>-25.200000000000003</v>
      </c>
      <c r="D176" s="46">
        <f>IF(LEFT(Forme_ogive,5)="Parab",H176,IF(LEFT(Forme_ogive,4)="Ogiv",G176,IF(LEFT(Forme_ogive,3)="Con",F176)))</f>
        <v>4.2</v>
      </c>
      <c r="E176" s="199">
        <f t="shared" si="2"/>
        <v>-4.2</v>
      </c>
      <c r="F176" s="185">
        <f>D_og/2*0.1</f>
        <v>4.2</v>
      </c>
      <c r="G176" s="45">
        <f>D_og/2*0.2</f>
        <v>8.4</v>
      </c>
      <c r="H176" s="189">
        <f>D_og/2*0.5</f>
        <v>21</v>
      </c>
      <c r="K176" s="46"/>
    </row>
    <row r="177" spans="2:11" x14ac:dyDescent="0.2">
      <c r="B177" s="185" t="s">
        <v>72</v>
      </c>
      <c r="C177" s="46">
        <f>-Long_ogive/4</f>
        <v>-63</v>
      </c>
      <c r="D177" s="46">
        <f>IF(LEFT(Forme_ogive,5)="Parab",H177,IF(LEFT(Forme_ogive,4)="Ogiv",G177,IF(LEFT(Forme_ogive,3)="Con",F177)))</f>
        <v>10.5</v>
      </c>
      <c r="E177" s="199">
        <f t="shared" si="2"/>
        <v>-10.5</v>
      </c>
      <c r="F177" s="185">
        <f>D_og/2*1/4</f>
        <v>10.5</v>
      </c>
      <c r="G177" s="45">
        <f>D_og/2/2</f>
        <v>21</v>
      </c>
      <c r="H177" s="189">
        <f>D_og/2*0.7</f>
        <v>29.4</v>
      </c>
      <c r="K177" s="46"/>
    </row>
    <row r="178" spans="2:11" x14ac:dyDescent="0.2">
      <c r="B178" s="185" t="s">
        <v>72</v>
      </c>
      <c r="C178" s="46">
        <f>-Long_ogive/2</f>
        <v>-126</v>
      </c>
      <c r="D178" s="46">
        <f>IF(LEFT(Forme_ogive,5)="Parab",H178,IF(LEFT(Forme_ogive,4)="Ogiv",G178,IF(LEFT(Forme_ogive,3)="Con",F178)))</f>
        <v>21</v>
      </c>
      <c r="E178" s="199">
        <f t="shared" si="2"/>
        <v>-21</v>
      </c>
      <c r="F178" s="185">
        <f>D_og/2/2</f>
        <v>21</v>
      </c>
      <c r="G178" s="45">
        <f>D_og/2*3/4</f>
        <v>31.5</v>
      </c>
      <c r="H178" s="189">
        <f>D_og/2*0.88</f>
        <v>36.96</v>
      </c>
      <c r="K178" s="46"/>
    </row>
    <row r="179" spans="2:11" x14ac:dyDescent="0.2">
      <c r="B179" s="185" t="s">
        <v>72</v>
      </c>
      <c r="C179" s="46">
        <f>-Long_ogive*3/4</f>
        <v>-189</v>
      </c>
      <c r="D179" s="46">
        <f>IF(LEFT(Forme_ogive,5)="Parab",H179,IF(LEFT(Forme_ogive,4)="Ogiv",G179,IF(LEFT(Forme_ogive,3)="Con",F179)))</f>
        <v>31.5</v>
      </c>
      <c r="E179" s="199">
        <f t="shared" si="2"/>
        <v>-31.5</v>
      </c>
      <c r="F179" s="185">
        <f>D_og/2*3/4</f>
        <v>31.5</v>
      </c>
      <c r="G179" s="45">
        <f>D_og/2*0.9</f>
        <v>37.800000000000004</v>
      </c>
      <c r="H179" s="189">
        <f>D_og/2*0.95</f>
        <v>39.9</v>
      </c>
      <c r="K179" s="46"/>
    </row>
    <row r="180" spans="2:11" x14ac:dyDescent="0.2">
      <c r="B180" s="187" t="s">
        <v>72</v>
      </c>
      <c r="C180" s="200">
        <f>-Long_ogive</f>
        <v>-252</v>
      </c>
      <c r="D180" s="200">
        <f>D_og/2</f>
        <v>42</v>
      </c>
      <c r="E180" s="201">
        <f t="shared" si="2"/>
        <v>-42</v>
      </c>
      <c r="F180" s="187">
        <f>D_og/2</f>
        <v>42</v>
      </c>
      <c r="G180" s="196">
        <f>D_og/2</f>
        <v>42</v>
      </c>
      <c r="H180" s="190">
        <f>D_og/2</f>
        <v>42</v>
      </c>
      <c r="K180" s="26"/>
    </row>
    <row r="181" spans="2:11" x14ac:dyDescent="0.2">
      <c r="B181" s="45" t="s">
        <v>99</v>
      </c>
      <c r="C181" s="45" t="s">
        <v>100</v>
      </c>
      <c r="D181" s="183" t="s">
        <v>99</v>
      </c>
      <c r="E181" s="204" t="s">
        <v>100</v>
      </c>
      <c r="K181" s="45"/>
    </row>
    <row r="182" spans="2:11" x14ac:dyDescent="0.2">
      <c r="B182" s="183">
        <v>0</v>
      </c>
      <c r="C182" s="202">
        <f>CritCnmin</f>
        <v>15</v>
      </c>
      <c r="D182" s="185">
        <v>0.5</v>
      </c>
      <c r="E182" s="205">
        <f t="shared" ref="E182:E187" si="3">CritMsCnmin/D182</f>
        <v>60</v>
      </c>
      <c r="K182" s="45"/>
    </row>
    <row r="183" spans="2:11" x14ac:dyDescent="0.2">
      <c r="B183" s="187">
        <v>7</v>
      </c>
      <c r="C183" s="196">
        <f>CritCnmin</f>
        <v>15</v>
      </c>
      <c r="D183" s="185">
        <v>1</v>
      </c>
      <c r="E183" s="205">
        <f t="shared" si="3"/>
        <v>30</v>
      </c>
      <c r="K183" s="45"/>
    </row>
    <row r="184" spans="2:11" x14ac:dyDescent="0.2">
      <c r="B184" s="183">
        <v>0</v>
      </c>
      <c r="C184" s="202">
        <f>CritCnmax</f>
        <v>30</v>
      </c>
      <c r="D184" s="185">
        <v>2</v>
      </c>
      <c r="E184" s="205">
        <f t="shared" si="3"/>
        <v>15</v>
      </c>
      <c r="K184" s="45"/>
    </row>
    <row r="185" spans="2:11" x14ac:dyDescent="0.2">
      <c r="B185" s="187">
        <v>7</v>
      </c>
      <c r="C185" s="196">
        <f>CritCnmax</f>
        <v>30</v>
      </c>
      <c r="D185" s="185">
        <v>3</v>
      </c>
      <c r="E185" s="205">
        <f t="shared" si="3"/>
        <v>10</v>
      </c>
      <c r="K185" s="45"/>
    </row>
    <row r="186" spans="2:11" x14ac:dyDescent="0.2">
      <c r="B186" s="183">
        <f>CritMsmin</f>
        <v>1.5</v>
      </c>
      <c r="C186" s="202">
        <v>0</v>
      </c>
      <c r="D186" s="185">
        <v>5</v>
      </c>
      <c r="E186" s="205">
        <f t="shared" si="3"/>
        <v>6</v>
      </c>
      <c r="K186" s="45"/>
    </row>
    <row r="187" spans="2:11" x14ac:dyDescent="0.2">
      <c r="B187" s="187">
        <f>CritMsmin</f>
        <v>1.5</v>
      </c>
      <c r="C187" s="196">
        <v>55</v>
      </c>
      <c r="D187" s="185">
        <v>7</v>
      </c>
      <c r="E187" s="205">
        <f t="shared" si="3"/>
        <v>4.2857142857142856</v>
      </c>
      <c r="K187" s="45"/>
    </row>
    <row r="188" spans="2:11" x14ac:dyDescent="0.2">
      <c r="B188" s="183">
        <f>CritMsmax</f>
        <v>6</v>
      </c>
      <c r="C188" s="202">
        <v>0</v>
      </c>
      <c r="D188" s="185">
        <v>1</v>
      </c>
      <c r="E188" s="205">
        <f t="shared" ref="E188:E193" si="4">CritMsCnmax/D188</f>
        <v>100</v>
      </c>
      <c r="K188" s="45"/>
    </row>
    <row r="189" spans="2:11" x14ac:dyDescent="0.2">
      <c r="B189" s="187">
        <f>CritMsmax</f>
        <v>6</v>
      </c>
      <c r="C189" s="196">
        <v>55</v>
      </c>
      <c r="D189" s="185">
        <v>2</v>
      </c>
      <c r="E189" s="205">
        <f t="shared" si="4"/>
        <v>50</v>
      </c>
      <c r="K189" s="45"/>
    </row>
    <row r="190" spans="2:11" x14ac:dyDescent="0.2">
      <c r="B190" s="191">
        <f ca="1">MS_min</f>
        <v>2.8691865906184071</v>
      </c>
      <c r="C190" s="203">
        <f>Cn</f>
        <v>15.602161052846441</v>
      </c>
      <c r="D190" s="185">
        <v>3</v>
      </c>
      <c r="E190" s="205">
        <f t="shared" si="4"/>
        <v>33.333333333333336</v>
      </c>
      <c r="K190" s="45"/>
    </row>
    <row r="191" spans="2:11" x14ac:dyDescent="0.2">
      <c r="B191" s="512">
        <f ca="1">(XCp0-XcgPlein)/D_ref</f>
        <v>2.8691865906184071</v>
      </c>
      <c r="C191" s="513">
        <f>Cn0</f>
        <v>15.602161052846441</v>
      </c>
      <c r="D191" s="185">
        <v>4</v>
      </c>
      <c r="E191" s="205">
        <f t="shared" si="4"/>
        <v>25</v>
      </c>
      <c r="K191" s="45"/>
    </row>
    <row r="192" spans="2:11" x14ac:dyDescent="0.2">
      <c r="B192" s="512">
        <f ca="1">(XCp0-XcgVide)/D_ref</f>
        <v>2.869376508981035</v>
      </c>
      <c r="C192" s="513">
        <f>Cn0</f>
        <v>15.602161052846441</v>
      </c>
      <c r="D192" s="185">
        <v>6</v>
      </c>
      <c r="E192" s="205">
        <f t="shared" si="4"/>
        <v>16.666666666666668</v>
      </c>
      <c r="K192" s="45"/>
    </row>
    <row r="193" spans="2:11" x14ac:dyDescent="0.2">
      <c r="B193" s="512">
        <f ca="1">(XCp-XcgVide)/D_ref</f>
        <v>2.869376508981035</v>
      </c>
      <c r="C193" s="513">
        <f>Cn</f>
        <v>15.602161052846441</v>
      </c>
      <c r="D193" s="187">
        <v>7</v>
      </c>
      <c r="E193" s="206">
        <f t="shared" si="4"/>
        <v>14.285714285714286</v>
      </c>
      <c r="K193" s="45"/>
    </row>
    <row r="194" spans="2:11" x14ac:dyDescent="0.2">
      <c r="B194" s="512">
        <f ca="1">MS_min</f>
        <v>2.8691865906184071</v>
      </c>
      <c r="C194" s="514">
        <f>Cn</f>
        <v>15.602161052846441</v>
      </c>
      <c r="D194" s="45"/>
      <c r="E194" s="92"/>
      <c r="K194" s="45"/>
    </row>
    <row r="195" spans="2:11" x14ac:dyDescent="0.2">
      <c r="B195" s="183">
        <v>0</v>
      </c>
      <c r="C195" s="202">
        <f>(CritCnmin+CritCnmax)/2</f>
        <v>22.5</v>
      </c>
      <c r="D195" s="26"/>
      <c r="E195" s="90"/>
      <c r="K195" s="26"/>
    </row>
    <row r="196" spans="2:11" x14ac:dyDescent="0.2">
      <c r="B196" s="185">
        <f>MAX(CritMsmin,CritMsCnmin/C196)</f>
        <v>1.5</v>
      </c>
      <c r="C196" s="45">
        <f>(CritCnmin+CritCnmax)/2</f>
        <v>22.5</v>
      </c>
      <c r="D196" s="26"/>
      <c r="E196" s="90"/>
      <c r="K196" s="26"/>
    </row>
    <row r="197" spans="2:11" x14ac:dyDescent="0.2">
      <c r="B197" s="185">
        <f>MIN(CritMsmax,CritMsCnmax/C197)</f>
        <v>4.4444444444444446</v>
      </c>
      <c r="C197" s="189">
        <f>(CritCnmin+CritCnmax)/2</f>
        <v>22.5</v>
      </c>
    </row>
    <row r="198" spans="2:11" x14ac:dyDescent="0.2">
      <c r="B198" s="187">
        <v>7</v>
      </c>
      <c r="C198" s="190">
        <f>(CritCnmin+CritCnmax)/2</f>
        <v>22.5</v>
      </c>
    </row>
    <row r="199" spans="2:11" x14ac:dyDescent="0.2">
      <c r="B199" s="183">
        <f>(CritMsmin+CritMsmax)/2</f>
        <v>3.75</v>
      </c>
      <c r="C199" s="184">
        <v>0</v>
      </c>
    </row>
    <row r="200" spans="2:11" x14ac:dyDescent="0.2">
      <c r="B200" s="185">
        <f>(CritMsmin+CritMsmax)/2</f>
        <v>3.75</v>
      </c>
      <c r="C200" s="186">
        <f>MAX(CritCnmin,CritMsCnmin/B200)</f>
        <v>15</v>
      </c>
    </row>
    <row r="201" spans="2:11" x14ac:dyDescent="0.2">
      <c r="B201" s="185">
        <f>(CritMsmin+CritMsmax)/2</f>
        <v>3.75</v>
      </c>
      <c r="C201" s="186">
        <f>MIN(CritCnmax,CritMsCnmax/B201)</f>
        <v>26.666666666666668</v>
      </c>
    </row>
    <row r="202" spans="2:11" x14ac:dyDescent="0.2">
      <c r="B202" s="187">
        <f>(CritMsmin+CritMsmax)/2</f>
        <v>3.75</v>
      </c>
      <c r="C202" s="188">
        <v>55</v>
      </c>
    </row>
    <row r="203" spans="2:11" x14ac:dyDescent="0.2">
      <c r="D203" s="474"/>
    </row>
    <row r="204" spans="2:11" x14ac:dyDescent="0.2">
      <c r="B204" s="476" t="s">
        <v>405</v>
      </c>
      <c r="C204" s="31" t="b">
        <f ca="1">(OR(C205:C210))</f>
        <v>0</v>
      </c>
      <c r="D204" s="474"/>
    </row>
    <row r="205" spans="2:11" x14ac:dyDescent="0.2">
      <c r="B205" s="475" t="s">
        <v>402</v>
      </c>
      <c r="C205" s="474" t="b">
        <f ca="1">AND(Type_propu="H2O",RIGHT(Type_fusee,1)=" ")</f>
        <v>0</v>
      </c>
      <c r="D205" s="474"/>
    </row>
    <row r="206" spans="2:11" x14ac:dyDescent="0.2">
      <c r="B206" s="475" t="s">
        <v>118</v>
      </c>
      <c r="C206" s="474" t="b">
        <f ca="1">AND(Type_propu="Fusex",RIGHT(Type_fusee,1)=".")</f>
        <v>0</v>
      </c>
      <c r="D206" s="474"/>
    </row>
    <row r="207" spans="2:11" x14ac:dyDescent="0.2">
      <c r="B207" s="475" t="s">
        <v>403</v>
      </c>
      <c r="C207" s="474" t="b">
        <f ca="1">LEFT(Type_propu,5)=LEFT(Type_fusee,5)</f>
        <v>0</v>
      </c>
      <c r="D207" s="474"/>
    </row>
    <row r="208" spans="2:11" x14ac:dyDescent="0.2">
      <c r="B208" s="475" t="s">
        <v>404</v>
      </c>
      <c r="C208" s="474" t="b">
        <f ca="1">AND(RIGHT(Type_propu,1)="N",LEFT(Type_fusee,4)="Mini")</f>
        <v>0</v>
      </c>
      <c r="D208" s="474"/>
    </row>
    <row r="209" spans="1:3" x14ac:dyDescent="0.2">
      <c r="B209" s="475" t="s">
        <v>406</v>
      </c>
      <c r="C209" s="474" t="b">
        <f ca="1">AND(LEFT(Type_propu,5)="MiniR",LEFT(Type_fusee,1)="R")</f>
        <v>0</v>
      </c>
    </row>
    <row r="210" spans="1:3" x14ac:dyDescent="0.2">
      <c r="B210" s="475" t="s">
        <v>396</v>
      </c>
      <c r="C210" s="474" t="b">
        <f ca="1">AND(LEFT(Type_propu,4)="Mini",LEFT(Type_fusee,1)=",")</f>
        <v>0</v>
      </c>
    </row>
    <row r="223" spans="1:3" x14ac:dyDescent="0.2">
      <c r="A223" s="24" t="s">
        <v>463</v>
      </c>
    </row>
    <row r="226" spans="1:1" x14ac:dyDescent="0.2">
      <c r="A226" s="24" t="s">
        <v>476</v>
      </c>
    </row>
    <row r="228" spans="1:1" x14ac:dyDescent="0.2">
      <c r="A228" s="24" t="s">
        <v>477</v>
      </c>
    </row>
    <row r="230" spans="1:1" x14ac:dyDescent="0.2">
      <c r="A230" s="24" t="s">
        <v>478</v>
      </c>
    </row>
    <row r="232" spans="1:1" x14ac:dyDescent="0.2">
      <c r="A232" s="24" t="s">
        <v>479</v>
      </c>
    </row>
    <row r="233" spans="1:1" x14ac:dyDescent="0.2">
      <c r="A233" s="24" t="s">
        <v>480</v>
      </c>
    </row>
    <row r="234" spans="1:1" x14ac:dyDescent="0.2">
      <c r="A234" s="24" t="s">
        <v>481</v>
      </c>
    </row>
    <row r="235" spans="1:1" x14ac:dyDescent="0.2">
      <c r="A235" s="24" t="s">
        <v>482</v>
      </c>
    </row>
    <row r="236" spans="1:1" x14ac:dyDescent="0.2">
      <c r="A236" s="24" t="s">
        <v>483</v>
      </c>
    </row>
    <row r="237" spans="1:1" x14ac:dyDescent="0.2">
      <c r="A237" s="24" t="s">
        <v>484</v>
      </c>
    </row>
    <row r="238" spans="1:1" x14ac:dyDescent="0.2">
      <c r="A238" s="24" t="s">
        <v>183</v>
      </c>
    </row>
    <row r="239" spans="1:1" x14ac:dyDescent="0.2">
      <c r="A239" s="24" t="s">
        <v>485</v>
      </c>
    </row>
    <row r="240" spans="1:1" x14ac:dyDescent="0.2">
      <c r="A240" s="24" t="s">
        <v>486</v>
      </c>
    </row>
    <row r="241" spans="1:1" x14ac:dyDescent="0.2">
      <c r="A241" s="24" t="s">
        <v>183</v>
      </c>
    </row>
    <row r="242" spans="1:1" x14ac:dyDescent="0.2">
      <c r="A242" s="24" t="s">
        <v>487</v>
      </c>
    </row>
    <row r="244" spans="1:1" x14ac:dyDescent="0.2">
      <c r="A244" s="24" t="s">
        <v>488</v>
      </c>
    </row>
    <row r="246" spans="1:1" x14ac:dyDescent="0.2">
      <c r="A246" s="24" t="s">
        <v>489</v>
      </c>
    </row>
    <row r="248" spans="1:1" x14ac:dyDescent="0.2">
      <c r="A248" s="24" t="s">
        <v>490</v>
      </c>
    </row>
    <row r="249" spans="1:1" x14ac:dyDescent="0.2">
      <c r="A249" s="24" t="s">
        <v>491</v>
      </c>
    </row>
    <row r="250" spans="1:1" x14ac:dyDescent="0.2">
      <c r="A250" s="24" t="s">
        <v>492</v>
      </c>
    </row>
    <row r="251" spans="1:1" x14ac:dyDescent="0.2">
      <c r="A251" s="24" t="s">
        <v>493</v>
      </c>
    </row>
    <row r="252" spans="1:1" x14ac:dyDescent="0.2">
      <c r="A252" s="24" t="s">
        <v>494</v>
      </c>
    </row>
    <row r="254" spans="1:1" x14ac:dyDescent="0.2">
      <c r="A254" s="24" t="s">
        <v>495</v>
      </c>
    </row>
    <row r="255" spans="1:1" x14ac:dyDescent="0.2">
      <c r="A255" s="24" t="s">
        <v>496</v>
      </c>
    </row>
    <row r="256" spans="1:1" x14ac:dyDescent="0.2">
      <c r="A256" s="24" t="s">
        <v>497</v>
      </c>
    </row>
    <row r="257" spans="1:1" x14ac:dyDescent="0.2">
      <c r="A257" s="24" t="s">
        <v>498</v>
      </c>
    </row>
    <row r="258" spans="1:1" x14ac:dyDescent="0.2">
      <c r="A258" s="24" t="s">
        <v>499</v>
      </c>
    </row>
    <row r="261" spans="1:1" x14ac:dyDescent="0.2">
      <c r="A261" s="24" t="s">
        <v>500</v>
      </c>
    </row>
    <row r="262" spans="1:1" x14ac:dyDescent="0.2">
      <c r="A262" s="24" t="s">
        <v>501</v>
      </c>
    </row>
    <row r="263" spans="1:1" x14ac:dyDescent="0.2">
      <c r="A263" s="24" t="s">
        <v>502</v>
      </c>
    </row>
    <row r="264" spans="1:1" x14ac:dyDescent="0.2">
      <c r="A264" s="24" t="s">
        <v>503</v>
      </c>
    </row>
    <row r="265" spans="1:1" x14ac:dyDescent="0.2">
      <c r="A265" s="24" t="s">
        <v>504</v>
      </c>
    </row>
    <row r="267" spans="1:1" x14ac:dyDescent="0.2">
      <c r="A267" s="24" t="s">
        <v>497</v>
      </c>
    </row>
    <row r="268" spans="1:1" x14ac:dyDescent="0.2">
      <c r="A268" s="24" t="s">
        <v>498</v>
      </c>
    </row>
    <row r="269" spans="1:1" x14ac:dyDescent="0.2">
      <c r="A269" s="24" t="s">
        <v>505</v>
      </c>
    </row>
    <row r="272" spans="1:1" x14ac:dyDescent="0.2">
      <c r="A272" s="24" t="s">
        <v>465</v>
      </c>
    </row>
    <row r="273" spans="1:1" x14ac:dyDescent="0.2">
      <c r="A273" s="24" t="s">
        <v>466</v>
      </c>
    </row>
    <row r="275" spans="1:1" x14ac:dyDescent="0.2">
      <c r="A275" s="24" t="s">
        <v>506</v>
      </c>
    </row>
    <row r="277" spans="1:1" x14ac:dyDescent="0.2">
      <c r="A277" s="24" t="s">
        <v>505</v>
      </c>
    </row>
    <row r="280" spans="1:1" x14ac:dyDescent="0.2">
      <c r="A280" s="24" t="s">
        <v>467</v>
      </c>
    </row>
    <row r="281" spans="1:1" x14ac:dyDescent="0.2">
      <c r="A281" s="24" t="s">
        <v>468</v>
      </c>
    </row>
    <row r="282" spans="1:1" x14ac:dyDescent="0.2">
      <c r="A282" s="24" t="s">
        <v>507</v>
      </c>
    </row>
    <row r="283" spans="1:1" x14ac:dyDescent="0.2">
      <c r="A283" s="24" t="s">
        <v>508</v>
      </c>
    </row>
    <row r="284" spans="1:1" x14ac:dyDescent="0.2">
      <c r="A284" s="24" t="s">
        <v>505</v>
      </c>
    </row>
    <row r="285" spans="1:1" x14ac:dyDescent="0.2">
      <c r="A285" s="24" t="s">
        <v>469</v>
      </c>
    </row>
    <row r="287" spans="1:1" x14ac:dyDescent="0.2">
      <c r="A287" s="24" t="s">
        <v>509</v>
      </c>
    </row>
    <row r="288" spans="1:1" x14ac:dyDescent="0.2">
      <c r="A288" s="24" t="s">
        <v>507</v>
      </c>
    </row>
    <row r="289" spans="1:1" x14ac:dyDescent="0.2">
      <c r="A289" s="24" t="s">
        <v>510</v>
      </c>
    </row>
    <row r="291" spans="1:1" x14ac:dyDescent="0.2">
      <c r="A291" s="24" t="s">
        <v>505</v>
      </c>
    </row>
    <row r="294" spans="1:1" x14ac:dyDescent="0.2">
      <c r="A294" s="24" t="s">
        <v>511</v>
      </c>
    </row>
    <row r="295" spans="1:1" x14ac:dyDescent="0.2">
      <c r="A295" s="24" t="s">
        <v>512</v>
      </c>
    </row>
    <row r="296" spans="1:1" x14ac:dyDescent="0.2">
      <c r="A296" s="24" t="s">
        <v>513</v>
      </c>
    </row>
    <row r="298" spans="1:1" x14ac:dyDescent="0.2">
      <c r="A298" s="24" t="s">
        <v>505</v>
      </c>
    </row>
    <row r="301" spans="1:1" x14ac:dyDescent="0.2">
      <c r="A301" s="24" t="s">
        <v>514</v>
      </c>
    </row>
    <row r="302" spans="1:1" x14ac:dyDescent="0.2">
      <c r="A302" s="24" t="s">
        <v>515</v>
      </c>
    </row>
    <row r="304" spans="1:1" x14ac:dyDescent="0.2">
      <c r="A304" s="24" t="s">
        <v>516</v>
      </c>
    </row>
    <row r="305" spans="1:1" x14ac:dyDescent="0.2">
      <c r="A305" s="24" t="s">
        <v>517</v>
      </c>
    </row>
    <row r="306" spans="1:1" x14ac:dyDescent="0.2">
      <c r="A306" s="24" t="s">
        <v>505</v>
      </c>
    </row>
    <row r="309" spans="1:1" x14ac:dyDescent="0.2">
      <c r="A309" s="24" t="s">
        <v>514</v>
      </c>
    </row>
    <row r="310" spans="1:1" x14ac:dyDescent="0.2">
      <c r="A310" s="24" t="s">
        <v>518</v>
      </c>
    </row>
    <row r="311" spans="1:1" x14ac:dyDescent="0.2">
      <c r="A311" s="24" t="s">
        <v>514</v>
      </c>
    </row>
    <row r="312" spans="1:1" x14ac:dyDescent="0.2">
      <c r="A312" s="24" t="s">
        <v>519</v>
      </c>
    </row>
    <row r="314" spans="1:1" x14ac:dyDescent="0.2">
      <c r="A314" s="24" t="s">
        <v>520</v>
      </c>
    </row>
    <row r="316" spans="1:1" x14ac:dyDescent="0.2">
      <c r="A316" s="24" t="s">
        <v>505</v>
      </c>
    </row>
    <row r="319" spans="1:1" x14ac:dyDescent="0.2">
      <c r="A319" s="24" t="s">
        <v>514</v>
      </c>
    </row>
    <row r="320" spans="1:1" x14ac:dyDescent="0.2">
      <c r="A320" s="24" t="s">
        <v>521</v>
      </c>
    </row>
    <row r="321" spans="1:1" x14ac:dyDescent="0.2">
      <c r="A321" s="24" t="s">
        <v>522</v>
      </c>
    </row>
    <row r="322" spans="1:1" x14ac:dyDescent="0.2">
      <c r="A322" s="24" t="s">
        <v>523</v>
      </c>
    </row>
    <row r="324" spans="1:1" x14ac:dyDescent="0.2">
      <c r="A324" s="24" t="s">
        <v>505</v>
      </c>
    </row>
    <row r="326" spans="1:1" x14ac:dyDescent="0.2">
      <c r="A326" s="24" t="s">
        <v>464</v>
      </c>
    </row>
    <row r="329" spans="1:1" x14ac:dyDescent="0.2">
      <c r="A329" s="24" t="s">
        <v>470</v>
      </c>
    </row>
    <row r="330" spans="1:1" x14ac:dyDescent="0.2">
      <c r="A330" s="24" t="s">
        <v>471</v>
      </c>
    </row>
    <row r="331" spans="1:1" x14ac:dyDescent="0.2">
      <c r="A331" s="24" t="s">
        <v>524</v>
      </c>
    </row>
    <row r="332" spans="1:1" x14ac:dyDescent="0.2">
      <c r="A332" s="24" t="s">
        <v>525</v>
      </c>
    </row>
    <row r="333" spans="1:1" x14ac:dyDescent="0.2">
      <c r="A333" s="24" t="s">
        <v>526</v>
      </c>
    </row>
    <row r="334" spans="1:1" x14ac:dyDescent="0.2">
      <c r="A334" s="24" t="s">
        <v>527</v>
      </c>
    </row>
    <row r="335" spans="1:1" x14ac:dyDescent="0.2">
      <c r="A335" s="24" t="s">
        <v>528</v>
      </c>
    </row>
    <row r="336" spans="1:1" x14ac:dyDescent="0.2">
      <c r="A336" s="24" t="s">
        <v>481</v>
      </c>
    </row>
    <row r="337" spans="1:1" x14ac:dyDescent="0.2">
      <c r="A337" s="24" t="s">
        <v>472</v>
      </c>
    </row>
    <row r="340" spans="1:1" x14ac:dyDescent="0.2">
      <c r="A340" s="24" t="s">
        <v>473</v>
      </c>
    </row>
    <row r="342" spans="1:1" x14ac:dyDescent="0.2">
      <c r="A342" s="24" t="s">
        <v>529</v>
      </c>
    </row>
    <row r="343" spans="1:1" x14ac:dyDescent="0.2">
      <c r="A343" s="24" t="s">
        <v>530</v>
      </c>
    </row>
    <row r="344" spans="1:1" x14ac:dyDescent="0.2">
      <c r="A344" s="24" t="s">
        <v>531</v>
      </c>
    </row>
    <row r="345" spans="1:1" x14ac:dyDescent="0.2">
      <c r="A345" s="24" t="s">
        <v>532</v>
      </c>
    </row>
    <row r="346" spans="1:1" x14ac:dyDescent="0.2">
      <c r="A346" s="24" t="s">
        <v>533</v>
      </c>
    </row>
    <row r="347" spans="1:1" x14ac:dyDescent="0.2">
      <c r="A347" s="24" t="s">
        <v>481</v>
      </c>
    </row>
    <row r="348" spans="1:1" x14ac:dyDescent="0.2">
      <c r="A348" s="24" t="s">
        <v>474</v>
      </c>
    </row>
    <row r="349" spans="1:1" x14ac:dyDescent="0.2">
      <c r="A349" s="24" t="s">
        <v>534</v>
      </c>
    </row>
    <row r="350" spans="1:1" x14ac:dyDescent="0.2">
      <c r="A350" s="24" t="s">
        <v>535</v>
      </c>
    </row>
    <row r="352" spans="1:1" x14ac:dyDescent="0.2">
      <c r="A352" s="24" t="s">
        <v>505</v>
      </c>
    </row>
    <row r="355" spans="1:1" x14ac:dyDescent="0.2">
      <c r="A355" s="24" t="s">
        <v>464</v>
      </c>
    </row>
    <row r="361" spans="1:1" x14ac:dyDescent="0.2">
      <c r="A361" s="24" t="s">
        <v>475</v>
      </c>
    </row>
  </sheetData>
  <dataConsolidate/>
  <mergeCells count="56">
    <mergeCell ref="C5:D5"/>
    <mergeCell ref="H26:I26"/>
    <mergeCell ref="C17:D17"/>
    <mergeCell ref="C18:D18"/>
    <mergeCell ref="O21:P21"/>
    <mergeCell ref="M21:N21"/>
    <mergeCell ref="O19:P19"/>
    <mergeCell ref="O22:P22"/>
    <mergeCell ref="C21:D21"/>
    <mergeCell ref="C6:D6"/>
    <mergeCell ref="C14:D14"/>
    <mergeCell ref="C8:D8"/>
    <mergeCell ref="C9:D9"/>
    <mergeCell ref="O20:P20"/>
    <mergeCell ref="M23:N23"/>
    <mergeCell ref="M24:N24"/>
    <mergeCell ref="C2:D3"/>
    <mergeCell ref="C4:D4"/>
    <mergeCell ref="M22:N22"/>
    <mergeCell ref="M19:N19"/>
    <mergeCell ref="M9:N9"/>
    <mergeCell ref="M7:N7"/>
    <mergeCell ref="M8:N8"/>
    <mergeCell ref="C7:D7"/>
    <mergeCell ref="C11:D11"/>
    <mergeCell ref="M5:N5"/>
    <mergeCell ref="M6:N6"/>
    <mergeCell ref="M20:N20"/>
    <mergeCell ref="N14:O14"/>
    <mergeCell ref="N15:O15"/>
    <mergeCell ref="M17:N17"/>
    <mergeCell ref="C15:D15"/>
    <mergeCell ref="C27:D27"/>
    <mergeCell ref="C19:D19"/>
    <mergeCell ref="C20:D20"/>
    <mergeCell ref="O23:P23"/>
    <mergeCell ref="O24:P24"/>
    <mergeCell ref="C23:D23"/>
    <mergeCell ref="C22:D22"/>
    <mergeCell ref="C24:D24"/>
    <mergeCell ref="H33:I34"/>
    <mergeCell ref="M4:P4"/>
    <mergeCell ref="M2:P2"/>
    <mergeCell ref="N13:O13"/>
    <mergeCell ref="N12:O12"/>
    <mergeCell ref="O9:P9"/>
    <mergeCell ref="O8:P8"/>
    <mergeCell ref="O7:P7"/>
    <mergeCell ref="H27:I27"/>
    <mergeCell ref="M18:N18"/>
    <mergeCell ref="L3:M3"/>
    <mergeCell ref="N11:O11"/>
    <mergeCell ref="O6:P6"/>
    <mergeCell ref="O5:P5"/>
    <mergeCell ref="O17:P17"/>
    <mergeCell ref="O18:P18"/>
  </mergeCells>
  <phoneticPr fontId="8" type="noConversion"/>
  <conditionalFormatting sqref="B15:D15 B35:C35">
    <cfRule type="expression" dxfId="53" priority="21" stopIfTrue="1">
      <formula>AND(IF(RIGHT(Nb_diam,1)=",",1),IF(LEFT(Type_masquage,1)="M",1))</formula>
    </cfRule>
  </conditionalFormatting>
  <conditionalFormatting sqref="C12">
    <cfRule type="cellIs" dxfId="52" priority="25" stopIfTrue="1" operator="equal">
      <formula>359</formula>
    </cfRule>
    <cfRule type="expression" dxfId="51" priority="28" stopIfTrue="1">
      <formula>OR(MasseSans&lt;MpropuVide, MasseSans&gt;20*MpropuPlein)</formula>
    </cfRule>
  </conditionalFormatting>
  <conditionalFormatting sqref="C13">
    <cfRule type="cellIs" dxfId="50" priority="24" stopIfTrue="1" operator="equal">
      <formula>639</formula>
    </cfRule>
  </conditionalFormatting>
  <conditionalFormatting sqref="C15 C35 C24:D24">
    <cfRule type="cellIs" dxfId="49" priority="37" stopIfTrue="1" operator="equal">
      <formula>59</formula>
    </cfRule>
  </conditionalFormatting>
  <conditionalFormatting sqref="C18">
    <cfRule type="expression" dxfId="48" priority="151" stopIfTrue="1">
      <formula>C204</formula>
    </cfRule>
  </conditionalFormatting>
  <conditionalFormatting sqref="C28 C30">
    <cfRule type="cellIs" dxfId="47" priority="18" stopIfTrue="1" operator="equal">
      <formula>109</formula>
    </cfRule>
  </conditionalFormatting>
  <conditionalFormatting sqref="C29">
    <cfRule type="cellIs" dxfId="46" priority="19" stopIfTrue="1" operator="equal">
      <formula>59</formula>
    </cfRule>
  </conditionalFormatting>
  <conditionalFormatting sqref="C31">
    <cfRule type="cellIs" dxfId="45" priority="20" stopIfTrue="1" operator="equal">
      <formula>99</formula>
    </cfRule>
  </conditionalFormatting>
  <conditionalFormatting sqref="C14:D14 C19 C34">
    <cfRule type="cellIs" dxfId="44" priority="23" stopIfTrue="1" operator="equal">
      <formula>1001</formula>
    </cfRule>
  </conditionalFormatting>
  <conditionalFormatting sqref="C23:D23">
    <cfRule type="cellIs" dxfId="43" priority="22" stopIfTrue="1" operator="equal">
      <formula>199</formula>
    </cfRule>
  </conditionalFormatting>
  <conditionalFormatting sqref="D10">
    <cfRule type="expression" dxfId="42" priority="1">
      <formula>NOT(OR((LEFT(Type_fusee,4)="Mini"),(RIGHT(Type_fusee,1)=".")))</formula>
    </cfRule>
  </conditionalFormatting>
  <conditionalFormatting sqref="D18">
    <cfRule type="expression" dxfId="41" priority="11" stopIfTrue="1">
      <formula>D202</formula>
    </cfRule>
  </conditionalFormatting>
  <conditionalFormatting sqref="H28">
    <cfRule type="expression" dxfId="40" priority="47" stopIfTrue="1">
      <formula>OR(Cn&lt;CritCnmin,Cn&gt;CritCnmax)</formula>
    </cfRule>
  </conditionalFormatting>
  <conditionalFormatting sqref="H29">
    <cfRule type="expression" dxfId="39" priority="46" stopIfTrue="1">
      <formula>OR(MS_min&lt;CritMsmin,MS_min&gt;CritMsmax)</formula>
    </cfRule>
  </conditionalFormatting>
  <conditionalFormatting sqref="H30">
    <cfRule type="expression" dxfId="38" priority="44" stopIfTrue="1">
      <formula>OR(MS_Cn_min&lt;CritMsCnmin,MS_Cn_min&gt;CritMsCnmax)</formula>
    </cfRule>
  </conditionalFormatting>
  <conditionalFormatting sqref="H27:I27">
    <cfRule type="expression" dxfId="37" priority="48" stopIfTrue="1">
      <formula>OR(Finesse&lt;CritFinessemin,Finesse&gt;CritFinessemax)</formula>
    </cfRule>
  </conditionalFormatting>
  <conditionalFormatting sqref="H33:I34">
    <cfRule type="expression" dxfId="36" priority="51" stopIfTrue="1">
      <formula>$H$33="STABLE"</formula>
    </cfRule>
  </conditionalFormatting>
  <conditionalFormatting sqref="I28">
    <cfRule type="expression" dxfId="35" priority="6" stopIfTrue="1">
      <formula>OR(Cn0&lt;CritCnmin,Cn0&gt;CritCnmax)</formula>
    </cfRule>
  </conditionalFormatting>
  <conditionalFormatting sqref="I29">
    <cfRule type="expression" dxfId="34" priority="45" stopIfTrue="1">
      <formula>OR(MS_max&lt;CritMsmin,MS_max&gt;CritMsmax)</formula>
    </cfRule>
  </conditionalFormatting>
  <conditionalFormatting sqref="I30">
    <cfRule type="expression" dxfId="33" priority="43" stopIfTrue="1">
      <formula>OR(MS_Cn_max&lt;CritMsCnmin,MS_Cn_max&gt;CritMsCnmax)</formula>
    </cfRule>
  </conditionalFormatting>
  <conditionalFormatting sqref="L39:M39">
    <cfRule type="expression" dxfId="32" priority="239" stopIfTrue="1">
      <formula>OR(SUM($C$28:$C$33)=273, $H$33&lt;&gt;"STABLE")</formula>
    </cfRule>
  </conditionalFormatting>
  <conditionalFormatting sqref="L6:P9">
    <cfRule type="expression" dxfId="31" priority="49" stopIfTrue="1">
      <formula>IF(RIGHT(Nb_diam,1)=",",1)</formula>
    </cfRule>
  </conditionalFormatting>
  <conditionalFormatting sqref="L20:P22 E25 D26 E27:E35 D28:D35 B36:E36">
    <cfRule type="expression" dxfId="30" priority="84" stopIfTrue="1">
      <formula>IF(LEFT(Type_masquage,1)="M",1)</formula>
    </cfRule>
  </conditionalFormatting>
  <conditionalFormatting sqref="L23:P24">
    <cfRule type="expression" dxfId="29" priority="65" stopIfTrue="1">
      <formula>IF(RIGHT(Nb_diam,1)=",",1)</formula>
    </cfRule>
  </conditionalFormatting>
  <conditionalFormatting sqref="M37 O37">
    <cfRule type="expression" dxfId="28" priority="142" stopIfTrue="1">
      <formula>$M$37="propu NOK"</formula>
    </cfRule>
  </conditionalFormatting>
  <conditionalFormatting sqref="M5:P5">
    <cfRule type="expression" dxfId="27" priority="39" stopIfTrue="1">
      <formula>IF(RIGHT(Nb_diam,1)=",",1)</formula>
    </cfRule>
  </conditionalFormatting>
  <conditionalFormatting sqref="N37">
    <cfRule type="expression" dxfId="26" priority="27" stopIfTrue="1">
      <formula>(ROUND(SUM(C2:D35),0)=5694)</formula>
    </cfRule>
  </conditionalFormatting>
  <dataValidations count="13">
    <dataValidation type="whole" allowBlank="1" showInputMessage="1" showErrorMessage="1" error="Tapez un entier entre 3 et 6." sqref="C33:D33" xr:uid="{00000000-0002-0000-0000-000000000000}">
      <formula1>3</formula1>
      <formula2>6</formula2>
    </dataValidation>
    <dataValidation type="decimal" operator="notEqual" allowBlank="1" showInputMessage="1" showErrorMessage="1" error="Tapez uniquement la longueur, sans l'unité." sqref="C30:D30" xr:uid="{00000000-0002-0000-0000-000001000000}">
      <formula1>1E+100</formula1>
    </dataValidation>
    <dataValidation type="decimal" operator="greaterThanOrEqual" allowBlank="1" showInputMessage="1" showErrorMessage="1" error="Tapez uniquement la longueur, sans l'unité." sqref="C28:D29 C34:D35 C31:D32 M6:O9" xr:uid="{00000000-0002-0000-0000-000002000000}">
      <formula1>0</formula1>
    </dataValidation>
    <dataValidation type="list" showInputMessage="1" showErrorMessage="1" sqref="C27:D27" xr:uid="{00000000-0002-0000-0000-000003000000}">
      <formula1>Menu_Empennage</formula1>
    </dataValidation>
    <dataValidation type="list" showInputMessage="1" showErrorMessage="1" sqref="C18:D18" xr:uid="{00000000-0002-0000-0000-000004000000}">
      <formula1>Liste_propu</formula1>
    </dataValidation>
    <dataValidation type="list" showInputMessage="1" showErrorMessage="1" sqref="M2" xr:uid="{00000000-0002-0000-0000-000005000000}">
      <formula1>Menu_Lang</formula1>
    </dataValidation>
    <dataValidation type="decimal" showInputMessage="1" showErrorMessage="1" errorTitle="Masse de la Fusée" error="Tapez uniquement la masse, sans l'unité." sqref="C12" xr:uid="{00000000-0002-0000-0000-000006000000}">
      <formula1>0</formula1>
      <formula2>50000</formula2>
    </dataValidation>
    <dataValidation type="decimal" operator="greaterThan" showInputMessage="1" showErrorMessage="1" error="Tapez uniquement la longueur, sans l'unité." sqref="C13 C14:D14 C23:D24" xr:uid="{00000000-0002-0000-0000-000007000000}">
      <formula1>0</formula1>
    </dataValidation>
    <dataValidation type="list" showInputMessage="1" showErrorMessage="1" sqref="D12:D13" xr:uid="{00000000-0002-0000-0000-000008000000}">
      <formula1>Menu_with_motor</formula1>
    </dataValidation>
    <dataValidation type="list" showInputMessage="1" showErrorMessage="1" sqref="C11:D11" xr:uid="{00000000-0002-0000-0000-000009000000}">
      <formula1>Menu_Type</formula1>
    </dataValidation>
    <dataValidation type="decimal" operator="greaterThan" allowBlank="1" showInputMessage="1" showErrorMessage="1" error="Tapez uniquement la longueur, sans l'unité." sqref="C19" xr:uid="{00000000-0002-0000-0000-00000A000000}">
      <formula1>0</formula1>
    </dataValidation>
    <dataValidation type="list" showInputMessage="1" showErrorMessage="1" sqref="C22:D22" xr:uid="{00000000-0002-0000-0000-00000B000000}">
      <formula1>Menu_Ogive</formula1>
    </dataValidation>
    <dataValidation type="list" showInputMessage="1" showErrorMessage="1" sqref="M4" xr:uid="{00000000-0002-0000-0000-00000C000000}">
      <formula1>Menu_Transitions</formula1>
    </dataValidation>
  </dataValidations>
  <hyperlinks>
    <hyperlink ref="M39" location="Trajecto!C25" display="Trajecto" xr:uid="{00000000-0004-0000-0000-000000000000}"/>
  </hyperlinks>
  <printOptions horizontalCentered="1" verticalCentered="1"/>
  <pageMargins left="7.874015748031496E-2" right="7.874015748031496E-2" top="7.874015748031496E-2" bottom="7.874015748031496E-2" header="0" footer="0"/>
  <pageSetup paperSize="9" orientation="landscape" horizontalDpi="200" verticalDpi="200" r:id="rId1"/>
  <headerFooter alignWithMargins="0"/>
  <ignoredErrors>
    <ignoredError sqref="D35" unlockedFormula="1"/>
    <ignoredError sqref="E180"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36775" r:id="rId4" name="Spinner 935">
              <controlPr defaultSize="0" print="0" autoPict="0">
                <anchor moveWithCells="1" sizeWithCells="1">
                  <from>
                    <xdr:col>3</xdr:col>
                    <xdr:colOff>752475</xdr:colOff>
                    <xdr:row>22</xdr:row>
                    <xdr:rowOff>0</xdr:rowOff>
                  </from>
                  <to>
                    <xdr:col>3</xdr:col>
                    <xdr:colOff>895350</xdr:colOff>
                    <xdr:row>23</xdr:row>
                    <xdr:rowOff>0</xdr:rowOff>
                  </to>
                </anchor>
              </controlPr>
            </control>
          </mc:Choice>
        </mc:AlternateContent>
        <mc:AlternateContent xmlns:mc="http://schemas.openxmlformats.org/markup-compatibility/2006">
          <mc:Choice Requires="x14">
            <control shapeId="36781" r:id="rId5" name="Spinner 941">
              <controlPr defaultSize="0" print="0" autoPict="0">
                <anchor moveWithCells="1" sizeWithCells="1">
                  <from>
                    <xdr:col>2</xdr:col>
                    <xdr:colOff>752475</xdr:colOff>
                    <xdr:row>11</xdr:row>
                    <xdr:rowOff>0</xdr:rowOff>
                  </from>
                  <to>
                    <xdr:col>2</xdr:col>
                    <xdr:colOff>895350</xdr:colOff>
                    <xdr:row>12</xdr:row>
                    <xdr:rowOff>0</xdr:rowOff>
                  </to>
                </anchor>
              </controlPr>
            </control>
          </mc:Choice>
        </mc:AlternateContent>
        <mc:AlternateContent xmlns:mc="http://schemas.openxmlformats.org/markup-compatibility/2006">
          <mc:Choice Requires="x14">
            <control shapeId="36782" r:id="rId6" name="Spinner 942">
              <controlPr defaultSize="0" print="0" autoPict="0">
                <anchor moveWithCells="1" sizeWithCells="1">
                  <from>
                    <xdr:col>2</xdr:col>
                    <xdr:colOff>752475</xdr:colOff>
                    <xdr:row>12</xdr:row>
                    <xdr:rowOff>0</xdr:rowOff>
                  </from>
                  <to>
                    <xdr:col>2</xdr:col>
                    <xdr:colOff>895350</xdr:colOff>
                    <xdr:row>13</xdr:row>
                    <xdr:rowOff>0</xdr:rowOff>
                  </to>
                </anchor>
              </controlPr>
            </control>
          </mc:Choice>
        </mc:AlternateContent>
        <mc:AlternateContent xmlns:mc="http://schemas.openxmlformats.org/markup-compatibility/2006">
          <mc:Choice Requires="x14">
            <control shapeId="36783" r:id="rId7" name="Spinner 943">
              <controlPr defaultSize="0" print="0" autoPict="0">
                <anchor moveWithCells="1" sizeWithCells="1">
                  <from>
                    <xdr:col>3</xdr:col>
                    <xdr:colOff>752475</xdr:colOff>
                    <xdr:row>22</xdr:row>
                    <xdr:rowOff>161925</xdr:rowOff>
                  </from>
                  <to>
                    <xdr:col>3</xdr:col>
                    <xdr:colOff>895350</xdr:colOff>
                    <xdr:row>24</xdr:row>
                    <xdr:rowOff>0</xdr:rowOff>
                  </to>
                </anchor>
              </controlPr>
            </control>
          </mc:Choice>
        </mc:AlternateContent>
        <mc:AlternateContent xmlns:mc="http://schemas.openxmlformats.org/markup-compatibility/2006">
          <mc:Choice Requires="x14">
            <control shapeId="36789" r:id="rId8" name="Spinner 949">
              <controlPr defaultSize="0" print="0" autoPict="0">
                <anchor moveWithCells="1" sizeWithCells="1">
                  <from>
                    <xdr:col>2</xdr:col>
                    <xdr:colOff>752475</xdr:colOff>
                    <xdr:row>27</xdr:row>
                    <xdr:rowOff>0</xdr:rowOff>
                  </from>
                  <to>
                    <xdr:col>3</xdr:col>
                    <xdr:colOff>0</xdr:colOff>
                    <xdr:row>28</xdr:row>
                    <xdr:rowOff>9525</xdr:rowOff>
                  </to>
                </anchor>
              </controlPr>
            </control>
          </mc:Choice>
        </mc:AlternateContent>
        <mc:AlternateContent xmlns:mc="http://schemas.openxmlformats.org/markup-compatibility/2006">
          <mc:Choice Requires="x14">
            <control shapeId="36795" r:id="rId9" name="Spinner 955">
              <controlPr defaultSize="0" print="0" autoPict="0">
                <anchor moveWithCells="1" sizeWithCells="1">
                  <from>
                    <xdr:col>2</xdr:col>
                    <xdr:colOff>752475</xdr:colOff>
                    <xdr:row>28</xdr:row>
                    <xdr:rowOff>0</xdr:rowOff>
                  </from>
                  <to>
                    <xdr:col>3</xdr:col>
                    <xdr:colOff>0</xdr:colOff>
                    <xdr:row>29</xdr:row>
                    <xdr:rowOff>9525</xdr:rowOff>
                  </to>
                </anchor>
              </controlPr>
            </control>
          </mc:Choice>
        </mc:AlternateContent>
        <mc:AlternateContent xmlns:mc="http://schemas.openxmlformats.org/markup-compatibility/2006">
          <mc:Choice Requires="x14">
            <control shapeId="36796" r:id="rId10" name="Spinner 956">
              <controlPr defaultSize="0" print="0" autoPict="0">
                <anchor moveWithCells="1" sizeWithCells="1">
                  <from>
                    <xdr:col>2</xdr:col>
                    <xdr:colOff>752475</xdr:colOff>
                    <xdr:row>28</xdr:row>
                    <xdr:rowOff>161925</xdr:rowOff>
                  </from>
                  <to>
                    <xdr:col>3</xdr:col>
                    <xdr:colOff>0</xdr:colOff>
                    <xdr:row>30</xdr:row>
                    <xdr:rowOff>0</xdr:rowOff>
                  </to>
                </anchor>
              </controlPr>
            </control>
          </mc:Choice>
        </mc:AlternateContent>
        <mc:AlternateContent xmlns:mc="http://schemas.openxmlformats.org/markup-compatibility/2006">
          <mc:Choice Requires="x14">
            <control shapeId="36797" r:id="rId11" name="Spinner 957">
              <controlPr defaultSize="0" print="0" autoPict="0">
                <anchor moveWithCells="1" sizeWithCells="1">
                  <from>
                    <xdr:col>2</xdr:col>
                    <xdr:colOff>752475</xdr:colOff>
                    <xdr:row>30</xdr:row>
                    <xdr:rowOff>0</xdr:rowOff>
                  </from>
                  <to>
                    <xdr:col>3</xdr:col>
                    <xdr:colOff>0</xdr:colOff>
                    <xdr:row>30</xdr:row>
                    <xdr:rowOff>161925</xdr:rowOff>
                  </to>
                </anchor>
              </controlPr>
            </control>
          </mc:Choice>
        </mc:AlternateContent>
        <mc:AlternateContent xmlns:mc="http://schemas.openxmlformats.org/markup-compatibility/2006">
          <mc:Choice Requires="x14">
            <control shapeId="36798" r:id="rId12" name="Spinner 958">
              <controlPr defaultSize="0" print="0" autoPict="0">
                <anchor moveWithCells="1" sizeWithCells="1">
                  <from>
                    <xdr:col>2</xdr:col>
                    <xdr:colOff>752475</xdr:colOff>
                    <xdr:row>31</xdr:row>
                    <xdr:rowOff>0</xdr:rowOff>
                  </from>
                  <to>
                    <xdr:col>2</xdr:col>
                    <xdr:colOff>895350</xdr:colOff>
                    <xdr:row>32</xdr:row>
                    <xdr:rowOff>0</xdr:rowOff>
                  </to>
                </anchor>
              </controlPr>
            </control>
          </mc:Choice>
        </mc:AlternateContent>
        <mc:AlternateContent xmlns:mc="http://schemas.openxmlformats.org/markup-compatibility/2006">
          <mc:Choice Requires="x14">
            <control shapeId="36799" r:id="rId13" name="Spinner 959">
              <controlPr defaultSize="0" print="0" autoPict="0">
                <anchor moveWithCells="1" sizeWithCells="1">
                  <from>
                    <xdr:col>2</xdr:col>
                    <xdr:colOff>752475</xdr:colOff>
                    <xdr:row>32</xdr:row>
                    <xdr:rowOff>0</xdr:rowOff>
                  </from>
                  <to>
                    <xdr:col>3</xdr:col>
                    <xdr:colOff>0</xdr:colOff>
                    <xdr:row>33</xdr:row>
                    <xdr:rowOff>0</xdr:rowOff>
                  </to>
                </anchor>
              </controlPr>
            </control>
          </mc:Choice>
        </mc:AlternateContent>
        <mc:AlternateContent xmlns:mc="http://schemas.openxmlformats.org/markup-compatibility/2006">
          <mc:Choice Requires="x14">
            <control shapeId="36801" r:id="rId14" name="Spinner 961">
              <controlPr defaultSize="0" print="0" autoPict="0">
                <anchor moveWithCells="1" sizeWithCells="1">
                  <from>
                    <xdr:col>3</xdr:col>
                    <xdr:colOff>752475</xdr:colOff>
                    <xdr:row>12</xdr:row>
                    <xdr:rowOff>161925</xdr:rowOff>
                  </from>
                  <to>
                    <xdr:col>4</xdr:col>
                    <xdr:colOff>0</xdr:colOff>
                    <xdr:row>13</xdr:row>
                    <xdr:rowOff>161925</xdr:rowOff>
                  </to>
                </anchor>
              </controlPr>
            </control>
          </mc:Choice>
        </mc:AlternateContent>
        <mc:AlternateContent xmlns:mc="http://schemas.openxmlformats.org/markup-compatibility/2006">
          <mc:Choice Requires="x14">
            <control shapeId="5096691" r:id="rId15" name="Spinner 3315">
              <controlPr defaultSize="0" print="0" autoPict="0">
                <anchor moveWithCells="1" sizeWithCells="1">
                  <from>
                    <xdr:col>19</xdr:col>
                    <xdr:colOff>0</xdr:colOff>
                    <xdr:row>35</xdr:row>
                    <xdr:rowOff>9525</xdr:rowOff>
                  </from>
                  <to>
                    <xdr:col>19</xdr:col>
                    <xdr:colOff>0</xdr:colOff>
                    <xdr:row>36</xdr:row>
                    <xdr:rowOff>0</xdr:rowOff>
                  </to>
                </anchor>
              </controlPr>
            </control>
          </mc:Choice>
        </mc:AlternateContent>
        <mc:AlternateContent xmlns:mc="http://schemas.openxmlformats.org/markup-compatibility/2006">
          <mc:Choice Requires="x14">
            <control shapeId="5096692" r:id="rId16" name="Spinner 3316">
              <controlPr defaultSize="0" print="0" autoPict="0">
                <anchor moveWithCells="1" sizeWithCells="1">
                  <from>
                    <xdr:col>19</xdr:col>
                    <xdr:colOff>0</xdr:colOff>
                    <xdr:row>35</xdr:row>
                    <xdr:rowOff>9525</xdr:rowOff>
                  </from>
                  <to>
                    <xdr:col>19</xdr:col>
                    <xdr:colOff>0</xdr:colOff>
                    <xdr:row>36</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pageSetUpPr fitToPage="1"/>
  </sheetPr>
  <dimension ref="A1:R201"/>
  <sheetViews>
    <sheetView showGridLines="0" zoomScaleNormal="100" workbookViewId="0">
      <selection activeCell="C28" sqref="C28"/>
    </sheetView>
  </sheetViews>
  <sheetFormatPr baseColWidth="10" defaultColWidth="11.42578125" defaultRowHeight="12.75" x14ac:dyDescent="0.2"/>
  <cols>
    <col min="1" max="1" width="2.140625" style="1" customWidth="1"/>
    <col min="2" max="2" width="16.140625" style="1" customWidth="1"/>
    <col min="3" max="4" width="12.85546875" style="1" customWidth="1"/>
    <col min="5" max="5" width="2.85546875" style="1" customWidth="1"/>
    <col min="6" max="7" width="12.85546875" style="1" customWidth="1"/>
    <col min="8" max="13" width="10.85546875" style="1" customWidth="1"/>
    <col min="14" max="15" width="2.140625" style="1" customWidth="1"/>
    <col min="16" max="17" width="14.140625" style="1" customWidth="1"/>
    <col min="18" max="16384" width="11.42578125" style="1"/>
  </cols>
  <sheetData>
    <row r="1" spans="1:14" x14ac:dyDescent="0.2">
      <c r="A1" s="51"/>
      <c r="B1" s="52"/>
      <c r="C1" s="53"/>
      <c r="D1" s="52"/>
      <c r="E1" s="54"/>
      <c r="F1" s="54"/>
      <c r="G1" s="54"/>
      <c r="H1" s="54"/>
      <c r="I1" s="54"/>
      <c r="J1" s="54"/>
      <c r="K1" s="54"/>
      <c r="L1" s="54"/>
      <c r="M1" s="54"/>
      <c r="N1" s="55"/>
    </row>
    <row r="2" spans="1:14" ht="12.75" customHeight="1" x14ac:dyDescent="0.2">
      <c r="A2" s="56"/>
      <c r="B2" s="2"/>
      <c r="C2" s="598" t="s">
        <v>0</v>
      </c>
      <c r="D2" s="598"/>
      <c r="F2" s="3"/>
      <c r="J2" s="4"/>
      <c r="N2" s="57"/>
    </row>
    <row r="3" spans="1:14" ht="12.75" customHeight="1" x14ac:dyDescent="0.2">
      <c r="A3" s="56"/>
      <c r="B3" s="2"/>
      <c r="C3" s="598"/>
      <c r="D3" s="598"/>
      <c r="H3" s="5"/>
      <c r="J3" s="4"/>
      <c r="N3" s="57"/>
    </row>
    <row r="4" spans="1:14" ht="12.75" customHeight="1" x14ac:dyDescent="0.2">
      <c r="A4" s="56"/>
      <c r="B4" s="2"/>
      <c r="C4" s="603" t="str">
        <f>IF(Lang="Français","Trajectographie de fusée",IF(Lang="English","Rocket Trajectography",""))</f>
        <v>Trajectographie de fusée</v>
      </c>
      <c r="D4" s="603"/>
      <c r="H4" s="5"/>
      <c r="J4" s="4"/>
      <c r="N4" s="57"/>
    </row>
    <row r="5" spans="1:14" ht="12.75" customHeight="1" x14ac:dyDescent="0.2">
      <c r="A5" s="56"/>
      <c r="B5" s="2"/>
      <c r="C5" s="597"/>
      <c r="D5" s="597"/>
      <c r="J5" s="4"/>
      <c r="N5" s="57"/>
    </row>
    <row r="6" spans="1:14" ht="12.95" customHeight="1" x14ac:dyDescent="0.2">
      <c r="A6" s="56"/>
      <c r="B6" s="87"/>
      <c r="C6" s="602" t="str">
        <f>IF(Lang="Français","Remplir les cases jaunes",IF(Lang="English","Fill-in yellow cells only",""))</f>
        <v>Remplir les cases jaunes</v>
      </c>
      <c r="D6" s="602"/>
      <c r="J6" s="4"/>
      <c r="N6" s="57"/>
    </row>
    <row r="7" spans="1:14" x14ac:dyDescent="0.2">
      <c r="A7" s="56"/>
      <c r="B7" s="6"/>
      <c r="C7" s="599" t="str">
        <f>IF(Lang="Français","Fusée",IF(Lang="English","Rocket",""))</f>
        <v>Fusée</v>
      </c>
      <c r="D7" s="599"/>
      <c r="N7" s="58"/>
    </row>
    <row r="8" spans="1:14" ht="12.75" customHeight="1" x14ac:dyDescent="0.25">
      <c r="A8" s="56"/>
      <c r="B8" s="140" t="str">
        <f>IF(Lang="Français","Nom",IF(Lang="English","Name",""))</f>
        <v>Nom</v>
      </c>
      <c r="C8" s="600" t="str">
        <f>Nom</f>
        <v>SP02-Alpha</v>
      </c>
      <c r="D8" s="600"/>
      <c r="E8" s="5"/>
      <c r="F8" s="5"/>
      <c r="J8" s="4"/>
      <c r="N8" s="57"/>
    </row>
    <row r="9" spans="1:14" ht="12.75" customHeight="1" x14ac:dyDescent="0.25">
      <c r="A9" s="59"/>
      <c r="B9" s="140" t="s">
        <v>4</v>
      </c>
      <c r="C9" s="601" t="str">
        <f>Club</f>
        <v>L'AéroIPSA</v>
      </c>
      <c r="D9" s="601"/>
      <c r="F9" s="5"/>
      <c r="N9" s="58"/>
    </row>
    <row r="10" spans="1:14" ht="12.75" customHeight="1" x14ac:dyDescent="0.25">
      <c r="A10" s="59"/>
      <c r="B10" s="141" t="s">
        <v>563</v>
      </c>
      <c r="C10" s="596" t="str">
        <f>Matricule</f>
        <v>MF0</v>
      </c>
      <c r="D10" s="596"/>
      <c r="F10" s="5"/>
      <c r="N10" s="58"/>
    </row>
    <row r="11" spans="1:14" ht="12.75" customHeight="1" x14ac:dyDescent="0.2">
      <c r="A11" s="59"/>
      <c r="B11" s="140" t="str">
        <f>IF(Lang="Français","Masse totale",IF(Lang="English","Total Mass",""))</f>
        <v>Masse totale</v>
      </c>
      <c r="C11" s="625">
        <f ca="1">MassePlein</f>
        <v>2.5951000000000004</v>
      </c>
      <c r="D11" s="625"/>
      <c r="F11" s="5"/>
      <c r="N11" s="58"/>
    </row>
    <row r="12" spans="1:14" ht="12.75" customHeight="1" x14ac:dyDescent="0.2">
      <c r="A12" s="59"/>
      <c r="B12" s="227" t="str">
        <f>IF(Lang="Français","Propulseur",IF(Lang="English","Motor",""))</f>
        <v>Propulseur</v>
      </c>
      <c r="C12" s="628" t="str">
        <f>Propu</f>
        <v>Aucun (2e ét. inerte)</v>
      </c>
      <c r="D12" s="629"/>
      <c r="F12" s="5"/>
      <c r="N12" s="58"/>
    </row>
    <row r="13" spans="1:14" ht="12.75" customHeight="1" x14ac:dyDescent="0.2">
      <c r="A13" s="59"/>
      <c r="N13" s="58"/>
    </row>
    <row r="14" spans="1:14" ht="12.75" customHeight="1" x14ac:dyDescent="0.2">
      <c r="A14" s="59"/>
      <c r="B14"/>
      <c r="C14" s="599" t="str">
        <f>IF(Lang="Français","Traînée Aérdynamique",IF(Lang="English","Drag",""))</f>
        <v>Traînée Aérdynamique</v>
      </c>
      <c r="D14" s="599"/>
      <c r="N14" s="58"/>
    </row>
    <row r="15" spans="1:14" ht="12.75" customHeight="1" x14ac:dyDescent="0.2">
      <c r="A15" s="59"/>
      <c r="B15" s="140" t="s">
        <v>40</v>
      </c>
      <c r="C15" s="630">
        <f>(PI()*D_ref^2/4+E_ail*ep_ail*Q_ail)/10^6</f>
        <v>6.8257694409323945E-3</v>
      </c>
      <c r="D15" s="630"/>
      <c r="N15" s="58"/>
    </row>
    <row r="16" spans="1:14" ht="12.75" customHeight="1" x14ac:dyDescent="0.2">
      <c r="A16" s="59"/>
      <c r="B16" s="141" t="s">
        <v>5</v>
      </c>
      <c r="C16" s="623">
        <v>0.6</v>
      </c>
      <c r="D16" s="624"/>
      <c r="N16" s="58"/>
    </row>
    <row r="17" spans="1:18" ht="12.75" customHeight="1" x14ac:dyDescent="0.2">
      <c r="A17" s="59"/>
      <c r="N17" s="58"/>
    </row>
    <row r="18" spans="1:18" ht="12.75" customHeight="1" x14ac:dyDescent="0.2">
      <c r="A18" s="59"/>
      <c r="B18"/>
      <c r="C18" s="599" t="str">
        <f>IF(Lang="Français","Rampe de Lancement",IF(Lang="English","Launch Pad",""))</f>
        <v>Rampe de Lancement</v>
      </c>
      <c r="D18" s="599"/>
      <c r="N18" s="58"/>
    </row>
    <row r="19" spans="1:18" ht="12.75" customHeight="1" x14ac:dyDescent="0.2">
      <c r="A19" s="59"/>
      <c r="B19" s="140" t="str">
        <f>IF(Lang="Français","Longueur",IF(Lang="English","Length",""))</f>
        <v>Longueur</v>
      </c>
      <c r="C19" s="627">
        <f>IF(RIGHT(Type_fusee,1)=".",4, IF(LEFT(Type_fusee,4)="Mini",2.5, IF(LEFT(Type_fusee,5)="Micro",1, IF(RIGHT(Type_fusee,1)=" ",0.1,IF(LEFT(Type_fusee,1)="R",3, 2.5)))))</f>
        <v>2.5</v>
      </c>
      <c r="D19" s="627"/>
      <c r="N19" s="58"/>
    </row>
    <row r="20" spans="1:18" ht="12.75" customHeight="1" x14ac:dyDescent="0.2">
      <c r="A20" s="59"/>
      <c r="B20" s="140" t="str">
        <f>IF(Lang="Français","Élévation",IF(Lang="English","Angle /horizon",""))</f>
        <v>Élévation</v>
      </c>
      <c r="C20" s="626">
        <v>77.726236552359381</v>
      </c>
      <c r="D20" s="626"/>
      <c r="N20" s="58"/>
    </row>
    <row r="21" spans="1:18" ht="12.75" customHeight="1" x14ac:dyDescent="0.2">
      <c r="A21" s="59"/>
      <c r="B21" s="140" t="s">
        <v>6</v>
      </c>
      <c r="C21" s="627">
        <v>0</v>
      </c>
      <c r="D21" s="627"/>
      <c r="N21" s="58"/>
    </row>
    <row r="22" spans="1:18" x14ac:dyDescent="0.2">
      <c r="A22" s="59"/>
      <c r="F22" s="384" t="e">
        <f ca="1">IF( OR( AND(Vsortie_de_rampe&lt;18, RIGHT(Type_fusee,1)=";"), AND(Vsortie_de_rampe&lt;20, RIGHT(Type_fusee,1)=".")), IF(Lang="Français","Vitesse en Sortie de Rampe trop faible, alléger la fusée ou choisir un propu plus puissant.","Speed at Launch Pad Exit too low, lighten the rocket or choose a bigger motor."), "")</f>
        <v>#N/A</v>
      </c>
      <c r="N22" s="58"/>
    </row>
    <row r="23" spans="1:18" x14ac:dyDescent="0.2">
      <c r="A23" s="59"/>
      <c r="C23" s="613" t="str">
        <f>IF(Lang="Français","DescenteSousParachute",IF(Lang="English","Over Parachute",""))</f>
        <v>DescenteSousParachute</v>
      </c>
      <c r="D23" s="614"/>
      <c r="F23" s="4"/>
      <c r="G23" s="50">
        <f ca="1">TODAY()</f>
        <v>45931</v>
      </c>
      <c r="H23" s="489" t="str">
        <f>IF(Lang="Français","Temps",IF(Lang="English","Time",""))</f>
        <v>Temps</v>
      </c>
      <c r="I23" s="489" t="s">
        <v>12</v>
      </c>
      <c r="J23" s="489" t="str">
        <f>IF(Lang="Français","Portée x",IF(Lang="English","Range x",""))</f>
        <v>Portée x</v>
      </c>
      <c r="K23" s="489" t="str">
        <f>IF(Lang="Français","Vitesse",IF(Lang="English","Velocity",""))</f>
        <v>Vitesse</v>
      </c>
      <c r="L23" s="490" t="s">
        <v>13</v>
      </c>
      <c r="M23" s="499" t="s">
        <v>421</v>
      </c>
      <c r="N23" s="58"/>
    </row>
    <row r="24" spans="1:18" x14ac:dyDescent="0.2">
      <c r="A24" s="59"/>
      <c r="B24"/>
      <c r="C24" s="142" t="str">
        <f>C7</f>
        <v>Fusée</v>
      </c>
      <c r="D24" s="220" t="s">
        <v>120</v>
      </c>
      <c r="E24" s="18" t="str">
        <f>IF(ABS(T_satellite-0.11-T_para)&lt;0.1,"Pb!","")</f>
        <v/>
      </c>
      <c r="F24" s="615" t="str">
        <f>IF(Lang="Français","Sortie de Rampe",IF(Lang="English","Launch-Pad Exit",""))</f>
        <v>Sortie de Rampe</v>
      </c>
      <c r="G24" s="616"/>
      <c r="H24" s="491"/>
      <c r="I24" s="491"/>
      <c r="J24" s="491"/>
      <c r="K24" s="492" t="e">
        <f ca="1">INDEX(vit_xz,MATCH("Sortie de rampe",Event,0))</f>
        <v>#N/A</v>
      </c>
      <c r="L24" s="493"/>
      <c r="M24" s="500"/>
      <c r="N24" s="58"/>
    </row>
    <row r="25" spans="1:18" x14ac:dyDescent="0.2">
      <c r="A25" s="59"/>
      <c r="B25" s="466" t="str">
        <f>IF(Lang="Français","Masse",IF(Lang="English","Mass",""))</f>
        <v>Masse</v>
      </c>
      <c r="C25" s="467">
        <f ca="1">IF(Nb_sat="0 satellite",MasseVide,MasseVide-m_satellite)</f>
        <v>2.5950000000000002</v>
      </c>
      <c r="D25" s="480">
        <f>IF(RIGHT(Type_fusee,1)=".",1,0.15)</f>
        <v>0.15</v>
      </c>
      <c r="F25" s="619" t="str">
        <f>IF(Lang="Français","Vit max &amp; Acc max",IF(Lang="English","Max Velocity &amp; Acc",""))</f>
        <v>Vit max &amp; Acc max</v>
      </c>
      <c r="G25" s="620"/>
      <c r="H25" s="115"/>
      <c r="I25" s="115"/>
      <c r="J25" s="115"/>
      <c r="K25" s="158">
        <f ca="1">MAX(vit_xz)</f>
        <v>174.11119928081908</v>
      </c>
      <c r="L25" s="494">
        <f ca="1">MAX(acc_xz)</f>
        <v>37.550793976893736</v>
      </c>
      <c r="M25" s="500"/>
      <c r="N25" s="58"/>
    </row>
    <row r="26" spans="1:18" x14ac:dyDescent="0.2">
      <c r="A26" s="59"/>
      <c r="B26" s="469" t="str">
        <f>IF(Lang="Français","Dépotage",IF(Lang="English","Delay",""))</f>
        <v>Dépotage</v>
      </c>
      <c r="C26" s="505" t="s">
        <v>407</v>
      </c>
      <c r="D26" s="535"/>
      <c r="F26" s="621" t="str">
        <f>IF(Lang="Français","Largage du satellite",IF(Lang="English","Satellite separation",""))</f>
        <v>Largage du satellite</v>
      </c>
      <c r="G26" s="622"/>
      <c r="H26" s="152">
        <f>IF(T_satellite&lt;&gt;0,T_satellite,"")</f>
        <v>4.7</v>
      </c>
      <c r="I26" s="156">
        <f ca="1">IF(T_satellite&lt;&gt;0,INDEX(pos_z,MATCH("Satellite",Event_sat,0)),"")</f>
        <v>706.95135849586541</v>
      </c>
      <c r="J26" s="154">
        <f ca="1">IF(T_satellite&lt;&gt;0,INDEX(pos_x,MATCH("Satellite",Event_sat,0)),"")</f>
        <v>148.87979514229718</v>
      </c>
      <c r="K26" s="159">
        <f ca="1">IF(T_satellite&lt;&gt;0,INDEX(vit_xz,MATCH("Satellite",Event_sat,0)),"")</f>
        <v>128.64406027645498</v>
      </c>
      <c r="L26" s="495"/>
      <c r="M26" s="485">
        <f ca="1">1/2*Rho_moyen*1*V_ouv_sat^2*S_satellite</f>
        <v>202.72885449404927</v>
      </c>
      <c r="N26" s="58"/>
    </row>
    <row r="27" spans="1:18" x14ac:dyDescent="0.2">
      <c r="A27" s="59"/>
      <c r="B27" s="468" t="str">
        <f>IF(Lang="Français","Ouverture para",IF(Lang="English","Opening time",""))</f>
        <v>Ouverture para</v>
      </c>
      <c r="C27" s="507">
        <v>14</v>
      </c>
      <c r="D27" s="507">
        <v>4.7</v>
      </c>
      <c r="F27" s="619" t="s">
        <v>15</v>
      </c>
      <c r="G27" s="620"/>
      <c r="H27" s="153">
        <f ca="1">INDEX(t,MATCH("Apogée",Event,0))</f>
        <v>13.799999999999946</v>
      </c>
      <c r="I27" s="157">
        <f ca="1">INDEX(pos_z,MATCH("Apogée",Event,0))</f>
        <v>1192.8774857614485</v>
      </c>
      <c r="J27" s="155">
        <f ca="1">INDEX(pos_x,MATCH("Apogée",Event,0))</f>
        <v>350.75986525864886</v>
      </c>
      <c r="K27" s="160">
        <f ca="1">INDEX(vit_xz,MATCH("Apogée",Event,0))</f>
        <v>18.63919977107313</v>
      </c>
      <c r="L27" s="496"/>
      <c r="M27" s="500"/>
      <c r="N27" s="58"/>
    </row>
    <row r="28" spans="1:18" x14ac:dyDescent="0.2">
      <c r="A28" s="59"/>
      <c r="B28" s="534" t="s">
        <v>558</v>
      </c>
      <c r="C28" s="507" t="s">
        <v>560</v>
      </c>
      <c r="D28" s="507"/>
      <c r="F28" s="617" t="str">
        <f>IF(Lang="Français","Ouverture parachute fusée",IF(Lang="English","Rocket parachute opening",""))</f>
        <v>Ouverture parachute fusée</v>
      </c>
      <c r="G28" s="618"/>
      <c r="H28" s="152">
        <f>T_para</f>
        <v>14</v>
      </c>
      <c r="I28" s="156">
        <f ca="1">INDEX(pos_z,MATCH("Para",Event_para,0))</f>
        <v>1192.8375680305887</v>
      </c>
      <c r="J28" s="486">
        <f ca="1">INDEX(pos_x,MATCH("Para",Event_para,0))</f>
        <v>354.47847130839716</v>
      </c>
      <c r="K28" s="159">
        <f ca="1">INDEX(vit_xz,MATCH("Para",Event_para,0))</f>
        <v>18.60085158446557</v>
      </c>
      <c r="L28" s="495"/>
      <c r="M28" s="485">
        <f ca="1">1/2*Rho_moyen*1*V_ouverture^2*S_para</f>
        <v>101.8275137740888</v>
      </c>
      <c r="N28" s="58"/>
      <c r="P28" s="384" t="str">
        <f ca="1">IF(V_para&lt;5, IF(Lang="Français","Parachute fusée trop grand !","Parachute too big!"), IF( V_para&gt;15, IF(Lang="Français","Parachute fusée trop petit !","Parachute too small!"), ""))</f>
        <v/>
      </c>
      <c r="R28" s="384" t="str">
        <f>IF(AND(Nb_sat="1 satellite", OR(V_satellite&lt;5)), IF(Lang="Français","Parachute satéllite trop grand !","Parachute too big"), IF(AND(Nb_sat="1 satellite",OR(V_satellite&gt;15)), IF(Lang="Français","Parachute satéllite trop petit !","Parachute too small!"), ""))</f>
        <v/>
      </c>
    </row>
    <row r="29" spans="1:18" x14ac:dyDescent="0.2">
      <c r="A29" s="59"/>
      <c r="B29" s="141" t="s">
        <v>9</v>
      </c>
      <c r="C29" s="225">
        <f>IF(C28="rond",S_para_rond,IF(C28="Croix",S_para_croix,0.5))</f>
        <v>0.48049999999999998</v>
      </c>
      <c r="D29" s="17">
        <f>IF(RIGHT(Type_fusee,1)=".",0.1,0.02)</f>
        <v>0.02</v>
      </c>
      <c r="F29" s="606" t="str">
        <f>IF(Lang="Français","Impact balistique",IF(Lang="English","Balistic Impact",""))</f>
        <v>Impact balistique</v>
      </c>
      <c r="G29" s="607"/>
      <c r="H29" s="497">
        <f ca="1">INDEX(t,MATCH("Impact balistique",Event,0))</f>
        <v>32.500000000000171</v>
      </c>
      <c r="I29" s="517" t="s">
        <v>428</v>
      </c>
      <c r="J29" s="487">
        <f ca="1">INDEX(pos_x,MATCH("Impact balistique",Event,0))</f>
        <v>588.9746359926213</v>
      </c>
      <c r="K29" s="501">
        <f ca="1">K47</f>
        <v>96.847540960366302</v>
      </c>
      <c r="L29" s="498"/>
      <c r="M29" s="502">
        <f ca="1">0.5*m_vide*K29^2</f>
        <v>12169.831431615603</v>
      </c>
      <c r="N29" s="58"/>
      <c r="P29" s="384" t="str">
        <f ca="1">IF( OR( V_para&lt;5, V_para&gt;15, AND(Nb_sat="1 satellite", OR(V_satellite&lt;5, V_satellite&gt;15))), IF(Lang="Français","La Vitesse de descente sous parachute doit être comprise entre 5 &amp; 15 m/s.","Fall Velocity with parachute must be between 5 &amp; 15 m/s."), "")</f>
        <v/>
      </c>
    </row>
    <row r="30" spans="1:18" x14ac:dyDescent="0.2">
      <c r="A30" s="59"/>
      <c r="B30" s="141" t="s">
        <v>10</v>
      </c>
      <c r="C30" s="143">
        <v>1</v>
      </c>
      <c r="D30" s="143">
        <v>1</v>
      </c>
      <c r="E30" s="18" t="str">
        <f>IF(AND(T_satellite=0,m_satellite&lt;&gt;0),"Erreur !","")</f>
        <v/>
      </c>
      <c r="G30" s="483"/>
      <c r="H30" s="484"/>
      <c r="I30" s="488"/>
      <c r="N30" s="58"/>
      <c r="P30" s="384" t="str">
        <f ca="1">IF(AND(Portee_balistique&gt;200,LEFT(Type_propu,4)="Mini"),IF(Lang="Français","Fusée trop lègère !","Rocket too light"),"")</f>
        <v/>
      </c>
    </row>
    <row r="31" spans="1:18" x14ac:dyDescent="0.2">
      <c r="A31" s="59"/>
      <c r="B31" s="141" t="str">
        <f>IF(Lang="Français","Vitesse du vent",IF(Lang="English","Wind speed",""))</f>
        <v>Vitesse du vent</v>
      </c>
      <c r="C31" s="144">
        <v>5</v>
      </c>
      <c r="D31" s="144">
        <f>V_vent</f>
        <v>5</v>
      </c>
      <c r="G31" s="483"/>
      <c r="H31" s="484"/>
      <c r="I31" s="488"/>
      <c r="N31" s="58"/>
      <c r="P31" s="384" t="e">
        <f ca="1">IF(OR(AND(Vsortie_de_rampe&lt;20,LEFT(Type_fusee,1)="F"),AND(Vsortie_de_rampe&lt;18, OR(LEFT(Type_fusee,1)=",",LEFT(Type_fusee,4)="Mini",LEFT(Type_fusee,1)="R"))),IF(Lang="Français","Fusée trop lourde ou rampe trop courte !","Rocket too heavy or launch pad too small!"),"")</f>
        <v>#N/A</v>
      </c>
    </row>
    <row r="32" spans="1:18" x14ac:dyDescent="0.2">
      <c r="A32" s="59"/>
      <c r="B32" s="133" t="str">
        <f>IF(Lang="Français","Vitesse descente",IF(Lang="English","Fall velocity",""))</f>
        <v>Vitesse descente</v>
      </c>
      <c r="C32" s="424">
        <f ca="1">SQRT(2*m_vide*g/Rho_moyen/S_para/Cx_para)</f>
        <v>9.3004388634592026</v>
      </c>
      <c r="D32" s="424">
        <f>SQRT(2*m_satellite*g/Rho_moyen/S_satellite/Cx_satellite)</f>
        <v>10.960038730752361</v>
      </c>
      <c r="F32" s="384"/>
      <c r="K32" s="388"/>
      <c r="N32" s="395"/>
      <c r="P32" s="384" t="str">
        <f ca="1">IF(Temps_culmi-T_para&gt;2,IF(Lang="Français","Ouverture parachute fusée précoce.","Early rocket parachute opening."),IF(Temps_culmi-T_para&lt;-2,IF(Lang="Français","Ouverture parachute fusée tardive.","Late rocket parachute opening."),""))</f>
        <v/>
      </c>
    </row>
    <row r="33" spans="1:16" x14ac:dyDescent="0.2">
      <c r="A33" s="59"/>
      <c r="B33" s="133" t="str">
        <f>IF(Lang="Français","Durée descente",IF(Lang="English","Fall duration",""))</f>
        <v>Durée descente</v>
      </c>
      <c r="C33" s="132">
        <f ca="1">Alt_para/V_para</f>
        <v>128.25605173506028</v>
      </c>
      <c r="D33" s="132">
        <f ca="1">IF(V_satellite&lt;&gt;0,Alt_sat/V_satellite,0)</f>
        <v>64.502633235433478</v>
      </c>
      <c r="H33" s="608" t="str">
        <f>IF(Lang="Français","Pour localiser la fusée","To locate the rocket")</f>
        <v>Pour localiser la fusée</v>
      </c>
      <c r="I33" s="608"/>
      <c r="J33" s="482"/>
      <c r="N33" s="395"/>
      <c r="P33" s="384" t="str">
        <f ca="1">IF(ABS(Temps_culmi-T_para)&gt;2,IF(Lang="Français","Attention, aux efforts sur le parachute lors de l'ouverture !","Becarefull to the opening chute efforts!"),"")</f>
        <v/>
      </c>
    </row>
    <row r="34" spans="1:16" customFormat="1" x14ac:dyDescent="0.2">
      <c r="A34" s="59"/>
      <c r="B34" s="133" t="str">
        <f>IF(Lang="Français","Durée du vol",IF(Lang="English","Fligth duration",""))</f>
        <v>Durée du vol</v>
      </c>
      <c r="C34" s="132">
        <f ca="1">T_para+Dt_para</f>
        <v>142.25605173506028</v>
      </c>
      <c r="D34" s="132">
        <f ca="1">T_satellite+Dt_satellite</f>
        <v>69.202633235433481</v>
      </c>
      <c r="F34" s="608" t="str">
        <f>IF(Lang="Français","Couleur fuselage/coiffe","Body/Nose color")</f>
        <v>Couleur fuselage/coiffe</v>
      </c>
      <c r="G34" s="608"/>
      <c r="H34" s="604" t="s">
        <v>266</v>
      </c>
      <c r="I34" s="605"/>
      <c r="J34" s="1"/>
      <c r="K34" s="1"/>
      <c r="L34" s="1"/>
      <c r="M34" s="1"/>
      <c r="N34" s="394"/>
    </row>
    <row r="35" spans="1:16" x14ac:dyDescent="0.2">
      <c r="A35" s="74"/>
      <c r="B35" s="133" t="str">
        <f>IF(Lang="Français","Déport latéral",IF(Lang="English","Lateral shift",""))</f>
        <v>Déport latéral</v>
      </c>
      <c r="C35" s="151">
        <f ca="1">Alt_para*V_vent/V_para</f>
        <v>641.28025867530141</v>
      </c>
      <c r="D35" s="151">
        <f ca="1">IF(V_satellite&lt;&gt;0,Alt_sat*V_vent_sat/V_satellite,0)</f>
        <v>322.51316617716742</v>
      </c>
      <c r="F35" s="608" t="str">
        <f>IF(Lang="Français","Couleur parachute fusée","Rocket parachute color")</f>
        <v>Couleur parachute fusée</v>
      </c>
      <c r="G35" s="608"/>
      <c r="H35" s="604" t="s">
        <v>267</v>
      </c>
      <c r="I35" s="605"/>
      <c r="J35"/>
      <c r="K35"/>
      <c r="L35"/>
      <c r="M35"/>
      <c r="N35" s="394" t="str">
        <f>IF(Lang="Français","fichier initial","Initial file")</f>
        <v>fichier initial</v>
      </c>
      <c r="P35"/>
    </row>
    <row r="36" spans="1:16" x14ac:dyDescent="0.2">
      <c r="A36" s="59"/>
      <c r="F36" s="608" t="str">
        <f>IF(Lang="Français","Couleur parachute satellite","Satellite parachute color")</f>
        <v>Couleur parachute satellite</v>
      </c>
      <c r="G36" s="608"/>
      <c r="H36" s="612" t="s">
        <v>158</v>
      </c>
      <c r="I36" s="612"/>
      <c r="N36" s="393" t="str">
        <f>IF(ROUND(SUM(Propu!5:1228),0)=437735,"propu OK","propu NOK")</f>
        <v>propu OK</v>
      </c>
      <c r="P36"/>
    </row>
    <row r="37" spans="1:16" ht="13.5" thickBot="1" x14ac:dyDescent="0.25">
      <c r="A37" s="60"/>
      <c r="B37" s="181" t="str">
        <f>IF(Lang="Français","Commentaire libre :",IF(Lang="English","Free comment:",""))</f>
        <v>Commentaire libre :</v>
      </c>
      <c r="C37" s="61"/>
      <c r="D37" s="61"/>
      <c r="E37" s="61"/>
      <c r="F37" s="61"/>
      <c r="G37" s="61"/>
      <c r="H37" s="61"/>
      <c r="I37" s="61"/>
      <c r="J37" s="61"/>
      <c r="K37" s="61"/>
      <c r="L37" s="61"/>
      <c r="M37" s="61"/>
      <c r="N37" s="290" t="s">
        <v>567</v>
      </c>
    </row>
    <row r="40" spans="1:16" x14ac:dyDescent="0.2">
      <c r="A40" s="609" t="str">
        <f>IF(Lang="Français","Calcul de la surface d'un parachute","Parachute surface calculation")</f>
        <v>Calcul de la surface d'un parachute</v>
      </c>
      <c r="B40" s="610"/>
      <c r="C40" s="610"/>
      <c r="D40" s="611"/>
      <c r="F40" s="609" t="str">
        <f>IF(Lang="Français","Résultats détaillés","Detailled results")</f>
        <v>Résultats détaillés</v>
      </c>
      <c r="G40" s="611"/>
      <c r="H40" s="170" t="str">
        <f>IF(Lang="Français","Temps",IF(Lang="English","Time",""))</f>
        <v>Temps</v>
      </c>
      <c r="I40" s="134" t="s">
        <v>12</v>
      </c>
      <c r="J40" s="134" t="str">
        <f>IF(Lang="Français","Portée x",IF(Lang="English","Range x",""))</f>
        <v>Portée x</v>
      </c>
      <c r="K40" s="134" t="str">
        <f>IF(Lang="Français","Vitesse",IF(Lang="English","Velocity",""))</f>
        <v>Vitesse</v>
      </c>
      <c r="L40" s="135" t="s">
        <v>13</v>
      </c>
      <c r="M40" s="134" t="s">
        <v>41</v>
      </c>
    </row>
    <row r="41" spans="1:16" x14ac:dyDescent="0.2">
      <c r="A41" s="161"/>
      <c r="D41" s="162"/>
      <c r="F41" s="172"/>
      <c r="G41" s="173"/>
      <c r="H41" s="171" t="s">
        <v>153</v>
      </c>
      <c r="I41" s="136" t="s">
        <v>38</v>
      </c>
      <c r="J41" s="136" t="s">
        <v>38</v>
      </c>
      <c r="K41" s="136" t="s">
        <v>154</v>
      </c>
      <c r="L41" s="136" t="s">
        <v>7</v>
      </c>
      <c r="M41" s="136" t="s">
        <v>155</v>
      </c>
    </row>
    <row r="42" spans="1:16" x14ac:dyDescent="0.2">
      <c r="A42" s="161"/>
      <c r="D42" s="162"/>
      <c r="F42" s="633" t="str">
        <f>IF(Lang="Français","Décollage",IF(Lang="English","Lift-Off",""))</f>
        <v>Décollage</v>
      </c>
      <c r="G42" s="633"/>
      <c r="H42" s="150">
        <v>3.2</v>
      </c>
      <c r="I42" s="150">
        <v>487.84771914632313</v>
      </c>
      <c r="J42" s="150">
        <v>98.964688107976272</v>
      </c>
      <c r="K42" s="150">
        <v>174.11119928081908</v>
      </c>
      <c r="L42" s="148" t="s">
        <v>14</v>
      </c>
      <c r="M42" s="149">
        <f>Beta_rampe</f>
        <v>77.726236552359381</v>
      </c>
    </row>
    <row r="43" spans="1:16" x14ac:dyDescent="0.2">
      <c r="A43" s="161"/>
      <c r="B43" s="166" t="str">
        <f>IF(Lang="Français","Bord   'a'","Side length 'a'")</f>
        <v>Bord   'a'</v>
      </c>
      <c r="D43" s="162"/>
      <c r="F43" s="620" t="str">
        <f>IF(Lang="Français","Sortie de Rampe",IF(Lang="English","Launch-Pad Exit",""))</f>
        <v>Sortie de Rampe</v>
      </c>
      <c r="G43" s="620"/>
      <c r="H43" s="115" t="e">
        <f ca="1">INDEX(t,MATCH("Sortie de rampe",Event,0))</f>
        <v>#N/A</v>
      </c>
      <c r="I43" s="115" t="e">
        <f ca="1">INDEX(pos_z,MATCH("Sortie de rampe",Event,0))</f>
        <v>#N/A</v>
      </c>
      <c r="J43" s="115" t="e">
        <f ca="1">INDEX(pos_x,MATCH("Sortie de rampe",Event,0))</f>
        <v>#N/A</v>
      </c>
      <c r="K43" s="116" t="e">
        <f ca="1">INDEX(vit_xz,MATCH("Sortie de rampe",Event,0))</f>
        <v>#N/A</v>
      </c>
      <c r="L43" s="116" t="e">
        <f ca="1">INDEX(acc_xz,MATCH("Sortie de rampe",Event,0))</f>
        <v>#N/A</v>
      </c>
      <c r="M43" s="116" t="e">
        <f ca="1">INDEX(BetaD,MATCH("Sortie de rampe",Event,0))</f>
        <v>#N/A</v>
      </c>
    </row>
    <row r="44" spans="1:16" x14ac:dyDescent="0.2">
      <c r="A44" s="161"/>
      <c r="B44" s="167">
        <v>310</v>
      </c>
      <c r="D44" s="162"/>
      <c r="F44" s="620" t="str">
        <f>IF(Lang="Français","Vit max &amp; Acc max",IF(Lang="English","Max Velocity &amp; Acc",""))</f>
        <v>Vit max &amp; Acc max</v>
      </c>
      <c r="G44" s="620"/>
      <c r="H44" s="115" t="s">
        <v>14</v>
      </c>
      <c r="I44" s="115" t="s">
        <v>14</v>
      </c>
      <c r="J44" s="115" t="s">
        <v>14</v>
      </c>
      <c r="K44" s="117">
        <f ca="1">MAX(vit_xz)</f>
        <v>174.11119928081908</v>
      </c>
      <c r="L44" s="118">
        <f ca="1">MAX(acc_xz)</f>
        <v>37.550793976893736</v>
      </c>
      <c r="M44" s="116" t="s">
        <v>14</v>
      </c>
    </row>
    <row r="45" spans="1:16" x14ac:dyDescent="0.2">
      <c r="A45" s="161"/>
      <c r="B45" s="166" t="str">
        <f>IF(Lang="Français","Coté   'b'","Side width 'b'")</f>
        <v>Coté   'b'</v>
      </c>
      <c r="D45" s="162"/>
      <c r="F45" s="620" t="str">
        <f>IF(Lang="Français","Fin de Propulsion",IF(Lang="English","Motor Burn-Out",""))</f>
        <v>Fin de Propulsion</v>
      </c>
      <c r="G45" s="620"/>
      <c r="H45" s="116">
        <f ca="1">INDEX(t,MATCH("Fin de propulsion",Event,0))</f>
        <v>3.4099999999999957</v>
      </c>
      <c r="I45" s="119">
        <f ca="1">INDEX(pos_z,MATCH("Fin de propulsion",Event,0))</f>
        <v>522.77492369390814</v>
      </c>
      <c r="J45" s="119">
        <f ca="1">INDEX(pos_x,MATCH("Fin de propulsion",Event,0))</f>
        <v>106.60988157294238</v>
      </c>
      <c r="K45" s="119">
        <f ca="1">INDEX(vit_xz,MATCH("Fin de propulsion",Event,0))</f>
        <v>166.49140962018998</v>
      </c>
      <c r="L45" s="116">
        <f ca="1">INDEX(acc_xz,MATCH("Fin de propulsion",Event,0))</f>
        <v>35.185430950826053</v>
      </c>
      <c r="M45" s="116">
        <f ca="1">INDEX(BetaD,MATCH("Fin de propulsion",Event,0))</f>
        <v>77.57784233339413</v>
      </c>
    </row>
    <row r="46" spans="1:16" x14ac:dyDescent="0.2">
      <c r="A46" s="161"/>
      <c r="B46" s="168">
        <v>310</v>
      </c>
      <c r="D46" s="162"/>
      <c r="F46" s="620" t="s">
        <v>15</v>
      </c>
      <c r="G46" s="620"/>
      <c r="H46" s="118">
        <f ca="1">INDEX(t,MATCH("Apogée",Event,0))</f>
        <v>13.799999999999946</v>
      </c>
      <c r="I46" s="117">
        <f ca="1">INDEX(pos_z,MATCH("Apogée",Event,0))</f>
        <v>1192.8774857614485</v>
      </c>
      <c r="J46" s="120">
        <f ca="1">INDEX(pos_x,MATCH("Apogée",Event,0))</f>
        <v>350.75986525864886</v>
      </c>
      <c r="K46" s="120">
        <f ca="1">INDEX(vit_xz,MATCH("Apogée",Event,0))</f>
        <v>18.63919977107313</v>
      </c>
      <c r="L46" s="116">
        <f ca="1">INDEX(acc_xz,MATCH("Apogée",Event,0))</f>
        <v>9.8429530556729397</v>
      </c>
      <c r="M46" s="121">
        <f ca="1">INDEX(BetaD,MATCH("Apogée",Event,0))</f>
        <v>2.4053565140322744</v>
      </c>
    </row>
    <row r="47" spans="1:16" x14ac:dyDescent="0.2">
      <c r="A47" s="161"/>
      <c r="B47" s="169" t="s">
        <v>9</v>
      </c>
      <c r="D47" s="162"/>
      <c r="F47" s="635" t="str">
        <f>IF(Lang="Français","Impact balistique",IF(Lang="English","Balistic Impact",""))</f>
        <v>Impact balistique</v>
      </c>
      <c r="G47" s="635"/>
      <c r="H47" s="116">
        <f ca="1">INDEX(t,MATCH("Impact balistique",Event,0))</f>
        <v>32.500000000000171</v>
      </c>
      <c r="I47" s="148" t="s">
        <v>16</v>
      </c>
      <c r="J47" s="117">
        <f ca="1">INDEX(pos_x,MATCH("Impact balistique",Event,0))</f>
        <v>588.9746359926213</v>
      </c>
      <c r="K47" s="119">
        <f ca="1">INDEX(vit_xz,MATCH("Impact balistique",Event,0))</f>
        <v>96.847540960366302</v>
      </c>
      <c r="L47" s="116">
        <f ca="1">INDEX(acc_xz,MATCH("Impact balistique",Event,0))</f>
        <v>0.95948829429759086</v>
      </c>
      <c r="M47" s="116">
        <f ca="1">INDEX(BetaD,MATCH("Impact balistique",Event,0))</f>
        <v>-86.468201326635409</v>
      </c>
    </row>
    <row r="48" spans="1:16" x14ac:dyDescent="0.2">
      <c r="A48" s="161"/>
      <c r="B48" s="174">
        <f>(4*B44*B46+B44^2)/10^6</f>
        <v>0.48049999999999998</v>
      </c>
      <c r="D48" s="162"/>
      <c r="F48" s="618" t="str">
        <f>IF(Lang="Français","Ouverture parachute fusée",IF(Lang="English","Rocket parachute opening",""))</f>
        <v>Ouverture parachute fusée</v>
      </c>
      <c r="G48" s="618"/>
      <c r="H48" s="122">
        <f>T_para</f>
        <v>14</v>
      </c>
      <c r="I48" s="123">
        <f ca="1">INDEX(pos_z,MATCH("Para",Event_para,0))</f>
        <v>1192.8375680305887</v>
      </c>
      <c r="J48" s="123">
        <f ca="1">INDEX(pos_x,MATCH("Para",Event_para,0))</f>
        <v>354.47847130839716</v>
      </c>
      <c r="K48" s="123">
        <f ca="1">INDEX(vit_xz,MATCH("Para",Event_para,0))</f>
        <v>18.60085158446557</v>
      </c>
      <c r="L48" s="122">
        <f ca="1">INDEX(acc_xz,MATCH("Para",Event_para,0))</f>
        <v>9.8112934669798175</v>
      </c>
      <c r="M48" s="124">
        <f ca="1">INDEX(BetaD,MATCH("Para",Event_para,0))</f>
        <v>-3.639213093482367</v>
      </c>
    </row>
    <row r="49" spans="1:13" x14ac:dyDescent="0.2">
      <c r="A49" s="161"/>
      <c r="D49" s="162"/>
      <c r="F49" s="636" t="str">
        <f>IF(Lang="Français","Impact fusée sous para.",IF(Lang="English","Impact of rocket with para. ",""))</f>
        <v>Impact fusée sous para.</v>
      </c>
      <c r="G49" s="636"/>
      <c r="H49" s="125">
        <f ca="1">T_para+Dt_para</f>
        <v>142.25605173506028</v>
      </c>
      <c r="I49" s="127" t="s">
        <v>16</v>
      </c>
      <c r="J49" s="126" t="str">
        <f ca="1">CONCATENATE(TEXT(X_para-Dx_para,"0")," | ",TEXT(X_para+Dx_para,"0"))</f>
        <v>-287 | 996</v>
      </c>
      <c r="K49" s="126">
        <f ca="1">V_para</f>
        <v>9.3004388634592026</v>
      </c>
      <c r="L49" s="128">
        <f>g</f>
        <v>9.81</v>
      </c>
      <c r="M49" s="128" t="s">
        <v>14</v>
      </c>
    </row>
    <row r="50" spans="1:13" x14ac:dyDescent="0.2">
      <c r="A50" s="161"/>
      <c r="D50" s="162"/>
      <c r="F50" s="634" t="str">
        <f>IF(Lang="Français","Largage du satellite",IF(Lang="English","Satellite separation",""))</f>
        <v>Largage du satellite</v>
      </c>
      <c r="G50" s="622"/>
      <c r="H50" s="122">
        <f>IF(T_satellite&lt;&gt;0,T_satellite,"")</f>
        <v>4.7</v>
      </c>
      <c r="I50" s="123">
        <f ca="1">IF(T_satellite&lt;&gt;0,INDEX(pos_z,MATCH("Satellite",Event_sat,0)),"")</f>
        <v>706.95135849586541</v>
      </c>
      <c r="J50" s="129">
        <f ca="1">IF(T_satellite&lt;&gt;0,INDEX(pos_x,MATCH("Satellite",Event_sat,0)),"")</f>
        <v>148.87979514229718</v>
      </c>
      <c r="K50" s="123">
        <f ca="1">IF(T_satellite&lt;&gt;0,INDEX(vit_xz,MATCH("Satellite",Event_sat,0)),"")</f>
        <v>128.64406027645498</v>
      </c>
      <c r="L50" s="122">
        <f ca="1">IF(T_satellite&lt;&gt;0,INDEX(acc_xz,MATCH("Satellite",Event_sat,0)),"")</f>
        <v>25.155718224054777</v>
      </c>
      <c r="M50" s="124">
        <f ca="1">IF(T_satellite&lt;&gt;0,INDEX(BetaD,MATCH("Satellite",Event_sat,0)),"")</f>
        <v>76.45702667434351</v>
      </c>
    </row>
    <row r="51" spans="1:13" x14ac:dyDescent="0.2">
      <c r="A51" s="161"/>
      <c r="B51" s="166" t="str">
        <f>IF(Lang="Français","Rayon exterieur","Half-diameter ext")</f>
        <v>Rayon exterieur</v>
      </c>
      <c r="D51" s="162"/>
      <c r="F51" s="631" t="str">
        <f>IF(Lang="Français","Impact du satellite",IF(Lang="English","Satellite impact",""))</f>
        <v>Impact du satellite</v>
      </c>
      <c r="G51" s="632"/>
      <c r="H51" s="125">
        <f ca="1">IF(T_satellite&lt;&gt;0,T_satellite+Dt_satellite,"")</f>
        <v>69.202633235433481</v>
      </c>
      <c r="I51" s="130" t="str">
        <f>IF(T_satellite&lt;&gt;0,"~0","")</f>
        <v>~0</v>
      </c>
      <c r="J51" s="130" t="str">
        <f ca="1">IF(T_satellite&lt;&gt;0,CONCATENATE(TEXT(X_satellite-Dx_sat,"0")," | ",TEXT(X_satellite+Dx_sat,"0")),"")</f>
        <v>-174 | 471</v>
      </c>
      <c r="K51" s="130">
        <f>IF(T_satellite&lt;&gt;0,V_satellite,"")</f>
        <v>10.960038730752361</v>
      </c>
      <c r="L51" s="128">
        <f>IF(T_satellite&lt;&gt;0,g,"")</f>
        <v>9.81</v>
      </c>
      <c r="M51" s="131" t="str">
        <f>IF(T_satellite&lt;&gt;0,"-","")</f>
        <v>-</v>
      </c>
    </row>
    <row r="52" spans="1:13" x14ac:dyDescent="0.2">
      <c r="A52" s="161"/>
      <c r="B52" s="168">
        <v>299</v>
      </c>
      <c r="D52" s="162"/>
    </row>
    <row r="53" spans="1:13" x14ac:dyDescent="0.2">
      <c r="A53" s="161"/>
      <c r="B53" s="166" t="str">
        <f>IF(Lang="Français","Rayon intérieur","Half-diameter int")</f>
        <v>Rayon intérieur</v>
      </c>
      <c r="D53" s="162"/>
    </row>
    <row r="54" spans="1:13" x14ac:dyDescent="0.2">
      <c r="A54" s="161"/>
      <c r="B54" s="168">
        <v>29</v>
      </c>
      <c r="D54" s="162"/>
    </row>
    <row r="55" spans="1:13" x14ac:dyDescent="0.2">
      <c r="A55" s="161"/>
      <c r="B55" s="169" t="s">
        <v>9</v>
      </c>
      <c r="D55" s="162"/>
    </row>
    <row r="56" spans="1:13" x14ac:dyDescent="0.2">
      <c r="A56" s="161"/>
      <c r="B56" s="174">
        <f>PI()*(B52^2-B54^2)/10^6</f>
        <v>0.27821944540191207</v>
      </c>
      <c r="D56" s="162"/>
    </row>
    <row r="57" spans="1:13" x14ac:dyDescent="0.2">
      <c r="A57" s="163"/>
      <c r="B57" s="164"/>
      <c r="C57" s="164"/>
      <c r="D57" s="165"/>
    </row>
    <row r="94" spans="2:2" x14ac:dyDescent="0.2">
      <c r="B94" s="24" t="str">
        <f>IF(Lang="Français","Vitesse de descente sous parachute :",IF(Lang="English","Fall velocity over parachute:",""))</f>
        <v>Vitesse de descente sous parachute :</v>
      </c>
    </row>
    <row r="103" spans="2:9" x14ac:dyDescent="0.2">
      <c r="B103" s="24" t="str">
        <f>IF(Lang="Français","Textes pour les listes déroulantes et graphiques :","Texts for drop-down lists &amp; graphics :")</f>
        <v>Textes pour les listes déroulantes et graphiques :</v>
      </c>
    </row>
    <row r="104" spans="2:9" x14ac:dyDescent="0.2">
      <c r="F104" s="221" t="s">
        <v>407</v>
      </c>
      <c r="G104" s="1" t="s">
        <v>414</v>
      </c>
      <c r="I104" s="1" t="s">
        <v>559</v>
      </c>
    </row>
    <row r="105" spans="2:9" x14ac:dyDescent="0.2">
      <c r="B105" s="1" t="s">
        <v>120</v>
      </c>
      <c r="F105" s="477">
        <f ca="1">Combustion+Depotage-9</f>
        <v>-9</v>
      </c>
      <c r="G105" s="478" t="s">
        <v>409</v>
      </c>
      <c r="I105" s="1" t="s">
        <v>560</v>
      </c>
    </row>
    <row r="106" spans="2:9" x14ac:dyDescent="0.2">
      <c r="B106" s="1" t="s">
        <v>121</v>
      </c>
      <c r="F106" s="477">
        <f ca="1">Combustion+Depotage-7</f>
        <v>-7</v>
      </c>
      <c r="G106" s="478" t="s">
        <v>410</v>
      </c>
      <c r="I106" s="1" t="s">
        <v>561</v>
      </c>
    </row>
    <row r="107" spans="2:9" x14ac:dyDescent="0.2">
      <c r="B107" s="1" t="str">
        <f>IF(T_para&gt;0,IF(Lang="Français","Phase ascendante","Climbing phase"),"")</f>
        <v>Phase ascendante</v>
      </c>
      <c r="F107" s="477">
        <f ca="1">Combustion+Depotage-5</f>
        <v>-5</v>
      </c>
      <c r="G107" s="478" t="s">
        <v>411</v>
      </c>
    </row>
    <row r="108" spans="2:9" x14ac:dyDescent="0.2">
      <c r="B108" s="1" t="str">
        <f>IF(Lang="Français","Descente balistique","Balistic fall")</f>
        <v>Descente balistique</v>
      </c>
      <c r="F108" s="477">
        <f ca="1">Combustion+Depotage-3</f>
        <v>-3</v>
      </c>
      <c r="G108" s="478" t="s">
        <v>412</v>
      </c>
    </row>
    <row r="109" spans="2:9" x14ac:dyDescent="0.2">
      <c r="B109" s="1" t="str">
        <f>IF(T_para&gt;0,IF(Lang="Français","Fusée sous parachute","Rocket under parachute"),"")</f>
        <v>Fusée sous parachute</v>
      </c>
      <c r="F109" s="477">
        <f ca="1">Combustion+Depotage</f>
        <v>0</v>
      </c>
      <c r="G109" s="478" t="s">
        <v>413</v>
      </c>
    </row>
    <row r="110" spans="2:9" x14ac:dyDescent="0.2">
      <c r="B110" s="1" t="str">
        <f>IF(AND(Nb_sat="1 satellite",T_satellite&gt;0),IF(Lang="Français","Satellite sous parachute","Satellite over parachute"),"")</f>
        <v/>
      </c>
      <c r="F110" s="479" t="str">
        <f>IF(Lang="Français","autre",IF(Lang="English","other",""))</f>
        <v>autre</v>
      </c>
    </row>
    <row r="111" spans="2:9" x14ac:dyDescent="0.2">
      <c r="B111" s="1" t="str">
        <f>IF(Lang="Français","Trajectoire (x z)","Trajectory (x z)")</f>
        <v>Trajectoire (x z)</v>
      </c>
    </row>
    <row r="112" spans="2:9" x14ac:dyDescent="0.2">
      <c r="B112" s="1" t="str">
        <f>IF(Lang="Français","Portée x [m]","Range x [m]")</f>
        <v>Portée x [m]</v>
      </c>
    </row>
    <row r="113" spans="2:3" x14ac:dyDescent="0.2">
      <c r="B113" s="1" t="str">
        <f>IF(Lang="Français","Temps [s]","Time [s]")</f>
        <v>Temps [s]</v>
      </c>
    </row>
    <row r="114" spans="2:3" x14ac:dyDescent="0.2">
      <c r="B114" s="1" t="str">
        <f>IF(Lang="Français","Altitude z  /  Temps","Altitude z  /  Time")</f>
        <v>Altitude z  /  Temps</v>
      </c>
      <c r="C114" s="1">
        <f>IF(OR(C26=F104,C26=F110),C27,C26)</f>
        <v>14</v>
      </c>
    </row>
    <row r="116" spans="2:3" x14ac:dyDescent="0.2">
      <c r="B116" s="1" t="s">
        <v>408</v>
      </c>
    </row>
    <row r="118" spans="2:3" x14ac:dyDescent="0.2">
      <c r="B118" s="24" t="str">
        <f>IF(Lang="Français","Données pour les graphiques :","Data for plots:")</f>
        <v>Données pour les graphiques :</v>
      </c>
    </row>
    <row r="120" spans="2:3" x14ac:dyDescent="0.2">
      <c r="B120" s="210" t="s">
        <v>47</v>
      </c>
      <c r="C120" s="211" t="s">
        <v>47</v>
      </c>
    </row>
    <row r="121" spans="2:3" x14ac:dyDescent="0.2">
      <c r="B121" s="218">
        <f ca="1">MAX(Altitude_culmi,Portee_balistique)</f>
        <v>1192.8774857614485</v>
      </c>
      <c r="C121" s="216">
        <f ca="1">MAX(Altitude_culmi,Portee_balistique)</f>
        <v>1192.8774857614485</v>
      </c>
    </row>
    <row r="123" spans="2:3" x14ac:dyDescent="0.2">
      <c r="B123" s="210" t="s">
        <v>49</v>
      </c>
      <c r="C123" s="211" t="s">
        <v>45</v>
      </c>
    </row>
    <row r="124" spans="2:3" x14ac:dyDescent="0.2">
      <c r="B124" s="217">
        <f ca="1">X_para</f>
        <v>354.47847130839716</v>
      </c>
      <c r="C124" s="214">
        <f ca="1">Alt_para</f>
        <v>1192.8375680305887</v>
      </c>
    </row>
    <row r="125" spans="2:3" x14ac:dyDescent="0.2">
      <c r="B125" s="217">
        <f ca="1">X_para</f>
        <v>354.47847130839716</v>
      </c>
      <c r="C125" s="214">
        <f ca="1">Alt_para/2</f>
        <v>596.41878401529436</v>
      </c>
    </row>
    <row r="126" spans="2:3" x14ac:dyDescent="0.2">
      <c r="B126" s="217">
        <f ca="1">X_para</f>
        <v>354.47847130839716</v>
      </c>
      <c r="C126" s="214">
        <v>0</v>
      </c>
    </row>
    <row r="127" spans="2:3" x14ac:dyDescent="0.2">
      <c r="B127" s="217">
        <f ca="1">X_para+Alt_para/40</f>
        <v>384.29941050916187</v>
      </c>
      <c r="C127" s="214">
        <f ca="1">Alt_para/20</f>
        <v>59.641878401529439</v>
      </c>
    </row>
    <row r="128" spans="2:3" x14ac:dyDescent="0.2">
      <c r="B128" s="217">
        <f ca="1">X_para</f>
        <v>354.47847130839716</v>
      </c>
      <c r="C128" s="214">
        <v>0</v>
      </c>
    </row>
    <row r="129" spans="2:6" x14ac:dyDescent="0.2">
      <c r="B129" s="217">
        <f ca="1">X_para-Alt_para/40</f>
        <v>324.65753210763245</v>
      </c>
      <c r="C129" s="214">
        <f ca="1">Alt_para/20</f>
        <v>59.641878401529439</v>
      </c>
    </row>
    <row r="130" spans="2:6" x14ac:dyDescent="0.2">
      <c r="B130" s="218">
        <f ca="1">X_para</f>
        <v>354.47847130839716</v>
      </c>
      <c r="C130" s="219">
        <v>0</v>
      </c>
    </row>
    <row r="131" spans="2:6" x14ac:dyDescent="0.2">
      <c r="B131" s="210" t="s">
        <v>48</v>
      </c>
      <c r="C131" s="211" t="s">
        <v>45</v>
      </c>
    </row>
    <row r="132" spans="2:6" x14ac:dyDescent="0.2">
      <c r="B132" s="213">
        <f>T_para</f>
        <v>14</v>
      </c>
      <c r="C132" s="214">
        <f ca="1">Alt_para</f>
        <v>1192.8375680305887</v>
      </c>
    </row>
    <row r="133" spans="2:6" x14ac:dyDescent="0.2">
      <c r="B133" s="213">
        <f ca="1">(B132+B134)/2</f>
        <v>78.128025867530141</v>
      </c>
      <c r="C133" s="214">
        <f ca="1">(C132+C134)/2</f>
        <v>596.41878401529436</v>
      </c>
      <c r="E133" s="232">
        <v>1</v>
      </c>
      <c r="F133" s="233" t="s">
        <v>175</v>
      </c>
    </row>
    <row r="134" spans="2:6" x14ac:dyDescent="0.2">
      <c r="B134" s="213">
        <f ca="1">H49</f>
        <v>142.25605173506028</v>
      </c>
      <c r="C134" s="214">
        <f>0</f>
        <v>0</v>
      </c>
      <c r="E134" s="161">
        <v>1</v>
      </c>
      <c r="F134" s="234" t="s">
        <v>176</v>
      </c>
    </row>
    <row r="135" spans="2:6" x14ac:dyDescent="0.2">
      <c r="B135" s="213">
        <f ca="1">H49+E133*sS/2*zZ_fus-E134*sS*tT_fus</f>
        <v>140.95089753033611</v>
      </c>
      <c r="C135" s="214">
        <f ca="1">Alt_para-V_para*(H49-T_para)+E133*sS*Altitude_culmi/H49*zZ_fus+E134*sS/2*Altitude_culmi/H49*tT_fus</f>
        <v>39.53792650953266</v>
      </c>
      <c r="E135" s="161"/>
      <c r="F135" s="241" t="s">
        <v>177</v>
      </c>
    </row>
    <row r="136" spans="2:6" x14ac:dyDescent="0.2">
      <c r="B136" s="213">
        <f ca="1">H49</f>
        <v>142.25605173506028</v>
      </c>
      <c r="C136" s="214">
        <f ca="1">Alt_para-V_para*(H49-T_para)</f>
        <v>0</v>
      </c>
      <c r="E136" s="235" t="s">
        <v>172</v>
      </c>
      <c r="F136" s="236">
        <f ca="1">T_balistique/10</f>
        <v>3.2500000000000169</v>
      </c>
    </row>
    <row r="137" spans="2:6" x14ac:dyDescent="0.2">
      <c r="B137" s="213">
        <f ca="1">H49-E133*sS/2*zZ_fus-E134*sS*tT_fus</f>
        <v>137.70089753033611</v>
      </c>
      <c r="C137" s="214">
        <f ca="1">Alt_para-V_para*(H49-T_para)+E133*sS*Altitude_culmi/H49*zZ_fus-E134*sS/2*Altitude_culmi/H49*tT_fus</f>
        <v>14.967337504753814</v>
      </c>
      <c r="E137" s="235" t="s">
        <v>173</v>
      </c>
      <c r="F137" s="236">
        <f ca="1">(H49-T_para)/H49</f>
        <v>0.90158590914589842</v>
      </c>
    </row>
    <row r="138" spans="2:6" x14ac:dyDescent="0.2">
      <c r="B138" s="215">
        <f ca="1">H49</f>
        <v>142.25605173506028</v>
      </c>
      <c r="C138" s="216">
        <f ca="1">Alt_para-V_para*(H49-T_para)</f>
        <v>0</v>
      </c>
      <c r="E138" s="237" t="s">
        <v>174</v>
      </c>
      <c r="F138" s="238">
        <f ca="1">V_para*(H49-T_para)/Alt_para</f>
        <v>1</v>
      </c>
    </row>
    <row r="140" spans="2:6" x14ac:dyDescent="0.2">
      <c r="B140" s="210" t="s">
        <v>51</v>
      </c>
      <c r="C140" s="211" t="s">
        <v>46</v>
      </c>
    </row>
    <row r="141" spans="2:6" x14ac:dyDescent="0.2">
      <c r="B141" s="217" t="b">
        <f>IF(Nb_sat="1 satellite",X_satellite)</f>
        <v>0</v>
      </c>
      <c r="C141" s="214" t="b">
        <f>IF(Nb_sat="1 satellite",Alt_sat)</f>
        <v>0</v>
      </c>
    </row>
    <row r="142" spans="2:6" x14ac:dyDescent="0.2">
      <c r="B142" s="217" t="b">
        <f>IF(Nb_sat="1 satellite",X_satellite)</f>
        <v>0</v>
      </c>
      <c r="C142" s="214" t="b">
        <f>IF(Nb_sat="1 satellite",Alt_sat*1/4)</f>
        <v>0</v>
      </c>
    </row>
    <row r="143" spans="2:6" x14ac:dyDescent="0.2">
      <c r="B143" s="217" t="b">
        <f>IF(Nb_sat="1 satellite",X_satellite)</f>
        <v>0</v>
      </c>
      <c r="C143" s="214" t="b">
        <f>IF(Nb_sat="1 satellite",0)</f>
        <v>0</v>
      </c>
    </row>
    <row r="144" spans="2:6" x14ac:dyDescent="0.2">
      <c r="B144" s="217" t="b">
        <f>IF(Nb_sat="1 satellite",X_satellite+Alt_sat/40)</f>
        <v>0</v>
      </c>
      <c r="C144" s="214" t="b">
        <f>IF(Nb_sat="1 satellite",Alt_sat/20)</f>
        <v>0</v>
      </c>
    </row>
    <row r="145" spans="2:6" x14ac:dyDescent="0.2">
      <c r="B145" s="217" t="b">
        <f>IF(Nb_sat="1 satellite",X_satellite)</f>
        <v>0</v>
      </c>
      <c r="C145" s="214" t="b">
        <f>IF(Nb_sat="1 satellite",0)</f>
        <v>0</v>
      </c>
    </row>
    <row r="146" spans="2:6" x14ac:dyDescent="0.2">
      <c r="B146" s="217" t="b">
        <f>IF(Nb_sat="1 satellite",X_satellite-Alt_sat/40)</f>
        <v>0</v>
      </c>
      <c r="C146" s="214" t="b">
        <f>IF(Nb_sat="1 satellite",Alt_sat/20)</f>
        <v>0</v>
      </c>
    </row>
    <row r="147" spans="2:6" x14ac:dyDescent="0.2">
      <c r="B147" s="218" t="b">
        <f>IF(Nb_sat="1 satellite",X_satellite)</f>
        <v>0</v>
      </c>
      <c r="C147" s="214" t="b">
        <f>IF(Nb_sat="1 satellite",0)</f>
        <v>0</v>
      </c>
    </row>
    <row r="148" spans="2:6" x14ac:dyDescent="0.2">
      <c r="B148" s="210" t="s">
        <v>50</v>
      </c>
      <c r="C148" s="211" t="s">
        <v>46</v>
      </c>
    </row>
    <row r="149" spans="2:6" x14ac:dyDescent="0.2">
      <c r="B149" s="213" t="b">
        <f>IF(Nb_sat="1 satellite",T_satellite)</f>
        <v>0</v>
      </c>
      <c r="C149" s="214" t="b">
        <f>IF(Nb_sat="1 satellite",Alt_sat)</f>
        <v>0</v>
      </c>
      <c r="D149" s="221"/>
    </row>
    <row r="150" spans="2:6" x14ac:dyDescent="0.2">
      <c r="B150" s="213">
        <f>(B149+B151)/2</f>
        <v>0</v>
      </c>
      <c r="C150" s="214">
        <f>(C149+C151)/2</f>
        <v>0</v>
      </c>
      <c r="D150" s="221"/>
    </row>
    <row r="151" spans="2:6" x14ac:dyDescent="0.2">
      <c r="B151" s="213" t="b">
        <f>IF(Nb_sat="1 satellite",H51)</f>
        <v>0</v>
      </c>
      <c r="C151" s="214" t="b">
        <f>IF(Nb_sat="1 satellite",0)</f>
        <v>0</v>
      </c>
    </row>
    <row r="152" spans="2:6" x14ac:dyDescent="0.2">
      <c r="B152" s="213" t="b">
        <f>IF(Nb_sat="1 satellite",H51+E133*sS/2*zZ_sat-E134*sS*tT_sat)</f>
        <v>0</v>
      </c>
      <c r="C152" s="214" t="b">
        <f>IF(Nb_sat="1 satellite",Alt_sat-V_satellite*(H51-T_satellite)+E133*sS*Altitude_culmi/H51*zZ_sat+E134*sS/2*Altitude_culmi/H51*tT_sat)</f>
        <v>0</v>
      </c>
      <c r="D152" s="221"/>
    </row>
    <row r="153" spans="2:6" x14ac:dyDescent="0.2">
      <c r="B153" s="213" t="b">
        <f>IF(Nb_sat="1 satellite",H51)</f>
        <v>0</v>
      </c>
      <c r="C153" s="214" t="b">
        <f>IF(Nb_sat="1 satellite",0)</f>
        <v>0</v>
      </c>
    </row>
    <row r="154" spans="2:6" x14ac:dyDescent="0.2">
      <c r="B154" s="213" t="b">
        <f>IF(Nb_sat="1 satellite",H51-sS/2*zZ_sat-E134*sS*tT_sat)</f>
        <v>0</v>
      </c>
      <c r="C154" s="214" t="b">
        <f>IF(Nb_sat="1 satellite",Alt_sat-V_satellite*(H51-T_satellite)+E133*sS*Altitude_culmi/H51*zZ_sat-E134*sS/2*Altitude_culmi/H51*tT_sat)</f>
        <v>0</v>
      </c>
      <c r="E154" s="239" t="s">
        <v>173</v>
      </c>
      <c r="F154" s="240">
        <f ca="1">(T_balistique-T_satellite)/T_balistique</f>
        <v>0.85538461538461619</v>
      </c>
    </row>
    <row r="155" spans="2:6" x14ac:dyDescent="0.2">
      <c r="B155" s="215" t="b">
        <f>IF(Nb_sat="1 satellite",H51)</f>
        <v>0</v>
      </c>
      <c r="C155" s="216" t="b">
        <f>IF(Nb_sat="1 satellite",0)</f>
        <v>0</v>
      </c>
      <c r="E155" s="237" t="s">
        <v>174</v>
      </c>
      <c r="F155" s="238">
        <f ca="1">V_satellite*(T_balistique-T_satellite)/Alt_sat</f>
        <v>0.43099015661160156</v>
      </c>
    </row>
    <row r="157" spans="2:6" x14ac:dyDescent="0.2">
      <c r="B157" s="210" t="s">
        <v>2</v>
      </c>
      <c r="C157" s="228" t="s">
        <v>29</v>
      </c>
      <c r="D157" s="211" t="s">
        <v>3</v>
      </c>
    </row>
    <row r="158" spans="2:6" x14ac:dyDescent="0.2">
      <c r="B158" s="231">
        <f>T_para/4</f>
        <v>3.5</v>
      </c>
      <c r="C158" s="82">
        <f ca="1">Alt_para/2</f>
        <v>596.41878401529436</v>
      </c>
      <c r="D158" s="214">
        <f ca="1">X_para/4</f>
        <v>88.61961782709929</v>
      </c>
    </row>
    <row r="159" spans="2:6" x14ac:dyDescent="0.2">
      <c r="B159" s="229">
        <f ca="1">Temps_culmi + (T_balistique-Temps_culmi)/2</f>
        <v>23.150000000000055</v>
      </c>
      <c r="C159" s="230">
        <f ca="1">Altitude_culmi/2</f>
        <v>596.43874288072425</v>
      </c>
      <c r="D159" s="216">
        <f ca="1">X_culmi+(Portee_balistique-X_culmi)*2/3</f>
        <v>509.56971241463049</v>
      </c>
    </row>
    <row r="161" spans="2:6" x14ac:dyDescent="0.2">
      <c r="B161" s="210" t="s">
        <v>304</v>
      </c>
      <c r="C161" s="228" t="s">
        <v>303</v>
      </c>
      <c r="D161" s="422" t="s">
        <v>305</v>
      </c>
    </row>
    <row r="162" spans="2:6" x14ac:dyDescent="0.2">
      <c r="B162" s="231" t="e">
        <f ca="1">IF(AND(Altitude_culmi&gt;80, Altitude_culmi&lt;=350), 49, NA())</f>
        <v>#N/A</v>
      </c>
      <c r="C162" s="5">
        <v>0</v>
      </c>
      <c r="D162" s="82">
        <f t="shared" ref="D162:D177" ca="1" si="0">X_culmi+C162</f>
        <v>350.75986525864886</v>
      </c>
      <c r="E162" s="422"/>
      <c r="F162" s="423" t="s">
        <v>305</v>
      </c>
    </row>
    <row r="163" spans="2:6" x14ac:dyDescent="0.2">
      <c r="B163" s="231" t="e">
        <f ca="1">IF(AND(Altitude_culmi&gt;80, Altitude_culmi&lt;=350), 49, NA())</f>
        <v>#N/A</v>
      </c>
      <c r="C163" s="5">
        <v>23</v>
      </c>
      <c r="D163" s="82">
        <f t="shared" ca="1" si="0"/>
        <v>373.75986525864886</v>
      </c>
      <c r="E163" s="82"/>
      <c r="F163" s="214">
        <f t="shared" ref="F163:F178" ca="1" si="1">X_culmi-C162</f>
        <v>350.75986525864886</v>
      </c>
    </row>
    <row r="164" spans="2:6" x14ac:dyDescent="0.2">
      <c r="B164" s="231" t="e">
        <f ca="1">IF(AND(Altitude_culmi&gt;80, Altitude_culmi&lt;=350), 43, NA())</f>
        <v>#N/A</v>
      </c>
      <c r="C164" s="5">
        <v>23</v>
      </c>
      <c r="D164" s="82">
        <f t="shared" ca="1" si="0"/>
        <v>373.75986525864886</v>
      </c>
      <c r="E164" s="82"/>
      <c r="F164" s="214">
        <f t="shared" ca="1" si="1"/>
        <v>327.75986525864886</v>
      </c>
    </row>
    <row r="165" spans="2:6" x14ac:dyDescent="0.2">
      <c r="B165" s="231" t="e">
        <f ca="1">IF(AND(Altitude_culmi&gt;80, Altitude_culmi&lt;=350), 43, NA())</f>
        <v>#N/A</v>
      </c>
      <c r="C165" s="5">
        <v>0</v>
      </c>
      <c r="D165" s="82">
        <f t="shared" ca="1" si="0"/>
        <v>350.75986525864886</v>
      </c>
      <c r="E165" s="82"/>
      <c r="F165" s="214">
        <f t="shared" ca="1" si="1"/>
        <v>327.75986525864886</v>
      </c>
    </row>
    <row r="166" spans="2:6" x14ac:dyDescent="0.2">
      <c r="B166" s="231" t="e">
        <f ca="1">IF(AND(Altitude_culmi&gt;80, Altitude_culmi&lt;=350), 43, NA())</f>
        <v>#N/A</v>
      </c>
      <c r="C166" s="5">
        <v>23</v>
      </c>
      <c r="D166" s="82">
        <f t="shared" ca="1" si="0"/>
        <v>373.75986525864886</v>
      </c>
      <c r="E166" s="82"/>
      <c r="F166" s="214">
        <f t="shared" ca="1" si="1"/>
        <v>350.75986525864886</v>
      </c>
    </row>
    <row r="167" spans="2:6" x14ac:dyDescent="0.2">
      <c r="B167" s="231" t="e">
        <f ca="1">IF(AND(Altitude_culmi&gt;80, Altitude_culmi&lt;=350), 0.5, NA())</f>
        <v>#N/A</v>
      </c>
      <c r="C167" s="5">
        <v>23</v>
      </c>
      <c r="D167" s="82">
        <f t="shared" ca="1" si="0"/>
        <v>373.75986525864886</v>
      </c>
      <c r="E167" s="82"/>
      <c r="F167" s="214">
        <f t="shared" ca="1" si="1"/>
        <v>327.75986525864886</v>
      </c>
    </row>
    <row r="168" spans="2:6" x14ac:dyDescent="0.2">
      <c r="B168" s="231" t="e">
        <f ca="1">IF(AND(Altitude_culmi&gt;80, Altitude_culmi&lt;=350), 0.5, NA())</f>
        <v>#N/A</v>
      </c>
      <c r="C168" s="5">
        <v>8</v>
      </c>
      <c r="D168" s="82">
        <f t="shared" ca="1" si="0"/>
        <v>358.75986525864886</v>
      </c>
      <c r="E168" s="82"/>
      <c r="F168" s="214">
        <f t="shared" ca="1" si="1"/>
        <v>327.75986525864886</v>
      </c>
    </row>
    <row r="169" spans="2:6" x14ac:dyDescent="0.2">
      <c r="B169" s="231" t="e">
        <f ca="1">IF(AND(Altitude_culmi&gt;80, Altitude_culmi&lt;=350), 27, NA())</f>
        <v>#N/A</v>
      </c>
      <c r="C169" s="5">
        <v>8</v>
      </c>
      <c r="D169" s="82">
        <f t="shared" ca="1" si="0"/>
        <v>358.75986525864886</v>
      </c>
      <c r="E169" s="82"/>
      <c r="F169" s="214">
        <f t="shared" ca="1" si="1"/>
        <v>342.75986525864886</v>
      </c>
    </row>
    <row r="170" spans="2:6" x14ac:dyDescent="0.2">
      <c r="B170" s="231" t="e">
        <f ca="1">IF(AND(Altitude_culmi&gt;80, Altitude_culmi&lt;=350), 27, NA())</f>
        <v>#N/A</v>
      </c>
      <c r="C170" s="5">
        <v>23</v>
      </c>
      <c r="D170" s="82">
        <f t="shared" ca="1" si="0"/>
        <v>373.75986525864886</v>
      </c>
      <c r="E170" s="82"/>
      <c r="F170" s="214">
        <f t="shared" ca="1" si="1"/>
        <v>342.75986525864886</v>
      </c>
    </row>
    <row r="171" spans="2:6" x14ac:dyDescent="0.2">
      <c r="B171" s="231" t="e">
        <f ca="1">IF(AND(Altitude_culmi&gt;80, Altitude_culmi&lt;=350), 27, NA())</f>
        <v>#N/A</v>
      </c>
      <c r="C171" s="5">
        <v>8</v>
      </c>
      <c r="D171" s="82">
        <f t="shared" ca="1" si="0"/>
        <v>358.75986525864886</v>
      </c>
      <c r="E171" s="82"/>
      <c r="F171" s="214">
        <f t="shared" ca="1" si="1"/>
        <v>327.75986525864886</v>
      </c>
    </row>
    <row r="172" spans="2:6" x14ac:dyDescent="0.2">
      <c r="B172" s="231" t="e">
        <f ca="1">IF(AND(Altitude_culmi&gt;80, Altitude_culmi&lt;=350), 29, NA())</f>
        <v>#N/A</v>
      </c>
      <c r="C172" s="5">
        <v>7.6</v>
      </c>
      <c r="D172" s="82">
        <f t="shared" ca="1" si="0"/>
        <v>358.35986525864888</v>
      </c>
      <c r="E172" s="82"/>
      <c r="F172" s="214">
        <f t="shared" ca="1" si="1"/>
        <v>342.75986525864886</v>
      </c>
    </row>
    <row r="173" spans="2:6" x14ac:dyDescent="0.2">
      <c r="B173" s="231" t="e">
        <f ca="1">IF(AND(Altitude_culmi&gt;80, Altitude_culmi&lt;=350), 31, NA())</f>
        <v>#N/A</v>
      </c>
      <c r="C173" s="5">
        <v>6.8</v>
      </c>
      <c r="D173" s="82">
        <f t="shared" ca="1" si="0"/>
        <v>357.55986525864887</v>
      </c>
      <c r="E173" s="82"/>
      <c r="F173" s="214">
        <f t="shared" ca="1" si="1"/>
        <v>343.15986525864884</v>
      </c>
    </row>
    <row r="174" spans="2:6" x14ac:dyDescent="0.2">
      <c r="B174" s="231" t="e">
        <f ca="1">IF(AND(Altitude_culmi&gt;80, Altitude_culmi&lt;=350), 32, NA())</f>
        <v>#N/A</v>
      </c>
      <c r="C174" s="5">
        <v>6</v>
      </c>
      <c r="D174" s="82">
        <f t="shared" ca="1" si="0"/>
        <v>356.75986525864886</v>
      </c>
      <c r="E174" s="82"/>
      <c r="F174" s="214">
        <f t="shared" ca="1" si="1"/>
        <v>343.95986525864885</v>
      </c>
    </row>
    <row r="175" spans="2:6" x14ac:dyDescent="0.2">
      <c r="B175" s="231" t="e">
        <f ca="1">IF(AND(Altitude_culmi&gt;80, Altitude_culmi&lt;=350), 33, NA())</f>
        <v>#N/A</v>
      </c>
      <c r="C175" s="5">
        <v>5</v>
      </c>
      <c r="D175" s="82">
        <f t="shared" ca="1" si="0"/>
        <v>355.75986525864886</v>
      </c>
      <c r="E175" s="82"/>
      <c r="F175" s="214">
        <f t="shared" ca="1" si="1"/>
        <v>344.75986525864886</v>
      </c>
    </row>
    <row r="176" spans="2:6" x14ac:dyDescent="0.2">
      <c r="B176" s="231" t="e">
        <f ca="1">IF(AND(Altitude_culmi&gt;80, Altitude_culmi&lt;=350), 34, NA())</f>
        <v>#N/A</v>
      </c>
      <c r="C176" s="5">
        <v>3.8</v>
      </c>
      <c r="D176" s="82">
        <f t="shared" ca="1" si="0"/>
        <v>354.55986525864887</v>
      </c>
      <c r="E176" s="82"/>
      <c r="F176" s="214">
        <f t="shared" ca="1" si="1"/>
        <v>345.75986525864886</v>
      </c>
    </row>
    <row r="177" spans="2:6" x14ac:dyDescent="0.2">
      <c r="B177" s="229" t="e">
        <f ca="1">IF(AND(Altitude_culmi&gt;80, Altitude_culmi&lt;=350), 35, NA())</f>
        <v>#N/A</v>
      </c>
      <c r="C177" s="421">
        <v>0</v>
      </c>
      <c r="D177" s="230">
        <f t="shared" ca="1" si="0"/>
        <v>350.75986525864886</v>
      </c>
      <c r="E177" s="82"/>
      <c r="F177" s="214">
        <f t="shared" ca="1" si="1"/>
        <v>346.95986525864885</v>
      </c>
    </row>
    <row r="178" spans="2:6" x14ac:dyDescent="0.2">
      <c r="E178" s="230"/>
      <c r="F178" s="216">
        <f t="shared" ca="1" si="1"/>
        <v>350.75986525864886</v>
      </c>
    </row>
    <row r="179" spans="2:6" x14ac:dyDescent="0.2">
      <c r="B179" s="210" t="s">
        <v>306</v>
      </c>
      <c r="C179" s="228" t="s">
        <v>307</v>
      </c>
      <c r="D179" s="228" t="s">
        <v>308</v>
      </c>
    </row>
    <row r="180" spans="2:6" x14ac:dyDescent="0.2">
      <c r="B180" s="231">
        <f ca="1">IF(Altitude_culmi&gt;350, 324, NA())</f>
        <v>324</v>
      </c>
      <c r="C180" s="5">
        <v>0</v>
      </c>
      <c r="D180" s="82">
        <f t="shared" ref="D180:D200" ca="1" si="2">X_culmi+C180</f>
        <v>350.75986525864886</v>
      </c>
      <c r="E180" s="228"/>
      <c r="F180" s="211" t="s">
        <v>308</v>
      </c>
    </row>
    <row r="181" spans="2:6" x14ac:dyDescent="0.2">
      <c r="B181" s="231">
        <f ca="1">IF(Altitude_culmi&gt;350, 300, NA())</f>
        <v>300</v>
      </c>
      <c r="C181" s="5">
        <v>0</v>
      </c>
      <c r="D181" s="82">
        <f t="shared" ca="1" si="2"/>
        <v>350.75986525864886</v>
      </c>
      <c r="E181" s="82"/>
      <c r="F181" s="214">
        <f t="shared" ref="F181:F201" ca="1" si="3">X_culmi-C180</f>
        <v>350.75986525864886</v>
      </c>
    </row>
    <row r="182" spans="2:6" x14ac:dyDescent="0.2">
      <c r="B182" s="231">
        <f ca="1">IF(Altitude_culmi&gt;350, 280, NA())</f>
        <v>280</v>
      </c>
      <c r="C182" s="5">
        <v>10</v>
      </c>
      <c r="D182" s="82">
        <f t="shared" ca="1" si="2"/>
        <v>360.75986525864886</v>
      </c>
      <c r="E182" s="82"/>
      <c r="F182" s="214">
        <f t="shared" ca="1" si="3"/>
        <v>350.75986525864886</v>
      </c>
    </row>
    <row r="183" spans="2:6" x14ac:dyDescent="0.2">
      <c r="B183" s="231">
        <f ca="1">IF(Altitude_culmi&gt;350, 280, NA())</f>
        <v>280</v>
      </c>
      <c r="C183" s="5">
        <v>0</v>
      </c>
      <c r="D183" s="82">
        <f t="shared" ca="1" si="2"/>
        <v>350.75986525864886</v>
      </c>
      <c r="E183" s="82"/>
      <c r="F183" s="214">
        <f t="shared" ca="1" si="3"/>
        <v>340.75986525864886</v>
      </c>
    </row>
    <row r="184" spans="2:6" x14ac:dyDescent="0.2">
      <c r="B184" s="231">
        <f ca="1">IF(Altitude_culmi&gt;350, 280, NA())</f>
        <v>280</v>
      </c>
      <c r="C184" s="5">
        <v>10</v>
      </c>
      <c r="D184" s="82">
        <f t="shared" ca="1" si="2"/>
        <v>360.75986525864886</v>
      </c>
      <c r="E184" s="82"/>
      <c r="F184" s="214">
        <f t="shared" ca="1" si="3"/>
        <v>350.75986525864886</v>
      </c>
    </row>
    <row r="185" spans="2:6" x14ac:dyDescent="0.2">
      <c r="B185" s="231">
        <f ca="1">IF(Altitude_culmi&gt;350, 200, NA())</f>
        <v>200</v>
      </c>
      <c r="C185" s="5">
        <v>13</v>
      </c>
      <c r="D185" s="82">
        <f t="shared" ca="1" si="2"/>
        <v>363.75986525864886</v>
      </c>
      <c r="E185" s="82"/>
      <c r="F185" s="214">
        <f t="shared" ca="1" si="3"/>
        <v>340.75986525864886</v>
      </c>
    </row>
    <row r="186" spans="2:6" x14ac:dyDescent="0.2">
      <c r="B186" s="231">
        <f ca="1">IF(Altitude_culmi&gt;350, 160, NA())</f>
        <v>160</v>
      </c>
      <c r="C186" s="5">
        <v>17</v>
      </c>
      <c r="D186" s="82">
        <f t="shared" ca="1" si="2"/>
        <v>367.75986525864886</v>
      </c>
      <c r="E186" s="82"/>
      <c r="F186" s="214">
        <f t="shared" ca="1" si="3"/>
        <v>337.75986525864886</v>
      </c>
    </row>
    <row r="187" spans="2:6" x14ac:dyDescent="0.2">
      <c r="B187" s="231">
        <f ca="1">IF(Altitude_culmi&gt;350, 115, NA())</f>
        <v>115</v>
      </c>
      <c r="C187" s="5">
        <v>20</v>
      </c>
      <c r="D187" s="82">
        <f t="shared" ca="1" si="2"/>
        <v>370.75986525864886</v>
      </c>
      <c r="E187" s="82"/>
      <c r="F187" s="214">
        <f t="shared" ca="1" si="3"/>
        <v>333.75986525864886</v>
      </c>
    </row>
    <row r="188" spans="2:6" x14ac:dyDescent="0.2">
      <c r="B188" s="231">
        <f ca="1">IF(Altitude_culmi&gt;350, 90, NA())</f>
        <v>90</v>
      </c>
      <c r="C188" s="5">
        <v>25</v>
      </c>
      <c r="D188" s="82">
        <f t="shared" ca="1" si="2"/>
        <v>375.75986525864886</v>
      </c>
      <c r="E188" s="82"/>
      <c r="F188" s="214">
        <f t="shared" ca="1" si="3"/>
        <v>330.75986525864886</v>
      </c>
    </row>
    <row r="189" spans="2:6" x14ac:dyDescent="0.2">
      <c r="B189" s="231">
        <f ca="1">IF(Altitude_culmi&gt;350, 57, NA())</f>
        <v>57</v>
      </c>
      <c r="C189" s="5">
        <v>30</v>
      </c>
      <c r="D189" s="82">
        <f t="shared" ca="1" si="2"/>
        <v>380.75986525864886</v>
      </c>
      <c r="E189" s="82"/>
      <c r="F189" s="214">
        <f t="shared" ca="1" si="3"/>
        <v>325.75986525864886</v>
      </c>
    </row>
    <row r="190" spans="2:6" x14ac:dyDescent="0.2">
      <c r="B190" s="231">
        <f ca="1">IF(Altitude_culmi&gt;350, 40, NA())</f>
        <v>40</v>
      </c>
      <c r="C190" s="5">
        <v>36</v>
      </c>
      <c r="D190" s="82">
        <f t="shared" ca="1" si="2"/>
        <v>386.75986525864886</v>
      </c>
      <c r="E190" s="82"/>
      <c r="F190" s="214">
        <f t="shared" ca="1" si="3"/>
        <v>320.75986525864886</v>
      </c>
    </row>
    <row r="191" spans="2:6" x14ac:dyDescent="0.2">
      <c r="B191" s="231">
        <f ca="1">IF(Altitude_culmi&gt;350, 20, NA())</f>
        <v>20</v>
      </c>
      <c r="C191" s="5">
        <v>48</v>
      </c>
      <c r="D191" s="82">
        <f t="shared" ca="1" si="2"/>
        <v>398.75986525864886</v>
      </c>
      <c r="E191" s="82"/>
      <c r="F191" s="214">
        <f t="shared" ca="1" si="3"/>
        <v>314.75986525864886</v>
      </c>
    </row>
    <row r="192" spans="2:6" x14ac:dyDescent="0.2">
      <c r="B192" s="231">
        <f ca="1">IF(Altitude_culmi&gt;350, 0.5, NA())</f>
        <v>0.5</v>
      </c>
      <c r="C192" s="5">
        <v>62</v>
      </c>
      <c r="D192" s="82">
        <f t="shared" ca="1" si="2"/>
        <v>412.75986525864886</v>
      </c>
      <c r="E192" s="82"/>
      <c r="F192" s="214">
        <f t="shared" ca="1" si="3"/>
        <v>302.75986525864886</v>
      </c>
    </row>
    <row r="193" spans="2:6" x14ac:dyDescent="0.2">
      <c r="B193" s="231">
        <f ca="1">IF(Altitude_culmi&gt;350, 0.5, NA())</f>
        <v>0.5</v>
      </c>
      <c r="C193" s="5">
        <v>37</v>
      </c>
      <c r="D193" s="82">
        <f t="shared" ca="1" si="2"/>
        <v>387.75986525864886</v>
      </c>
      <c r="E193" s="82"/>
      <c r="F193" s="214">
        <f t="shared" ca="1" si="3"/>
        <v>288.75986525864886</v>
      </c>
    </row>
    <row r="194" spans="2:6" x14ac:dyDescent="0.2">
      <c r="B194" s="231">
        <f ca="1">IF(Altitude_culmi&gt;350, 15, NA())</f>
        <v>15</v>
      </c>
      <c r="C194" s="5">
        <v>30</v>
      </c>
      <c r="D194" s="82">
        <f t="shared" ca="1" si="2"/>
        <v>380.75986525864886</v>
      </c>
      <c r="E194" s="82"/>
      <c r="F194" s="214">
        <f t="shared" ca="1" si="3"/>
        <v>313.75986525864886</v>
      </c>
    </row>
    <row r="195" spans="2:6" x14ac:dyDescent="0.2">
      <c r="B195" s="231">
        <f ca="1">IF(Altitude_culmi&gt;350, 30, NA())</f>
        <v>30</v>
      </c>
      <c r="C195" s="5">
        <v>15</v>
      </c>
      <c r="D195" s="82">
        <f t="shared" ca="1" si="2"/>
        <v>365.75986525864886</v>
      </c>
      <c r="E195" s="82"/>
      <c r="F195" s="214">
        <f t="shared" ca="1" si="3"/>
        <v>320.75986525864886</v>
      </c>
    </row>
    <row r="196" spans="2:6" x14ac:dyDescent="0.2">
      <c r="B196" s="231">
        <f ca="1">IF(Altitude_culmi&gt;350, 37, NA())</f>
        <v>37</v>
      </c>
      <c r="C196" s="5">
        <v>0</v>
      </c>
      <c r="D196" s="82">
        <f t="shared" ca="1" si="2"/>
        <v>350.75986525864886</v>
      </c>
      <c r="E196" s="82"/>
      <c r="F196" s="214">
        <f t="shared" ca="1" si="3"/>
        <v>335.75986525864886</v>
      </c>
    </row>
    <row r="197" spans="2:6" x14ac:dyDescent="0.2">
      <c r="B197" s="231">
        <f ca="1">IF(Altitude_culmi&gt;350, 67, NA())</f>
        <v>67</v>
      </c>
      <c r="C197" s="5">
        <v>0</v>
      </c>
      <c r="D197" s="82">
        <f t="shared" ca="1" si="2"/>
        <v>350.75986525864886</v>
      </c>
      <c r="E197" s="82"/>
      <c r="F197" s="214">
        <f t="shared" ca="1" si="3"/>
        <v>350.75986525864886</v>
      </c>
    </row>
    <row r="198" spans="2:6" x14ac:dyDescent="0.2">
      <c r="B198" s="231">
        <f ca="1">IF(Altitude_culmi&gt;350, 67, NA())</f>
        <v>67</v>
      </c>
      <c r="C198" s="5">
        <v>17</v>
      </c>
      <c r="D198" s="82">
        <f t="shared" ca="1" si="2"/>
        <v>367.75986525864886</v>
      </c>
      <c r="E198" s="82"/>
      <c r="F198" s="214">
        <f t="shared" ca="1" si="3"/>
        <v>350.75986525864886</v>
      </c>
    </row>
    <row r="199" spans="2:6" x14ac:dyDescent="0.2">
      <c r="B199" s="231">
        <f ca="1">IF(Altitude_culmi&gt;350, 100, NA())</f>
        <v>100</v>
      </c>
      <c r="C199" s="5">
        <v>11</v>
      </c>
      <c r="D199" s="82">
        <f t="shared" ca="1" si="2"/>
        <v>361.75986525864886</v>
      </c>
      <c r="E199" s="82"/>
      <c r="F199" s="214">
        <f t="shared" ca="1" si="3"/>
        <v>333.75986525864886</v>
      </c>
    </row>
    <row r="200" spans="2:6" x14ac:dyDescent="0.2">
      <c r="B200" s="229">
        <f ca="1">IF(Altitude_culmi&gt;350, 100, NA())</f>
        <v>100</v>
      </c>
      <c r="C200" s="421">
        <v>0</v>
      </c>
      <c r="D200" s="230">
        <f t="shared" ca="1" si="2"/>
        <v>350.75986525864886</v>
      </c>
      <c r="E200" s="82"/>
      <c r="F200" s="214">
        <f t="shared" ca="1" si="3"/>
        <v>339.75986525864886</v>
      </c>
    </row>
    <row r="201" spans="2:6" x14ac:dyDescent="0.2">
      <c r="E201" s="230"/>
      <c r="F201" s="216">
        <f t="shared" ca="1" si="3"/>
        <v>350.75986525864886</v>
      </c>
    </row>
  </sheetData>
  <sheetProtection algorithmName="SHA-512" hashValue="54/g8dQ2RC65LqncMwJ2cd0LY+Ermcd3MHxRhdQ+5eIlTGzg9ayjpzMYUZU3QN55EKjPPfR4x04d0m+MFsILQw==" saltValue="8KZEyW6NBSE9XCBw0cMAWg==" spinCount="100000" sheet="1" objects="1" scenarios="1"/>
  <protectedRanges>
    <protectedRange sqref="C26" name="Plage1"/>
  </protectedRanges>
  <mergeCells count="43">
    <mergeCell ref="F51:G51"/>
    <mergeCell ref="F42:G42"/>
    <mergeCell ref="F43:G43"/>
    <mergeCell ref="F44:G44"/>
    <mergeCell ref="F45:G45"/>
    <mergeCell ref="F50:G50"/>
    <mergeCell ref="F46:G46"/>
    <mergeCell ref="F47:G47"/>
    <mergeCell ref="F49:G49"/>
    <mergeCell ref="F48:G48"/>
    <mergeCell ref="C16:D16"/>
    <mergeCell ref="C11:D11"/>
    <mergeCell ref="C20:D20"/>
    <mergeCell ref="C21:D21"/>
    <mergeCell ref="C12:D12"/>
    <mergeCell ref="C14:D14"/>
    <mergeCell ref="C15:D15"/>
    <mergeCell ref="C19:D19"/>
    <mergeCell ref="C23:D23"/>
    <mergeCell ref="C18:D18"/>
    <mergeCell ref="F24:G24"/>
    <mergeCell ref="F28:G28"/>
    <mergeCell ref="F27:G27"/>
    <mergeCell ref="F25:G25"/>
    <mergeCell ref="F26:G26"/>
    <mergeCell ref="H35:I35"/>
    <mergeCell ref="H34:I34"/>
    <mergeCell ref="F29:G29"/>
    <mergeCell ref="H33:I33"/>
    <mergeCell ref="A40:D40"/>
    <mergeCell ref="H36:I36"/>
    <mergeCell ref="F36:G36"/>
    <mergeCell ref="F35:G35"/>
    <mergeCell ref="F34:G34"/>
    <mergeCell ref="F40:G40"/>
    <mergeCell ref="C10:D10"/>
    <mergeCell ref="C5:D5"/>
    <mergeCell ref="C2:D3"/>
    <mergeCell ref="C7:D7"/>
    <mergeCell ref="C8:D8"/>
    <mergeCell ref="C9:D9"/>
    <mergeCell ref="C6:D6"/>
    <mergeCell ref="C4:D4"/>
  </mergeCells>
  <phoneticPr fontId="8" type="noConversion"/>
  <conditionalFormatting sqref="C27">
    <cfRule type="expression" dxfId="25" priority="247" stopIfTrue="1">
      <formula>NOT(OR(C26=F110,C26=F104))</formula>
    </cfRule>
  </conditionalFormatting>
  <conditionalFormatting sqref="C32">
    <cfRule type="cellIs" dxfId="24" priority="42" stopIfTrue="1" operator="notBetween">
      <formula>5</formula>
      <formula>15</formula>
    </cfRule>
  </conditionalFormatting>
  <conditionalFormatting sqref="D25">
    <cfRule type="expression" dxfId="23" priority="39" stopIfTrue="1">
      <formula>Nb_sat="0 satellite"</formula>
    </cfRule>
  </conditionalFormatting>
  <conditionalFormatting sqref="D26">
    <cfRule type="expression" dxfId="22" priority="2" stopIfTrue="1">
      <formula>Nb_sat="0 satellite"</formula>
    </cfRule>
  </conditionalFormatting>
  <conditionalFormatting sqref="D27:D31 D33:D35">
    <cfRule type="expression" dxfId="21" priority="59" stopIfTrue="1">
      <formula>Nb_sat="0 satellite"</formula>
    </cfRule>
  </conditionalFormatting>
  <conditionalFormatting sqref="D32">
    <cfRule type="expression" dxfId="20" priority="40" stopIfTrue="1">
      <formula>Nb_sat="0 satellite"</formula>
    </cfRule>
    <cfRule type="cellIs" dxfId="19" priority="49" stopIfTrue="1" operator="notBetween">
      <formula>5</formula>
      <formula>15</formula>
    </cfRule>
  </conditionalFormatting>
  <conditionalFormatting sqref="F26">
    <cfRule type="expression" dxfId="18" priority="26" stopIfTrue="1">
      <formula>Nb_sat="0 satellite"</formula>
    </cfRule>
  </conditionalFormatting>
  <conditionalFormatting sqref="F36:I36 F50:M50">
    <cfRule type="expression" dxfId="17" priority="22" stopIfTrue="1">
      <formula>Nb_sat="0 satellite"</formula>
    </cfRule>
  </conditionalFormatting>
  <conditionalFormatting sqref="F51:M51">
    <cfRule type="expression" dxfId="16" priority="21" stopIfTrue="1">
      <formula>Nb_sat="0 satellite"</formula>
    </cfRule>
  </conditionalFormatting>
  <conditionalFormatting sqref="H28 H48">
    <cfRule type="expression" dxfId="15" priority="4" stopIfTrue="1">
      <formula>ABS(Temps_culmi-T_para)&gt;2</formula>
    </cfRule>
  </conditionalFormatting>
  <conditionalFormatting sqref="H34:I34">
    <cfRule type="cellIs" dxfId="14" priority="14" stopIfTrue="1" operator="equal">
      <formula>"Brun/Orange…"</formula>
    </cfRule>
  </conditionalFormatting>
  <conditionalFormatting sqref="H35:I35">
    <cfRule type="cellIs" dxfId="13" priority="13" stopIfTrue="1" operator="equal">
      <formula>"Rouge…"</formula>
    </cfRule>
  </conditionalFormatting>
  <conditionalFormatting sqref="H26:M26">
    <cfRule type="expression" dxfId="12" priority="41" stopIfTrue="1">
      <formula>Nb_sat="0 satellite"</formula>
    </cfRule>
  </conditionalFormatting>
  <conditionalFormatting sqref="J29 J47">
    <cfRule type="expression" dxfId="11" priority="6" stopIfTrue="1">
      <formula>AND(Portee_balistique&gt;200,LEFT(Type_propu,4)="Mini")</formula>
    </cfRule>
  </conditionalFormatting>
  <conditionalFormatting sqref="K24 K43">
    <cfRule type="expression" dxfId="10" priority="44" stopIfTrue="1">
      <formula>AND(Vsortie_de_rampe&lt;18, OR(LEFT(Type_fusee,1)=",",LEFT(Type_fusee,4)="Mini",LEFT(Type_fusee,1)="R"))</formula>
    </cfRule>
    <cfRule type="expression" dxfId="9" priority="45" stopIfTrue="1">
      <formula>AND(Vsortie_de_rampe&lt;20, RIGHT(Type_fusee,1)=".")</formula>
    </cfRule>
  </conditionalFormatting>
  <conditionalFormatting sqref="K42">
    <cfRule type="expression" dxfId="8" priority="34" stopIfTrue="1">
      <formula>AND( $K$22=0, OR( $I$22&gt;0, $J$22&gt;0 ) )</formula>
    </cfRule>
  </conditionalFormatting>
  <conditionalFormatting sqref="N35">
    <cfRule type="expression" dxfId="7" priority="15" stopIfTrue="1">
      <formula>ROUND(SUM(C24:L36),0)=2221</formula>
    </cfRule>
  </conditionalFormatting>
  <conditionalFormatting sqref="N36">
    <cfRule type="expression" dxfId="6" priority="244" stopIfTrue="1">
      <formula>$N$36="propu NOK"</formula>
    </cfRule>
  </conditionalFormatting>
  <dataValidations count="15">
    <dataValidation type="decimal" operator="greaterThanOrEqual" showErrorMessage="1" sqref="H42:K42 C31 D27:D29 C27" xr:uid="{00000000-0002-0000-0100-000000000000}">
      <formula1>0</formula1>
    </dataValidation>
    <dataValidation type="list" allowBlank="1" showInputMessage="1" showErrorMessage="1" sqref="H52" xr:uid="{00000000-0002-0000-0100-000001000000}">
      <formula1>gao</formula1>
    </dataValidation>
    <dataValidation operator="greaterThanOrEqual" showErrorMessage="1" sqref="D31 C29" xr:uid="{00000000-0002-0000-0100-000002000000}"/>
    <dataValidation type="decimal" errorStyle="warning" allowBlank="1" showErrorMessage="1" errorTitle="Cx para" error="Le Cx du parachute est souvent compris entre 0 et 2._x000a_Cx of parachute might be between 0 a 2." sqref="C30:D30" xr:uid="{00000000-0002-0000-0100-000003000000}">
      <formula1>0</formula1>
      <formula2>2</formula2>
    </dataValidation>
    <dataValidation sqref="C12:D12" xr:uid="{00000000-0002-0000-0100-000004000000}"/>
    <dataValidation operator="greaterThanOrEqual" sqref="C11:D11" xr:uid="{00000000-0002-0000-0100-000005000000}"/>
    <dataValidation type="decimal" errorStyle="warning" showErrorMessage="1" errorTitle="Cx" error="Le Cx est souvent compris entre 0,3 et 0,7._x000a_Cx may be between 0,3 &amp; 0,7." sqref="C16:D16" xr:uid="{00000000-0002-0000-0100-000006000000}">
      <formula1>0.3</formula1>
      <formula2>0.7</formula2>
    </dataValidation>
    <dataValidation type="decimal" operator="greaterThanOrEqual" allowBlank="1" showErrorMessage="1" sqref="C19:D19" xr:uid="{00000000-0002-0000-0100-000007000000}">
      <formula1>0</formula1>
    </dataValidation>
    <dataValidation type="decimal" errorStyle="information" allowBlank="1" showInputMessage="1" showErrorMessage="1" errorTitle="Angle de la rampe" error="Il est conseillé d'incliner à rampe entre 75° et 85° par rapport à l'horizontale._x000a_This Angle is recommended between 75° &amp; 85°." sqref="C20:D20" xr:uid="{00000000-0002-0000-0100-000008000000}">
      <formula1>75</formula1>
      <formula2>85</formula2>
    </dataValidation>
    <dataValidation type="whole" operator="greaterThanOrEqual" allowBlank="1" showErrorMessage="1" sqref="C21:D21" xr:uid="{00000000-0002-0000-0100-000009000000}">
      <formula1>0</formula1>
    </dataValidation>
    <dataValidation type="whole" allowBlank="1" showErrorMessage="1" sqref="M42" xr:uid="{00000000-0002-0000-0100-00000A000000}">
      <formula1>-360</formula1>
      <formula2>360</formula2>
    </dataValidation>
    <dataValidation type="list" showInputMessage="1" showErrorMessage="1" sqref="D24" xr:uid="{00000000-0002-0000-0100-00000B000000}">
      <formula1>Menu_sat</formula1>
    </dataValidation>
    <dataValidation type="whole" operator="greaterThanOrEqual" showErrorMessage="1" sqref="B44 B46 B52 B54" xr:uid="{00000000-0002-0000-0100-00000C000000}">
      <formula1>0</formula1>
    </dataValidation>
    <dataValidation type="list" showInputMessage="1" showErrorMessage="1" sqref="C26" xr:uid="{00000000-0002-0000-0100-00000D000000}">
      <formula1>IF(Depotage&lt;&gt;0,IF(LEFT(Type_propu,5)="Micro",$F$110,$F$105:$F$110),$F$104)</formula1>
    </dataValidation>
    <dataValidation type="list" operator="greaterThanOrEqual" showErrorMessage="1" sqref="C28" xr:uid="{901BEB42-9630-4910-AFF4-B844211D2B99}">
      <formula1>Liste_Type_para</formula1>
    </dataValidation>
  </dataValidations>
  <hyperlinks>
    <hyperlink ref="B12" location="Stabilito!C17" display="Stabilito!C17" xr:uid="{00000000-0004-0000-0100-000000000000}"/>
  </hyperlinks>
  <printOptions horizontalCentered="1" verticalCentered="1"/>
  <pageMargins left="7.874015748031496E-2" right="7.874015748031496E-2" top="7.874015748031496E-2" bottom="7.874015748031496E-2" header="0" footer="0"/>
  <pageSetup paperSize="9" firstPageNumber="0" orientation="landscape" horizontalDpi="300" verticalDpi="300" r:id="rId1"/>
  <headerFooter alignWithMargins="0"/>
  <ignoredErrors>
    <ignoredError sqref="B127:B133 B139:B150 C152 C154 C139:C141 C143:C150 C127:C133" formula="1"/>
    <ignoredError sqref="H46:I46 H49 J46:M46" evalError="1"/>
    <ignoredError sqref="G105:G109" numberStoredAsText="1"/>
    <ignoredError sqref="D25" unlockedFormula="1"/>
  </ignoredErrors>
  <drawing r:id="rId2"/>
  <legacyDrawing r:id="rId3"/>
  <oleObjects>
    <mc:AlternateContent xmlns:mc="http://schemas.openxmlformats.org/markup-compatibility/2006">
      <mc:Choice Requires="x14">
        <oleObject progId="Equation.3" shapeId="1425294" r:id="rId4">
          <objectPr defaultSize="0" autoPict="0" r:id="rId5">
            <anchor moveWithCells="1">
              <from>
                <xdr:col>1</xdr:col>
                <xdr:colOff>28575</xdr:colOff>
                <xdr:row>94</xdr:row>
                <xdr:rowOff>76200</xdr:rowOff>
              </from>
              <to>
                <xdr:col>3</xdr:col>
                <xdr:colOff>762000</xdr:colOff>
                <xdr:row>100</xdr:row>
                <xdr:rowOff>95250</xdr:rowOff>
              </to>
            </anchor>
          </objectPr>
        </oleObject>
      </mc:Choice>
      <mc:Fallback>
        <oleObject progId="Equation.3" shapeId="1425294" r:id="rId4"/>
      </mc:Fallback>
    </mc:AlternateContent>
  </oleObjects>
  <mc:AlternateContent xmlns:mc="http://schemas.openxmlformats.org/markup-compatibility/2006">
    <mc:Choice Requires="x14">
      <controls>
        <mc:AlternateContent xmlns:mc="http://schemas.openxmlformats.org/markup-compatibility/2006">
          <mc:Choice Requires="x14">
            <control shapeId="1424424" r:id="rId6" name="Spinner 1064">
              <controlPr defaultSize="0" print="0" autoPict="0">
                <anchor moveWithCells="1" sizeWithCells="1">
                  <from>
                    <xdr:col>3</xdr:col>
                    <xdr:colOff>647700</xdr:colOff>
                    <xdr:row>9</xdr:row>
                    <xdr:rowOff>161925</xdr:rowOff>
                  </from>
                  <to>
                    <xdr:col>4</xdr:col>
                    <xdr:colOff>0</xdr:colOff>
                    <xdr:row>11</xdr:row>
                    <xdr:rowOff>9525</xdr:rowOff>
                  </to>
                </anchor>
              </controlPr>
            </control>
          </mc:Choice>
        </mc:AlternateContent>
        <mc:AlternateContent xmlns:mc="http://schemas.openxmlformats.org/markup-compatibility/2006">
          <mc:Choice Requires="x14">
            <control shapeId="1424589" r:id="rId7" name="Spinner 1229">
              <controlPr defaultSize="0" print="0" autoPict="0">
                <anchor moveWithCells="1" sizeWithCells="1">
                  <from>
                    <xdr:col>1</xdr:col>
                    <xdr:colOff>1181100</xdr:colOff>
                    <xdr:row>43</xdr:row>
                    <xdr:rowOff>9525</xdr:rowOff>
                  </from>
                  <to>
                    <xdr:col>2</xdr:col>
                    <xdr:colOff>0</xdr:colOff>
                    <xdr:row>44</xdr:row>
                    <xdr:rowOff>0</xdr:rowOff>
                  </to>
                </anchor>
              </controlPr>
            </control>
          </mc:Choice>
        </mc:AlternateContent>
        <mc:AlternateContent xmlns:mc="http://schemas.openxmlformats.org/markup-compatibility/2006">
          <mc:Choice Requires="x14">
            <control shapeId="1424590" r:id="rId8" name="Spinner 1230">
              <controlPr defaultSize="0" print="0" autoPict="0">
                <anchor moveWithCells="1" sizeWithCells="1">
                  <from>
                    <xdr:col>1</xdr:col>
                    <xdr:colOff>1181100</xdr:colOff>
                    <xdr:row>45</xdr:row>
                    <xdr:rowOff>9525</xdr:rowOff>
                  </from>
                  <to>
                    <xdr:col>2</xdr:col>
                    <xdr:colOff>0</xdr:colOff>
                    <xdr:row>46</xdr:row>
                    <xdr:rowOff>0</xdr:rowOff>
                  </to>
                </anchor>
              </controlPr>
            </control>
          </mc:Choice>
        </mc:AlternateContent>
        <mc:AlternateContent xmlns:mc="http://schemas.openxmlformats.org/markup-compatibility/2006">
          <mc:Choice Requires="x14">
            <control shapeId="1424591" r:id="rId9" name="Spinner 1231">
              <controlPr defaultSize="0" print="0" autoPict="0">
                <anchor moveWithCells="1" sizeWithCells="1">
                  <from>
                    <xdr:col>1</xdr:col>
                    <xdr:colOff>1181100</xdr:colOff>
                    <xdr:row>51</xdr:row>
                    <xdr:rowOff>9525</xdr:rowOff>
                  </from>
                  <to>
                    <xdr:col>2</xdr:col>
                    <xdr:colOff>0</xdr:colOff>
                    <xdr:row>52</xdr:row>
                    <xdr:rowOff>0</xdr:rowOff>
                  </to>
                </anchor>
              </controlPr>
            </control>
          </mc:Choice>
        </mc:AlternateContent>
        <mc:AlternateContent xmlns:mc="http://schemas.openxmlformats.org/markup-compatibility/2006">
          <mc:Choice Requires="x14">
            <control shapeId="4779462" r:id="rId10" name="Spinner 4550">
              <controlPr defaultSize="0" print="0" autoPict="0">
                <anchor moveWithCells="1" sizeWithCells="1">
                  <from>
                    <xdr:col>1</xdr:col>
                    <xdr:colOff>1181100</xdr:colOff>
                    <xdr:row>53</xdr:row>
                    <xdr:rowOff>9525</xdr:rowOff>
                  </from>
                  <to>
                    <xdr:col>2</xdr:col>
                    <xdr:colOff>0</xdr:colOff>
                    <xdr:row>54</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pageSetUpPr fitToPage="1"/>
  </sheetPr>
  <dimension ref="B75:B146"/>
  <sheetViews>
    <sheetView showGridLines="0" zoomScaleNormal="100" workbookViewId="0">
      <selection activeCell="M48" sqref="M48"/>
    </sheetView>
  </sheetViews>
  <sheetFormatPr baseColWidth="10" defaultRowHeight="12.75" x14ac:dyDescent="0.2"/>
  <sheetData>
    <row r="75" spans="2:2" x14ac:dyDescent="0.2">
      <c r="B75" t="s">
        <v>43</v>
      </c>
    </row>
    <row r="76" spans="2:2" x14ac:dyDescent="0.2">
      <c r="B76" t="str">
        <f>IF(Lang="Français","Ces courbes représentent la trajectoire de la fusée dans l'hypothèse d'une descente balistique (sans ouverture du parachute). ","These curves show the rocket trajectory in case of ballistic fall (without parachute).")</f>
        <v xml:space="preserve">Ces courbes représentent la trajectoire de la fusée dans l'hypothèse d'une descente balistique (sans ouverture du parachute). </v>
      </c>
    </row>
    <row r="77" spans="2:2" x14ac:dyDescent="0.2">
      <c r="B77" t="str">
        <f>IF(Lang="Français","L'accélération longitudinale gravitationnelle définit le mouvement (dérivée de la vitesse) : Acc = (Poussee - Traînée ± Poids) / m",IF(Lang="English","Longitudinal Gravitaionnal Acceleration defines the motion (velocity derivative) : Acc = (Thrust - Drag ± Weight)/m",""))</f>
        <v>L'accélération longitudinale gravitationnelle définit le mouvement (dérivée de la vitesse) : Acc = (Poussee - Traînée ± Poids) / m</v>
      </c>
    </row>
    <row r="78" spans="2:2" x14ac:dyDescent="0.2">
      <c r="B78" t="str">
        <f>IF(Lang="Français","La charge ''non-gravitationnelle'' vue par un capteur d'accélération (masse-ressort) est : Charge = (Poussée - Traînée) / m",IF(Lang="English","''Non-Gravitaionnal'' Load seen by an acceleration sensor (mass-spring) is : Load = (Thrust - Drag) / m",""))</f>
        <v>La charge ''non-gravitationnelle'' vue par un capteur d'accélération (masse-ressort) est : Charge = (Poussée - Traînée) / m</v>
      </c>
    </row>
    <row r="79" spans="2:2" x14ac:dyDescent="0.2">
      <c r="B79" t="str">
        <f>IF(Lang="Français","Exemples : Si Poussée = Poids, Vitesse constante, Acc nulle, Charge = 1G ; En chute libre, Acc = -1G, Charge = 0",IF(Lang="English","",""))</f>
        <v>Exemples : Si Poussée = Poids, Vitesse constante, Acc nulle, Charge = 1G ; En chute libre, Acc = -1G, Charge = 0</v>
      </c>
    </row>
    <row r="131" spans="2:2" x14ac:dyDescent="0.2">
      <c r="B131" s="24" t="str">
        <f>IF(Lang="Français","Textes pour les graphiques :","Texts for graphics :")</f>
        <v>Textes pour les graphiques :</v>
      </c>
    </row>
    <row r="133" spans="2:2" x14ac:dyDescent="0.2">
      <c r="B133" t="str">
        <f>IF(Lang="Français","Traînée",IF(Lang="English","Drag",""))</f>
        <v>Traînée</v>
      </c>
    </row>
    <row r="134" spans="2:2" x14ac:dyDescent="0.2">
      <c r="B134" t="str">
        <f>IF(Lang="Français","Poussée",IF(Lang="English","Thrust",""))</f>
        <v>Poussée</v>
      </c>
    </row>
    <row r="135" spans="2:2" x14ac:dyDescent="0.2">
      <c r="B135" t="str">
        <f>IF(Lang="Français","Poids",IF(Lang="English","Weight",""))</f>
        <v>Poids</v>
      </c>
    </row>
    <row r="137" spans="2:2" x14ac:dyDescent="0.2">
      <c r="B137" t="str">
        <f>IF(Lang="Français","Accélération longitudinale",IF(Lang="English","Longitudinal Acceleration",""))</f>
        <v>Accélération longitudinale</v>
      </c>
    </row>
    <row r="138" spans="2:2" x14ac:dyDescent="0.2">
      <c r="B138" t="str">
        <f>IF(Lang="Français","Charge vue par un capteur",IF(Lang="English","Load seen by a sensor",""))</f>
        <v>Charge vue par un capteur</v>
      </c>
    </row>
    <row r="140" spans="2:2" x14ac:dyDescent="0.2">
      <c r="B140" t="str">
        <f>IF(Lang="Français","Vitesse",IF(Lang="English","Velocity",""))</f>
        <v>Vitesse</v>
      </c>
    </row>
    <row r="141" spans="2:2" x14ac:dyDescent="0.2">
      <c r="B141" t="str">
        <f>IF(Lang="Français","Vitesse [m/s]",IF(Lang="English","Velocity [m/s]",""))</f>
        <v>Vitesse [m/s]</v>
      </c>
    </row>
    <row r="143" spans="2:2" x14ac:dyDescent="0.2">
      <c r="B143" t="s">
        <v>6</v>
      </c>
    </row>
    <row r="144" spans="2:2" x14ac:dyDescent="0.2">
      <c r="B144" t="str">
        <f>IF(Lang="Français","Portée",IF(Lang="English","Range",""))</f>
        <v>Portée</v>
      </c>
    </row>
    <row r="146" spans="2:2" x14ac:dyDescent="0.2">
      <c r="B146" t="str">
        <f>IF(Lang="Français","Temps [s]",IF(Lang="English","Time [s]",""))</f>
        <v>Temps [s]</v>
      </c>
    </row>
  </sheetData>
  <sheetProtection password="C6AC" sheet="1"/>
  <phoneticPr fontId="8" type="noConversion"/>
  <printOptions horizontalCentered="1" verticalCentered="1"/>
  <pageMargins left="0.39370078740157483" right="0.39370078740157483" top="0.39370078740157483" bottom="0.39370078740157483" header="0" footer="0"/>
  <pageSetup scale="76" firstPageNumber="0" orientation="portrait" horizontalDpi="300" verticalDpi="3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5">
    <pageSetUpPr fitToPage="1"/>
  </sheetPr>
  <dimension ref="A1:Z346"/>
  <sheetViews>
    <sheetView showGridLines="0" topLeftCell="A310" zoomScale="80" zoomScaleNormal="80" workbookViewId="0">
      <selection activeCell="I333" sqref="I333:J333"/>
    </sheetView>
  </sheetViews>
  <sheetFormatPr baseColWidth="10" defaultRowHeight="12.75" x14ac:dyDescent="0.2"/>
  <cols>
    <col min="1" max="1" width="22.5703125" bestFit="1" customWidth="1"/>
  </cols>
  <sheetData>
    <row r="1" spans="1:26" ht="13.5" thickBot="1" x14ac:dyDescent="0.25">
      <c r="A1" s="362" t="str">
        <f>IF(Lang="Français","Moteur sélectionné","Selected motor")</f>
        <v>Moteur sélectionné</v>
      </c>
      <c r="B1" s="362" t="s">
        <v>32</v>
      </c>
    </row>
    <row r="2" spans="1:26" ht="13.5" thickBot="1" x14ac:dyDescent="0.25">
      <c r="A2" s="352" t="str">
        <f>Propu</f>
        <v>Aucun (2e ét. inerte)</v>
      </c>
      <c r="B2" s="352">
        <f>VLOOKUP(A2,A26:B314,2,FALSE)</f>
        <v>309</v>
      </c>
      <c r="C2" s="363" t="s">
        <v>115</v>
      </c>
      <c r="D2" s="353">
        <f ca="1">INDIRECT(ADDRESS(B2,4))</f>
        <v>1E-3</v>
      </c>
      <c r="E2" s="363" t="s">
        <v>114</v>
      </c>
      <c r="F2" s="354">
        <f ca="1">INDIRECT(ADDRESS(B2,6))</f>
        <v>1.019367991845056</v>
      </c>
      <c r="G2" s="363" t="s">
        <v>56</v>
      </c>
      <c r="H2" s="355">
        <f ca="1">INDIRECT(ADDRESS(B2,8))</f>
        <v>1E-4</v>
      </c>
      <c r="I2" s="363" t="s">
        <v>273</v>
      </c>
      <c r="J2" s="356">
        <f ca="1">INDIRECT(ADDRESS(B2,10))</f>
        <v>1E-4</v>
      </c>
      <c r="K2" s="363" t="s">
        <v>58</v>
      </c>
      <c r="L2" s="355">
        <f ca="1">INDIRECT(ADDRESS(B2,12))</f>
        <v>0</v>
      </c>
      <c r="M2" s="363" t="s">
        <v>57</v>
      </c>
      <c r="N2" s="357">
        <f ca="1">INDIRECT(ADDRESS(B2,14))</f>
        <v>0</v>
      </c>
      <c r="O2" s="363" t="s">
        <v>59</v>
      </c>
      <c r="P2" s="357">
        <f ca="1">INDIRECT(ADDRESS(B2,16))</f>
        <v>0</v>
      </c>
      <c r="Q2" s="363" t="s">
        <v>60</v>
      </c>
      <c r="R2" s="357">
        <f ca="1">INDIRECT(ADDRESS(B2,18))</f>
        <v>0</v>
      </c>
      <c r="S2" s="363" t="s">
        <v>61</v>
      </c>
      <c r="T2" s="357">
        <f ca="1">INDIRECT(ADDRESS(B2,20))</f>
        <v>0</v>
      </c>
      <c r="U2" s="363" t="s">
        <v>54</v>
      </c>
      <c r="V2" s="358" t="str">
        <f ca="1">INDIRECT(ADDRESS(B2,22))</f>
        <v>Fusex</v>
      </c>
      <c r="W2" s="463" t="s">
        <v>394</v>
      </c>
      <c r="X2" s="464">
        <f ca="1">INDIRECT(ADDRESS(B2,24))</f>
        <v>0</v>
      </c>
      <c r="Y2" s="463" t="s">
        <v>393</v>
      </c>
      <c r="Z2" s="358">
        <f ca="1">INDIRECT(ADDRESS(B2,26))</f>
        <v>0</v>
      </c>
    </row>
    <row r="3" spans="1:26" x14ac:dyDescent="0.2">
      <c r="A3" s="362" t="str">
        <f>IF(Lang="Français","Temps (en s)","Time (s)")</f>
        <v>Temps (en s)</v>
      </c>
      <c r="B3" s="364">
        <f t="shared" ref="B3:Y3" ca="1" si="0">INDIRECT(ADDRESS($B2+1,COLUMN(B3)))</f>
        <v>0</v>
      </c>
      <c r="C3" s="365">
        <f t="shared" ca="1" si="0"/>
        <v>0.1</v>
      </c>
      <c r="D3" s="365">
        <f t="shared" ca="1" si="0"/>
        <v>0.2</v>
      </c>
      <c r="E3" s="365">
        <f t="shared" ca="1" si="0"/>
        <v>1</v>
      </c>
      <c r="F3" s="365">
        <f t="shared" ca="1" si="0"/>
        <v>1</v>
      </c>
      <c r="G3" s="365">
        <f t="shared" ca="1" si="0"/>
        <v>1</v>
      </c>
      <c r="H3" s="365">
        <f t="shared" ca="1" si="0"/>
        <v>1</v>
      </c>
      <c r="I3" s="365">
        <f t="shared" ca="1" si="0"/>
        <v>1</v>
      </c>
      <c r="J3" s="365">
        <f t="shared" ca="1" si="0"/>
        <v>1</v>
      </c>
      <c r="K3" s="365">
        <f t="shared" ca="1" si="0"/>
        <v>1</v>
      </c>
      <c r="L3" s="365">
        <f t="shared" ca="1" si="0"/>
        <v>1</v>
      </c>
      <c r="M3" s="365">
        <f t="shared" ca="1" si="0"/>
        <v>1</v>
      </c>
      <c r="N3" s="365">
        <f t="shared" ca="1" si="0"/>
        <v>1</v>
      </c>
      <c r="O3" s="365">
        <f t="shared" ca="1" si="0"/>
        <v>1</v>
      </c>
      <c r="P3" s="365">
        <f t="shared" ca="1" si="0"/>
        <v>1</v>
      </c>
      <c r="Q3" s="365">
        <f t="shared" ca="1" si="0"/>
        <v>1</v>
      </c>
      <c r="R3" s="365">
        <f t="shared" ca="1" si="0"/>
        <v>1</v>
      </c>
      <c r="S3" s="365">
        <f t="shared" ca="1" si="0"/>
        <v>1</v>
      </c>
      <c r="T3" s="365">
        <f t="shared" ca="1" si="0"/>
        <v>1</v>
      </c>
      <c r="U3" s="365">
        <f t="shared" ca="1" si="0"/>
        <v>1</v>
      </c>
      <c r="V3" s="365">
        <f t="shared" ca="1" si="0"/>
        <v>1</v>
      </c>
      <c r="W3" s="365">
        <f t="shared" ca="1" si="0"/>
        <v>1</v>
      </c>
      <c r="X3" s="365">
        <f ca="1">INDIRECT(ADDRESS($B2+1,COLUMN(X3)))</f>
        <v>1</v>
      </c>
      <c r="Y3" s="366">
        <f t="shared" ca="1" si="0"/>
        <v>1000</v>
      </c>
    </row>
    <row r="4" spans="1:26" ht="13.5" thickBot="1" x14ac:dyDescent="0.25">
      <c r="A4" s="379" t="str">
        <f>IF(Lang="Français","Poussée (en N)","Thrust (N)")</f>
        <v>Poussée (en N)</v>
      </c>
      <c r="B4" s="367">
        <f t="shared" ref="B4:Y4" ca="1" si="1">INDIRECT(ADDRESS($B2+2,COLUMN(B3)))</f>
        <v>0</v>
      </c>
      <c r="C4" s="368">
        <f t="shared" ca="1" si="1"/>
        <v>0.01</v>
      </c>
      <c r="D4" s="368">
        <f t="shared" ca="1" si="1"/>
        <v>0</v>
      </c>
      <c r="E4" s="368">
        <f t="shared" ca="1" si="1"/>
        <v>0</v>
      </c>
      <c r="F4" s="368">
        <f t="shared" ca="1" si="1"/>
        <v>0</v>
      </c>
      <c r="G4" s="368">
        <f t="shared" ca="1" si="1"/>
        <v>0</v>
      </c>
      <c r="H4" s="368">
        <f t="shared" ca="1" si="1"/>
        <v>0</v>
      </c>
      <c r="I4" s="368">
        <f t="shared" ca="1" si="1"/>
        <v>0</v>
      </c>
      <c r="J4" s="368">
        <f t="shared" ca="1" si="1"/>
        <v>0</v>
      </c>
      <c r="K4" s="368">
        <f t="shared" ca="1" si="1"/>
        <v>0</v>
      </c>
      <c r="L4" s="368">
        <f t="shared" ca="1" si="1"/>
        <v>0</v>
      </c>
      <c r="M4" s="368">
        <f t="shared" ca="1" si="1"/>
        <v>0</v>
      </c>
      <c r="N4" s="368">
        <f t="shared" ca="1" si="1"/>
        <v>0</v>
      </c>
      <c r="O4" s="368">
        <f t="shared" ca="1" si="1"/>
        <v>0</v>
      </c>
      <c r="P4" s="368">
        <f t="shared" ca="1" si="1"/>
        <v>0</v>
      </c>
      <c r="Q4" s="368">
        <f t="shared" ca="1" si="1"/>
        <v>0</v>
      </c>
      <c r="R4" s="368">
        <f t="shared" ca="1" si="1"/>
        <v>0</v>
      </c>
      <c r="S4" s="368">
        <f t="shared" ca="1" si="1"/>
        <v>0</v>
      </c>
      <c r="T4" s="368">
        <f t="shared" ca="1" si="1"/>
        <v>0</v>
      </c>
      <c r="U4" s="368">
        <f t="shared" ca="1" si="1"/>
        <v>0</v>
      </c>
      <c r="V4" s="368">
        <f t="shared" ca="1" si="1"/>
        <v>0</v>
      </c>
      <c r="W4" s="368">
        <f t="shared" ca="1" si="1"/>
        <v>0</v>
      </c>
      <c r="X4" s="368">
        <f ca="1">INDIRECT(ADDRESS($B2+2,COLUMN(X3)))</f>
        <v>0</v>
      </c>
      <c r="Y4" s="369">
        <f t="shared" ca="1" si="1"/>
        <v>0</v>
      </c>
    </row>
    <row r="5" spans="1:26" x14ac:dyDescent="0.2">
      <c r="B5" s="12"/>
      <c r="C5" s="12"/>
      <c r="D5" s="12"/>
      <c r="E5" s="12"/>
      <c r="F5" s="12"/>
      <c r="G5" s="12"/>
      <c r="H5" s="12"/>
      <c r="I5" s="12"/>
      <c r="J5" s="12"/>
      <c r="K5" s="12"/>
      <c r="L5" s="12"/>
      <c r="M5" s="12"/>
      <c r="N5" s="12"/>
      <c r="O5" s="12"/>
      <c r="P5" s="12"/>
      <c r="Q5" s="12"/>
      <c r="R5" s="12"/>
      <c r="S5" s="12"/>
      <c r="T5" s="12"/>
      <c r="U5" s="12"/>
      <c r="V5" s="12"/>
      <c r="W5" s="12"/>
      <c r="X5" s="12"/>
      <c r="Y5" s="12"/>
    </row>
    <row r="6" spans="1:26" x14ac:dyDescent="0.2">
      <c r="B6" s="12"/>
      <c r="C6" s="12"/>
      <c r="D6" s="12"/>
      <c r="E6" s="12"/>
      <c r="F6" s="12"/>
      <c r="G6" s="12"/>
      <c r="H6" s="12"/>
      <c r="I6" s="12"/>
      <c r="J6" s="12"/>
      <c r="K6" s="12"/>
      <c r="L6" s="12"/>
      <c r="M6" s="12"/>
      <c r="N6" s="12"/>
      <c r="O6" s="12"/>
      <c r="P6" s="12"/>
      <c r="Q6" s="12"/>
      <c r="R6" s="12"/>
      <c r="S6" s="12"/>
      <c r="T6" s="12"/>
      <c r="U6" s="12"/>
      <c r="V6" s="12"/>
      <c r="W6" s="12"/>
      <c r="X6" s="12"/>
      <c r="Y6" s="12"/>
    </row>
    <row r="7" spans="1:26" x14ac:dyDescent="0.2">
      <c r="B7" s="12"/>
      <c r="C7" s="12"/>
      <c r="D7" s="12"/>
      <c r="E7" s="12"/>
      <c r="F7" s="12"/>
      <c r="G7" s="12"/>
      <c r="H7" s="12"/>
      <c r="I7" s="12"/>
      <c r="J7" s="12"/>
      <c r="K7" s="12"/>
      <c r="L7" s="12"/>
      <c r="M7" s="12"/>
    </row>
    <row r="8" spans="1:26" x14ac:dyDescent="0.2">
      <c r="B8" s="12"/>
      <c r="C8" s="12"/>
      <c r="D8" s="12"/>
      <c r="E8" s="12"/>
      <c r="F8" s="12"/>
      <c r="G8" s="12"/>
      <c r="H8" s="12"/>
      <c r="I8" s="12"/>
      <c r="J8" s="12"/>
      <c r="K8" s="12"/>
      <c r="L8" s="12"/>
      <c r="M8" s="12"/>
    </row>
    <row r="9" spans="1:26" x14ac:dyDescent="0.2">
      <c r="B9" s="12"/>
      <c r="C9" s="12"/>
      <c r="D9" s="12"/>
      <c r="E9" s="12"/>
      <c r="F9" s="12"/>
      <c r="G9" s="12"/>
      <c r="H9" s="12"/>
      <c r="I9" s="12"/>
      <c r="J9" s="12"/>
      <c r="K9" s="12"/>
      <c r="L9" s="12"/>
      <c r="M9" s="12"/>
    </row>
    <row r="10" spans="1:26" x14ac:dyDescent="0.2">
      <c r="B10" s="12"/>
      <c r="C10" s="12"/>
      <c r="D10" s="12"/>
      <c r="E10" s="12"/>
      <c r="F10" s="12"/>
      <c r="G10" s="12"/>
      <c r="H10" s="12"/>
      <c r="I10" s="12"/>
      <c r="J10" s="12"/>
    </row>
    <row r="11" spans="1:26" x14ac:dyDescent="0.2">
      <c r="B11" s="12"/>
      <c r="C11" s="12"/>
      <c r="D11" s="12"/>
      <c r="E11" s="12"/>
      <c r="F11" s="12"/>
      <c r="G11" s="12"/>
      <c r="H11" s="12"/>
      <c r="I11" s="12"/>
      <c r="J11" s="12"/>
    </row>
    <row r="12" spans="1:26" x14ac:dyDescent="0.2">
      <c r="B12" s="12"/>
      <c r="C12" s="12"/>
      <c r="D12" s="12"/>
      <c r="E12" s="12"/>
      <c r="F12" s="12"/>
      <c r="G12" s="12"/>
      <c r="H12" s="12"/>
      <c r="I12" s="12"/>
      <c r="J12" s="12"/>
    </row>
    <row r="13" spans="1:26" x14ac:dyDescent="0.2">
      <c r="B13" s="12"/>
      <c r="C13" s="12"/>
      <c r="D13" s="12"/>
      <c r="E13" s="12"/>
      <c r="F13" s="12"/>
      <c r="G13" s="12"/>
      <c r="H13" s="12"/>
      <c r="I13" s="12"/>
      <c r="J13" s="12"/>
    </row>
    <row r="14" spans="1:26" x14ac:dyDescent="0.2">
      <c r="B14" s="12"/>
      <c r="C14" s="12"/>
      <c r="D14" s="12"/>
      <c r="E14" s="12"/>
      <c r="F14" s="12"/>
      <c r="G14" s="12"/>
      <c r="H14" s="12"/>
      <c r="I14" s="12"/>
      <c r="J14" s="12"/>
    </row>
    <row r="15" spans="1:26" x14ac:dyDescent="0.2">
      <c r="B15" s="12"/>
      <c r="C15" s="12"/>
      <c r="D15" s="12"/>
      <c r="E15" s="12"/>
      <c r="F15" s="12"/>
      <c r="G15" s="12"/>
      <c r="H15" s="12"/>
      <c r="I15" s="12"/>
      <c r="J15" s="12"/>
      <c r="K15" s="12"/>
      <c r="L15" s="12"/>
      <c r="M15" s="12"/>
    </row>
    <row r="16" spans="1:26" x14ac:dyDescent="0.2">
      <c r="B16" s="12"/>
      <c r="C16" s="12"/>
      <c r="D16" s="12"/>
      <c r="E16" s="12"/>
      <c r="F16" s="12"/>
      <c r="G16" s="12"/>
      <c r="H16" s="12"/>
      <c r="I16" s="12"/>
      <c r="J16" s="12"/>
      <c r="K16" s="12"/>
      <c r="L16" s="12"/>
      <c r="M16" s="12"/>
    </row>
    <row r="17" spans="1:25" x14ac:dyDescent="0.2">
      <c r="B17" s="12"/>
      <c r="C17" s="12"/>
      <c r="D17" s="12"/>
      <c r="E17" s="12"/>
      <c r="F17" s="12"/>
      <c r="G17" s="12"/>
      <c r="H17" s="12"/>
      <c r="I17" s="12"/>
      <c r="J17" s="12"/>
      <c r="K17" s="12"/>
      <c r="L17" s="12"/>
      <c r="M17" s="12"/>
    </row>
    <row r="18" spans="1:25" x14ac:dyDescent="0.2">
      <c r="B18" s="12"/>
      <c r="C18" s="12"/>
      <c r="D18" s="12"/>
      <c r="E18" s="12"/>
      <c r="F18" s="12"/>
      <c r="G18" s="12"/>
      <c r="H18" s="12"/>
      <c r="I18" s="12"/>
      <c r="J18" s="12"/>
      <c r="K18" s="12"/>
      <c r="L18" s="12"/>
      <c r="M18" s="12"/>
      <c r="N18" s="12"/>
      <c r="O18" s="12"/>
      <c r="P18" s="12"/>
      <c r="Q18" s="12"/>
      <c r="R18" s="12"/>
      <c r="S18" s="12"/>
      <c r="T18" s="12"/>
      <c r="U18" s="12"/>
      <c r="V18" s="12"/>
      <c r="W18" s="12"/>
      <c r="X18" s="12"/>
      <c r="Y18" s="12"/>
    </row>
    <row r="19" spans="1:25" x14ac:dyDescent="0.2">
      <c r="B19" s="12"/>
      <c r="C19" s="12"/>
      <c r="D19" s="12"/>
      <c r="E19" s="12"/>
      <c r="F19" s="12"/>
      <c r="G19" s="12"/>
      <c r="H19" s="12"/>
      <c r="I19" s="12"/>
      <c r="J19" s="12"/>
      <c r="K19" s="12"/>
      <c r="L19" s="12"/>
      <c r="M19" s="12"/>
      <c r="N19" s="12"/>
      <c r="O19" s="12"/>
      <c r="P19" s="12"/>
      <c r="Q19" s="12"/>
      <c r="R19" s="12"/>
      <c r="S19" s="12"/>
      <c r="T19" s="12"/>
      <c r="U19" s="12"/>
      <c r="V19" s="12"/>
      <c r="W19" s="12"/>
      <c r="X19" s="12"/>
      <c r="Y19" s="12"/>
    </row>
    <row r="20" spans="1:25" x14ac:dyDescent="0.2">
      <c r="B20" s="12"/>
      <c r="C20" s="12"/>
      <c r="D20" s="12"/>
      <c r="E20" s="12"/>
      <c r="F20" s="12"/>
      <c r="G20" s="12"/>
      <c r="H20" s="12"/>
      <c r="I20" s="12"/>
      <c r="J20" s="12"/>
      <c r="K20" s="12"/>
      <c r="L20" s="12"/>
      <c r="M20" s="12"/>
      <c r="N20" s="12"/>
      <c r="O20" s="12"/>
      <c r="P20" s="12"/>
      <c r="Q20" s="12"/>
      <c r="R20" s="12"/>
      <c r="S20" s="12"/>
      <c r="T20" s="12"/>
      <c r="U20" s="12"/>
      <c r="V20" s="12"/>
      <c r="W20" s="12"/>
      <c r="X20" s="12"/>
      <c r="Y20" s="12"/>
    </row>
    <row r="21" spans="1:25" x14ac:dyDescent="0.2">
      <c r="B21" s="12"/>
      <c r="C21" s="12"/>
      <c r="D21" s="12"/>
      <c r="E21" s="12"/>
      <c r="F21" s="12"/>
      <c r="G21" s="12"/>
      <c r="H21" s="12"/>
      <c r="I21" s="12"/>
      <c r="J21" s="12"/>
      <c r="K21" s="12"/>
      <c r="L21" s="12"/>
      <c r="M21" s="12"/>
      <c r="N21" s="12"/>
      <c r="O21" s="12"/>
      <c r="P21" s="12"/>
      <c r="Q21" s="12"/>
      <c r="R21" s="12"/>
      <c r="S21" s="12"/>
      <c r="T21" s="12"/>
      <c r="U21" s="12"/>
      <c r="V21" s="12"/>
      <c r="W21" s="12"/>
      <c r="X21" s="12"/>
      <c r="Y21" s="12"/>
    </row>
    <row r="22" spans="1:25" x14ac:dyDescent="0.2">
      <c r="B22" s="12"/>
      <c r="C22" s="12"/>
      <c r="D22" s="12"/>
      <c r="E22" s="12"/>
      <c r="F22" s="12"/>
      <c r="G22" s="12"/>
      <c r="H22" s="12"/>
      <c r="I22" s="12"/>
      <c r="J22" s="12"/>
      <c r="K22" s="12"/>
      <c r="L22" s="12"/>
      <c r="M22" s="12"/>
      <c r="N22" s="12"/>
      <c r="O22" s="12"/>
      <c r="P22" s="12"/>
      <c r="Q22" s="12"/>
      <c r="R22" s="12"/>
      <c r="S22" s="12"/>
      <c r="T22" s="12"/>
      <c r="U22" s="12"/>
      <c r="V22" s="12"/>
      <c r="W22" s="12"/>
      <c r="X22" s="12"/>
      <c r="Y22" s="12"/>
    </row>
    <row r="23" spans="1:25" x14ac:dyDescent="0.2">
      <c r="B23" s="12"/>
      <c r="C23" s="12"/>
      <c r="D23" s="12"/>
      <c r="E23" s="12"/>
      <c r="F23" s="12"/>
      <c r="G23" s="12"/>
      <c r="H23" s="12"/>
      <c r="I23" s="12"/>
      <c r="J23" s="12"/>
      <c r="K23" s="12"/>
      <c r="L23" s="12"/>
      <c r="M23" s="12"/>
      <c r="N23" s="12"/>
      <c r="O23" s="12"/>
      <c r="P23" s="12"/>
      <c r="Q23" s="12"/>
      <c r="R23" s="12"/>
      <c r="S23" s="12"/>
      <c r="T23" s="12"/>
      <c r="U23" s="12"/>
      <c r="V23" s="12"/>
      <c r="W23" s="12"/>
      <c r="X23" s="12"/>
      <c r="Y23" s="12"/>
    </row>
    <row r="25" spans="1:25" ht="13.5" thickBot="1" x14ac:dyDescent="0.25">
      <c r="A25" s="6" t="s">
        <v>276</v>
      </c>
    </row>
    <row r="26" spans="1:25" ht="13.5" thickBot="1" x14ac:dyDescent="0.25">
      <c r="A26" s="361" t="s">
        <v>309</v>
      </c>
      <c r="B26" s="359">
        <f>ROW(A26)</f>
        <v>26</v>
      </c>
      <c r="C26" s="363" t="s">
        <v>115</v>
      </c>
      <c r="D26" s="353">
        <f>SUM(B29:Y29)</f>
        <v>9.8449999999999989</v>
      </c>
      <c r="E26" s="363" t="s">
        <v>114</v>
      </c>
      <c r="F26" s="399">
        <f>D26/g/J26</f>
        <v>3.3452259599048584</v>
      </c>
      <c r="G26" s="363" t="s">
        <v>56</v>
      </c>
      <c r="H26" s="64">
        <v>0.3</v>
      </c>
      <c r="I26" s="363" t="s">
        <v>271</v>
      </c>
      <c r="J26" s="355">
        <f>H26-L26</f>
        <v>0.3</v>
      </c>
      <c r="K26" s="363" t="s">
        <v>272</v>
      </c>
      <c r="L26" s="64">
        <v>0</v>
      </c>
      <c r="M26" s="363" t="s">
        <v>57</v>
      </c>
      <c r="N26" s="65">
        <f>0.2*R26</f>
        <v>60</v>
      </c>
      <c r="O26" s="363" t="s">
        <v>59</v>
      </c>
      <c r="P26" s="65">
        <v>150</v>
      </c>
      <c r="Q26" s="363" t="s">
        <v>60</v>
      </c>
      <c r="R26" s="65">
        <v>300</v>
      </c>
      <c r="S26" s="363" t="s">
        <v>61</v>
      </c>
      <c r="T26" s="65">
        <v>90</v>
      </c>
      <c r="U26" s="363" t="s">
        <v>54</v>
      </c>
      <c r="V26" s="66" t="s">
        <v>276</v>
      </c>
      <c r="W26" s="12"/>
      <c r="X26" s="12"/>
      <c r="Y26" s="12"/>
    </row>
    <row r="27" spans="1:25" x14ac:dyDescent="0.2">
      <c r="A27" s="362" t="s">
        <v>33</v>
      </c>
      <c r="B27" s="370">
        <v>0</v>
      </c>
      <c r="C27" s="371">
        <v>1E-3</v>
      </c>
      <c r="D27" s="371">
        <v>0.02</v>
      </c>
      <c r="E27" s="371">
        <v>3.7999999999999999E-2</v>
      </c>
      <c r="F27" s="371">
        <v>0.04</v>
      </c>
      <c r="G27" s="371">
        <v>0.04</v>
      </c>
      <c r="H27" s="371">
        <v>0.04</v>
      </c>
      <c r="I27" s="371">
        <v>0.04</v>
      </c>
      <c r="J27" s="371">
        <v>0.04</v>
      </c>
      <c r="K27" s="371">
        <v>0.04</v>
      </c>
      <c r="L27" s="371">
        <v>0.04</v>
      </c>
      <c r="M27" s="371">
        <v>0.04</v>
      </c>
      <c r="N27" s="371">
        <v>0.04</v>
      </c>
      <c r="O27" s="371">
        <v>0.04</v>
      </c>
      <c r="P27" s="371">
        <v>0.04</v>
      </c>
      <c r="Q27" s="371">
        <v>0.04</v>
      </c>
      <c r="R27" s="371">
        <v>0.04</v>
      </c>
      <c r="S27" s="371">
        <v>0.04</v>
      </c>
      <c r="T27" s="371">
        <v>0.04</v>
      </c>
      <c r="U27" s="371">
        <v>0.04</v>
      </c>
      <c r="V27" s="371">
        <v>0.04</v>
      </c>
      <c r="W27" s="371">
        <v>0.04</v>
      </c>
      <c r="X27" s="371">
        <v>0.04</v>
      </c>
      <c r="Y27" s="381">
        <v>1000</v>
      </c>
    </row>
    <row r="28" spans="1:25" x14ac:dyDescent="0.2">
      <c r="A28" s="378" t="s">
        <v>34</v>
      </c>
      <c r="B28" s="372">
        <v>0</v>
      </c>
      <c r="C28" s="373">
        <v>310</v>
      </c>
      <c r="D28" s="373">
        <v>250</v>
      </c>
      <c r="E28" s="373">
        <v>212</v>
      </c>
      <c r="F28" s="373">
        <v>0</v>
      </c>
      <c r="G28" s="373">
        <v>0</v>
      </c>
      <c r="H28" s="373">
        <v>0</v>
      </c>
      <c r="I28" s="373">
        <v>0</v>
      </c>
      <c r="J28" s="373">
        <v>0</v>
      </c>
      <c r="K28" s="373">
        <v>0</v>
      </c>
      <c r="L28" s="373">
        <v>0</v>
      </c>
      <c r="M28" s="373">
        <v>0</v>
      </c>
      <c r="N28" s="373">
        <v>0</v>
      </c>
      <c r="O28" s="373">
        <v>0</v>
      </c>
      <c r="P28" s="373">
        <v>0</v>
      </c>
      <c r="Q28" s="373">
        <v>0</v>
      </c>
      <c r="R28" s="373">
        <v>0</v>
      </c>
      <c r="S28" s="373">
        <v>0</v>
      </c>
      <c r="T28" s="373">
        <v>0</v>
      </c>
      <c r="U28" s="373">
        <v>0</v>
      </c>
      <c r="V28" s="373">
        <v>0</v>
      </c>
      <c r="W28" s="373">
        <v>0</v>
      </c>
      <c r="X28" s="373">
        <v>0</v>
      </c>
      <c r="Y28" s="382">
        <v>0</v>
      </c>
    </row>
    <row r="29" spans="1:25" ht="13.5" thickBot="1" x14ac:dyDescent="0.25">
      <c r="A29" s="379" t="s">
        <v>116</v>
      </c>
      <c r="B29" s="374">
        <f t="shared" ref="B29:X29" si="2">(C28+B28)*(C27-B27)/2</f>
        <v>0.155</v>
      </c>
      <c r="C29" s="375">
        <f t="shared" si="2"/>
        <v>5.32</v>
      </c>
      <c r="D29" s="375">
        <f t="shared" si="2"/>
        <v>4.1579999999999995</v>
      </c>
      <c r="E29" s="375">
        <f t="shared" si="2"/>
        <v>0.21200000000000019</v>
      </c>
      <c r="F29" s="375">
        <f t="shared" si="2"/>
        <v>0</v>
      </c>
      <c r="G29" s="375">
        <f t="shared" si="2"/>
        <v>0</v>
      </c>
      <c r="H29" s="375">
        <f t="shared" si="2"/>
        <v>0</v>
      </c>
      <c r="I29" s="375">
        <f t="shared" si="2"/>
        <v>0</v>
      </c>
      <c r="J29" s="375">
        <f t="shared" si="2"/>
        <v>0</v>
      </c>
      <c r="K29" s="375">
        <f t="shared" si="2"/>
        <v>0</v>
      </c>
      <c r="L29" s="375">
        <f t="shared" si="2"/>
        <v>0</v>
      </c>
      <c r="M29" s="375">
        <f t="shared" si="2"/>
        <v>0</v>
      </c>
      <c r="N29" s="375">
        <f t="shared" si="2"/>
        <v>0</v>
      </c>
      <c r="O29" s="375">
        <f t="shared" si="2"/>
        <v>0</v>
      </c>
      <c r="P29" s="375">
        <f t="shared" si="2"/>
        <v>0</v>
      </c>
      <c r="Q29" s="375">
        <f t="shared" si="2"/>
        <v>0</v>
      </c>
      <c r="R29" s="375">
        <f t="shared" si="2"/>
        <v>0</v>
      </c>
      <c r="S29" s="375">
        <f t="shared" si="2"/>
        <v>0</v>
      </c>
      <c r="T29" s="375">
        <f t="shared" si="2"/>
        <v>0</v>
      </c>
      <c r="U29" s="375">
        <f t="shared" si="2"/>
        <v>0</v>
      </c>
      <c r="V29" s="375">
        <f t="shared" si="2"/>
        <v>0</v>
      </c>
      <c r="W29" s="375">
        <f t="shared" si="2"/>
        <v>0</v>
      </c>
      <c r="X29" s="375">
        <f t="shared" si="2"/>
        <v>0</v>
      </c>
      <c r="Y29" s="369"/>
    </row>
    <row r="30" spans="1:25" ht="13.5" thickBot="1" x14ac:dyDescent="0.25">
      <c r="A30" s="12"/>
      <c r="L30" s="12"/>
      <c r="M30" s="12"/>
      <c r="N30" s="12"/>
      <c r="O30" s="12"/>
      <c r="P30" s="12"/>
      <c r="Q30" s="12"/>
      <c r="R30" s="12"/>
      <c r="S30" s="12"/>
      <c r="T30" s="12"/>
      <c r="U30" s="12"/>
      <c r="V30" s="12"/>
      <c r="W30" s="12"/>
      <c r="X30" s="12"/>
      <c r="Y30" s="12"/>
    </row>
    <row r="31" spans="1:25" ht="13.5" thickBot="1" x14ac:dyDescent="0.25">
      <c r="A31" s="361" t="s">
        <v>310</v>
      </c>
      <c r="B31" s="359">
        <f>ROW(A31)</f>
        <v>31</v>
      </c>
      <c r="C31" s="363" t="s">
        <v>115</v>
      </c>
      <c r="D31" s="353">
        <f>SUM(B34:Y34)</f>
        <v>13.814500000000002</v>
      </c>
      <c r="E31" s="363" t="s">
        <v>114</v>
      </c>
      <c r="F31" s="399">
        <f>D31/g/J31</f>
        <v>3.1293464718541175</v>
      </c>
      <c r="G31" s="363" t="s">
        <v>56</v>
      </c>
      <c r="H31" s="64">
        <v>0.45</v>
      </c>
      <c r="I31" s="363" t="s">
        <v>271</v>
      </c>
      <c r="J31" s="355">
        <f>H31-L31</f>
        <v>0.45</v>
      </c>
      <c r="K31" s="363" t="s">
        <v>272</v>
      </c>
      <c r="L31" s="64">
        <v>0</v>
      </c>
      <c r="M31" s="363" t="s">
        <v>57</v>
      </c>
      <c r="N31" s="65">
        <f>0.3*R31</f>
        <v>90</v>
      </c>
      <c r="O31" s="363" t="s">
        <v>59</v>
      </c>
      <c r="P31" s="65">
        <v>150</v>
      </c>
      <c r="Q31" s="363" t="s">
        <v>60</v>
      </c>
      <c r="R31" s="65">
        <v>300</v>
      </c>
      <c r="S31" s="363" t="s">
        <v>61</v>
      </c>
      <c r="T31" s="65">
        <v>90</v>
      </c>
      <c r="U31" s="363" t="s">
        <v>54</v>
      </c>
      <c r="V31" s="66" t="s">
        <v>276</v>
      </c>
      <c r="W31" s="12"/>
      <c r="X31" s="12"/>
      <c r="Y31" s="12"/>
    </row>
    <row r="32" spans="1:25" x14ac:dyDescent="0.2">
      <c r="A32" s="362" t="s">
        <v>33</v>
      </c>
      <c r="B32" s="370">
        <v>0</v>
      </c>
      <c r="C32" s="371">
        <v>1E-3</v>
      </c>
      <c r="D32" s="371">
        <v>0.02</v>
      </c>
      <c r="E32" s="371">
        <v>0.04</v>
      </c>
      <c r="F32" s="371">
        <v>6.0999999999999999E-2</v>
      </c>
      <c r="G32" s="371">
        <v>6.2E-2</v>
      </c>
      <c r="H32" s="371">
        <v>6.2E-2</v>
      </c>
      <c r="I32" s="371">
        <v>6.2E-2</v>
      </c>
      <c r="J32" s="371">
        <v>6.2E-2</v>
      </c>
      <c r="K32" s="371">
        <v>6.2E-2</v>
      </c>
      <c r="L32" s="371">
        <v>6.2E-2</v>
      </c>
      <c r="M32" s="371">
        <v>6.2E-2</v>
      </c>
      <c r="N32" s="371">
        <v>6.2E-2</v>
      </c>
      <c r="O32" s="371">
        <v>6.2E-2</v>
      </c>
      <c r="P32" s="371">
        <v>6.2E-2</v>
      </c>
      <c r="Q32" s="371">
        <v>6.2E-2</v>
      </c>
      <c r="R32" s="371">
        <v>6.2E-2</v>
      </c>
      <c r="S32" s="371">
        <v>6.2E-2</v>
      </c>
      <c r="T32" s="371">
        <v>6.2E-2</v>
      </c>
      <c r="U32" s="371">
        <v>6.2E-2</v>
      </c>
      <c r="V32" s="371">
        <v>6.2E-2</v>
      </c>
      <c r="W32" s="371">
        <v>6.2E-2</v>
      </c>
      <c r="X32" s="371">
        <v>6.2E-2</v>
      </c>
      <c r="Y32" s="381">
        <v>1000</v>
      </c>
    </row>
    <row r="33" spans="1:25" x14ac:dyDescent="0.2">
      <c r="A33" s="378" t="s">
        <v>34</v>
      </c>
      <c r="B33" s="372">
        <v>0</v>
      </c>
      <c r="C33" s="373">
        <v>310</v>
      </c>
      <c r="D33" s="373">
        <v>245</v>
      </c>
      <c r="E33" s="373">
        <v>200</v>
      </c>
      <c r="F33" s="373">
        <v>167</v>
      </c>
      <c r="G33" s="373">
        <v>0</v>
      </c>
      <c r="H33" s="373">
        <v>0</v>
      </c>
      <c r="I33" s="373">
        <v>0</v>
      </c>
      <c r="J33" s="373">
        <v>0</v>
      </c>
      <c r="K33" s="373">
        <v>0</v>
      </c>
      <c r="L33" s="373">
        <v>0</v>
      </c>
      <c r="M33" s="373">
        <v>0</v>
      </c>
      <c r="N33" s="373">
        <v>0</v>
      </c>
      <c r="O33" s="373">
        <v>0</v>
      </c>
      <c r="P33" s="373">
        <v>0</v>
      </c>
      <c r="Q33" s="373">
        <v>0</v>
      </c>
      <c r="R33" s="373">
        <v>0</v>
      </c>
      <c r="S33" s="373">
        <v>0</v>
      </c>
      <c r="T33" s="373">
        <v>0</v>
      </c>
      <c r="U33" s="373">
        <v>0</v>
      </c>
      <c r="V33" s="373">
        <v>0</v>
      </c>
      <c r="W33" s="373">
        <v>0</v>
      </c>
      <c r="X33" s="373">
        <v>0</v>
      </c>
      <c r="Y33" s="382">
        <v>0</v>
      </c>
    </row>
    <row r="34" spans="1:25" ht="13.5" thickBot="1" x14ac:dyDescent="0.25">
      <c r="A34" s="379" t="s">
        <v>116</v>
      </c>
      <c r="B34" s="374">
        <f t="shared" ref="B34:X34" si="3">(C33+B33)*(C32-B32)/2</f>
        <v>0.155</v>
      </c>
      <c r="C34" s="375">
        <f t="shared" si="3"/>
        <v>5.2725</v>
      </c>
      <c r="D34" s="375">
        <f t="shared" si="3"/>
        <v>4.45</v>
      </c>
      <c r="E34" s="375">
        <f t="shared" si="3"/>
        <v>3.8534999999999995</v>
      </c>
      <c r="F34" s="375">
        <f t="shared" si="3"/>
        <v>8.3500000000000074E-2</v>
      </c>
      <c r="G34" s="375">
        <f t="shared" si="3"/>
        <v>0</v>
      </c>
      <c r="H34" s="375">
        <f t="shared" si="3"/>
        <v>0</v>
      </c>
      <c r="I34" s="375">
        <f t="shared" si="3"/>
        <v>0</v>
      </c>
      <c r="J34" s="375">
        <f t="shared" si="3"/>
        <v>0</v>
      </c>
      <c r="K34" s="375">
        <f t="shared" si="3"/>
        <v>0</v>
      </c>
      <c r="L34" s="375">
        <f t="shared" si="3"/>
        <v>0</v>
      </c>
      <c r="M34" s="375">
        <f t="shared" si="3"/>
        <v>0</v>
      </c>
      <c r="N34" s="375">
        <f t="shared" si="3"/>
        <v>0</v>
      </c>
      <c r="O34" s="375">
        <f t="shared" si="3"/>
        <v>0</v>
      </c>
      <c r="P34" s="375">
        <f t="shared" si="3"/>
        <v>0</v>
      </c>
      <c r="Q34" s="375">
        <f t="shared" si="3"/>
        <v>0</v>
      </c>
      <c r="R34" s="375">
        <f t="shared" si="3"/>
        <v>0</v>
      </c>
      <c r="S34" s="375">
        <f t="shared" si="3"/>
        <v>0</v>
      </c>
      <c r="T34" s="375">
        <f t="shared" si="3"/>
        <v>0</v>
      </c>
      <c r="U34" s="375">
        <f t="shared" si="3"/>
        <v>0</v>
      </c>
      <c r="V34" s="375">
        <f t="shared" si="3"/>
        <v>0</v>
      </c>
      <c r="W34" s="375">
        <f t="shared" si="3"/>
        <v>0</v>
      </c>
      <c r="X34" s="375">
        <f t="shared" si="3"/>
        <v>0</v>
      </c>
      <c r="Y34" s="369"/>
    </row>
    <row r="35" spans="1:25" ht="13.5" thickBot="1" x14ac:dyDescent="0.25">
      <c r="B35" s="12"/>
      <c r="C35" s="12"/>
      <c r="D35" s="12"/>
      <c r="E35" s="12"/>
      <c r="F35" s="12"/>
      <c r="G35" s="12"/>
      <c r="H35" s="12"/>
      <c r="I35" s="12"/>
      <c r="J35" s="12"/>
      <c r="K35" s="12"/>
      <c r="L35" s="12"/>
      <c r="M35" s="12"/>
      <c r="N35" s="12"/>
      <c r="O35" s="12"/>
      <c r="P35" s="12"/>
      <c r="Q35" s="12"/>
      <c r="R35" s="12"/>
      <c r="S35" s="12"/>
      <c r="T35" s="12"/>
      <c r="U35" s="12"/>
      <c r="V35" s="12"/>
      <c r="W35" s="12"/>
      <c r="X35" s="12"/>
      <c r="Y35" s="12"/>
    </row>
    <row r="36" spans="1:25" ht="13.5" thickBot="1" x14ac:dyDescent="0.25">
      <c r="A36" s="361" t="s">
        <v>311</v>
      </c>
      <c r="B36" s="359">
        <f>ROW(A36)</f>
        <v>36</v>
      </c>
      <c r="C36" s="363" t="s">
        <v>115</v>
      </c>
      <c r="D36" s="353">
        <f>SUM(B39:Y39)</f>
        <v>17.144499999999997</v>
      </c>
      <c r="E36" s="363" t="s">
        <v>114</v>
      </c>
      <c r="F36" s="399">
        <f>D36/g/J36</f>
        <v>2.9127590893645934</v>
      </c>
      <c r="G36" s="363" t="s">
        <v>56</v>
      </c>
      <c r="H36" s="64">
        <v>0.6</v>
      </c>
      <c r="I36" s="363" t="s">
        <v>271</v>
      </c>
      <c r="J36" s="355">
        <f>H36-L36</f>
        <v>0.6</v>
      </c>
      <c r="K36" s="363" t="s">
        <v>272</v>
      </c>
      <c r="L36" s="64">
        <v>0</v>
      </c>
      <c r="M36" s="363" t="s">
        <v>57</v>
      </c>
      <c r="N36" s="65">
        <f>0.4*R36</f>
        <v>120</v>
      </c>
      <c r="O36" s="363" t="s">
        <v>59</v>
      </c>
      <c r="P36" s="65">
        <v>150</v>
      </c>
      <c r="Q36" s="363" t="s">
        <v>60</v>
      </c>
      <c r="R36" s="65">
        <v>300</v>
      </c>
      <c r="S36" s="363" t="s">
        <v>61</v>
      </c>
      <c r="T36" s="65">
        <v>90</v>
      </c>
      <c r="U36" s="363" t="s">
        <v>54</v>
      </c>
      <c r="V36" s="66" t="s">
        <v>276</v>
      </c>
      <c r="W36" s="12"/>
      <c r="X36" s="12"/>
      <c r="Y36" s="12"/>
    </row>
    <row r="37" spans="1:25" x14ac:dyDescent="0.2">
      <c r="A37" s="362" t="s">
        <v>33</v>
      </c>
      <c r="B37" s="370">
        <v>0</v>
      </c>
      <c r="C37" s="371">
        <v>1E-3</v>
      </c>
      <c r="D37" s="371">
        <v>0.02</v>
      </c>
      <c r="E37" s="371">
        <v>0.04</v>
      </c>
      <c r="F37" s="371">
        <v>0.06</v>
      </c>
      <c r="G37" s="371">
        <v>0.08</v>
      </c>
      <c r="H37" s="371">
        <v>8.7999999999999995E-2</v>
      </c>
      <c r="I37" s="371">
        <v>8.8999999999999996E-2</v>
      </c>
      <c r="J37" s="371">
        <v>8.8999999999999996E-2</v>
      </c>
      <c r="K37" s="371">
        <v>8.8999999999999996E-2</v>
      </c>
      <c r="L37" s="371">
        <v>8.8999999999999996E-2</v>
      </c>
      <c r="M37" s="371">
        <v>8.8999999999999996E-2</v>
      </c>
      <c r="N37" s="371">
        <v>8.8999999999999996E-2</v>
      </c>
      <c r="O37" s="371">
        <v>8.8999999999999996E-2</v>
      </c>
      <c r="P37" s="371">
        <v>8.8999999999999996E-2</v>
      </c>
      <c r="Q37" s="371">
        <v>8.8999999999999996E-2</v>
      </c>
      <c r="R37" s="371">
        <v>8.8999999999999996E-2</v>
      </c>
      <c r="S37" s="371">
        <v>8.8999999999999996E-2</v>
      </c>
      <c r="T37" s="371">
        <v>8.8999999999999996E-2</v>
      </c>
      <c r="U37" s="371">
        <v>8.8999999999999996E-2</v>
      </c>
      <c r="V37" s="371">
        <v>8.8999999999999996E-2</v>
      </c>
      <c r="W37" s="371">
        <v>8.8999999999999996E-2</v>
      </c>
      <c r="X37" s="371">
        <v>8.8999999999999996E-2</v>
      </c>
      <c r="Y37" s="381">
        <v>1000</v>
      </c>
    </row>
    <row r="38" spans="1:25" x14ac:dyDescent="0.2">
      <c r="A38" s="378" t="s">
        <v>34</v>
      </c>
      <c r="B38" s="372">
        <v>0</v>
      </c>
      <c r="C38" s="373">
        <v>310</v>
      </c>
      <c r="D38" s="373">
        <v>240</v>
      </c>
      <c r="E38" s="373">
        <v>190</v>
      </c>
      <c r="F38" s="373">
        <v>157</v>
      </c>
      <c r="G38" s="373">
        <v>133</v>
      </c>
      <c r="H38" s="373">
        <v>125</v>
      </c>
      <c r="I38" s="373">
        <v>0</v>
      </c>
      <c r="J38" s="373">
        <v>0</v>
      </c>
      <c r="K38" s="373">
        <v>0</v>
      </c>
      <c r="L38" s="373">
        <v>0</v>
      </c>
      <c r="M38" s="373">
        <v>0</v>
      </c>
      <c r="N38" s="373">
        <v>0</v>
      </c>
      <c r="O38" s="373">
        <v>0</v>
      </c>
      <c r="P38" s="373">
        <v>0</v>
      </c>
      <c r="Q38" s="373">
        <v>0</v>
      </c>
      <c r="R38" s="373">
        <v>0</v>
      </c>
      <c r="S38" s="373">
        <v>0</v>
      </c>
      <c r="T38" s="373">
        <v>0</v>
      </c>
      <c r="U38" s="373">
        <v>0</v>
      </c>
      <c r="V38" s="373">
        <v>0</v>
      </c>
      <c r="W38" s="373">
        <v>0</v>
      </c>
      <c r="X38" s="373">
        <v>0</v>
      </c>
      <c r="Y38" s="382">
        <v>0</v>
      </c>
    </row>
    <row r="39" spans="1:25" ht="13.5" thickBot="1" x14ac:dyDescent="0.25">
      <c r="A39" s="379" t="s">
        <v>116</v>
      </c>
      <c r="B39" s="374">
        <f t="shared" ref="B39:X39" si="4">(C38+B38)*(C37-B37)/2</f>
        <v>0.155</v>
      </c>
      <c r="C39" s="375">
        <f t="shared" si="4"/>
        <v>5.2249999999999996</v>
      </c>
      <c r="D39" s="375">
        <f t="shared" si="4"/>
        <v>4.3</v>
      </c>
      <c r="E39" s="375">
        <f t="shared" si="4"/>
        <v>3.4699999999999993</v>
      </c>
      <c r="F39" s="375">
        <f t="shared" si="4"/>
        <v>2.9000000000000004</v>
      </c>
      <c r="G39" s="375">
        <f t="shared" si="4"/>
        <v>1.0319999999999991</v>
      </c>
      <c r="H39" s="375">
        <f t="shared" si="4"/>
        <v>6.2500000000000056E-2</v>
      </c>
      <c r="I39" s="375">
        <f t="shared" si="4"/>
        <v>0</v>
      </c>
      <c r="J39" s="375">
        <f t="shared" si="4"/>
        <v>0</v>
      </c>
      <c r="K39" s="375">
        <f t="shared" si="4"/>
        <v>0</v>
      </c>
      <c r="L39" s="375">
        <f t="shared" si="4"/>
        <v>0</v>
      </c>
      <c r="M39" s="375">
        <f t="shared" si="4"/>
        <v>0</v>
      </c>
      <c r="N39" s="375">
        <f t="shared" si="4"/>
        <v>0</v>
      </c>
      <c r="O39" s="375">
        <f t="shared" si="4"/>
        <v>0</v>
      </c>
      <c r="P39" s="375">
        <f t="shared" si="4"/>
        <v>0</v>
      </c>
      <c r="Q39" s="375">
        <f t="shared" si="4"/>
        <v>0</v>
      </c>
      <c r="R39" s="375">
        <f t="shared" si="4"/>
        <v>0</v>
      </c>
      <c r="S39" s="375">
        <f t="shared" si="4"/>
        <v>0</v>
      </c>
      <c r="T39" s="375">
        <f t="shared" si="4"/>
        <v>0</v>
      </c>
      <c r="U39" s="375">
        <f t="shared" si="4"/>
        <v>0</v>
      </c>
      <c r="V39" s="375">
        <f t="shared" si="4"/>
        <v>0</v>
      </c>
      <c r="W39" s="375">
        <f t="shared" si="4"/>
        <v>0</v>
      </c>
      <c r="X39" s="375">
        <f t="shared" si="4"/>
        <v>0</v>
      </c>
      <c r="Y39" s="369"/>
    </row>
    <row r="40" spans="1:25" ht="13.5" thickBot="1" x14ac:dyDescent="0.25">
      <c r="A40" s="12"/>
      <c r="L40" s="12"/>
      <c r="M40" s="12"/>
      <c r="N40" s="12"/>
      <c r="O40" s="12"/>
      <c r="P40" s="12"/>
      <c r="Q40" s="12"/>
      <c r="R40" s="12"/>
      <c r="S40" s="12"/>
      <c r="T40" s="12"/>
      <c r="U40" s="12"/>
      <c r="V40" s="12"/>
      <c r="W40" s="12"/>
      <c r="X40" s="12"/>
      <c r="Y40" s="12"/>
    </row>
    <row r="41" spans="1:25" ht="13.5" thickBot="1" x14ac:dyDescent="0.25">
      <c r="A41" s="361" t="s">
        <v>312</v>
      </c>
      <c r="B41" s="359">
        <f>ROW(A41)</f>
        <v>41</v>
      </c>
      <c r="C41" s="363" t="s">
        <v>115</v>
      </c>
      <c r="D41" s="353">
        <f>SUM(B44:Y44)</f>
        <v>19.415000000000003</v>
      </c>
      <c r="E41" s="363" t="s">
        <v>114</v>
      </c>
      <c r="F41" s="399">
        <f>D41/g/J41</f>
        <v>2.6388039415562354</v>
      </c>
      <c r="G41" s="363" t="s">
        <v>56</v>
      </c>
      <c r="H41" s="64">
        <v>0.75</v>
      </c>
      <c r="I41" s="363" t="s">
        <v>271</v>
      </c>
      <c r="J41" s="355">
        <f>H41-L41</f>
        <v>0.75</v>
      </c>
      <c r="K41" s="363" t="s">
        <v>272</v>
      </c>
      <c r="L41" s="64">
        <v>0</v>
      </c>
      <c r="M41" s="363" t="s">
        <v>57</v>
      </c>
      <c r="N41" s="65">
        <f>0.5*R41</f>
        <v>150</v>
      </c>
      <c r="O41" s="363" t="s">
        <v>59</v>
      </c>
      <c r="P41" s="65">
        <v>150</v>
      </c>
      <c r="Q41" s="363" t="s">
        <v>60</v>
      </c>
      <c r="R41" s="65">
        <v>300</v>
      </c>
      <c r="S41" s="363" t="s">
        <v>61</v>
      </c>
      <c r="T41" s="65">
        <v>90</v>
      </c>
      <c r="U41" s="363" t="s">
        <v>54</v>
      </c>
      <c r="V41" s="66" t="s">
        <v>276</v>
      </c>
      <c r="W41" s="12"/>
      <c r="X41" s="12"/>
      <c r="Y41" s="12"/>
    </row>
    <row r="42" spans="1:25" x14ac:dyDescent="0.2">
      <c r="A42" s="362" t="s">
        <v>33</v>
      </c>
      <c r="B42" s="370">
        <v>0</v>
      </c>
      <c r="C42" s="371">
        <v>1E-3</v>
      </c>
      <c r="D42" s="371">
        <v>0.02</v>
      </c>
      <c r="E42" s="371">
        <v>0.04</v>
      </c>
      <c r="F42" s="371">
        <v>0.06</v>
      </c>
      <c r="G42" s="371">
        <v>0.08</v>
      </c>
      <c r="H42" s="371">
        <v>0.1</v>
      </c>
      <c r="I42" s="371">
        <v>0.123</v>
      </c>
      <c r="J42" s="371">
        <v>0.124</v>
      </c>
      <c r="K42" s="371">
        <v>0.124</v>
      </c>
      <c r="L42" s="371">
        <v>0.124</v>
      </c>
      <c r="M42" s="371">
        <v>0.124</v>
      </c>
      <c r="N42" s="371">
        <v>0.124</v>
      </c>
      <c r="O42" s="371">
        <v>0.124</v>
      </c>
      <c r="P42" s="371">
        <v>0.124</v>
      </c>
      <c r="Q42" s="371">
        <v>0.124</v>
      </c>
      <c r="R42" s="371">
        <v>0.124</v>
      </c>
      <c r="S42" s="371">
        <v>0.124</v>
      </c>
      <c r="T42" s="371">
        <v>0.124</v>
      </c>
      <c r="U42" s="371">
        <v>0.124</v>
      </c>
      <c r="V42" s="371">
        <v>0.124</v>
      </c>
      <c r="W42" s="371">
        <v>0.124</v>
      </c>
      <c r="X42" s="371">
        <v>0.124</v>
      </c>
      <c r="Y42" s="381">
        <v>1000</v>
      </c>
    </row>
    <row r="43" spans="1:25" x14ac:dyDescent="0.2">
      <c r="A43" s="378" t="s">
        <v>34</v>
      </c>
      <c r="B43" s="372">
        <v>0</v>
      </c>
      <c r="C43" s="373">
        <v>310</v>
      </c>
      <c r="D43" s="373">
        <v>230</v>
      </c>
      <c r="E43" s="373">
        <v>175</v>
      </c>
      <c r="F43" s="373">
        <v>140</v>
      </c>
      <c r="G43" s="373">
        <v>118</v>
      </c>
      <c r="H43" s="373">
        <v>100</v>
      </c>
      <c r="I43" s="373">
        <v>85</v>
      </c>
      <c r="J43" s="373">
        <v>0</v>
      </c>
      <c r="K43" s="373">
        <v>0</v>
      </c>
      <c r="L43" s="373">
        <v>0</v>
      </c>
      <c r="M43" s="373">
        <v>0</v>
      </c>
      <c r="N43" s="373">
        <v>0</v>
      </c>
      <c r="O43" s="373">
        <v>0</v>
      </c>
      <c r="P43" s="373">
        <v>0</v>
      </c>
      <c r="Q43" s="373">
        <v>0</v>
      </c>
      <c r="R43" s="373">
        <v>0</v>
      </c>
      <c r="S43" s="373">
        <v>0</v>
      </c>
      <c r="T43" s="373">
        <v>0</v>
      </c>
      <c r="U43" s="373">
        <v>0</v>
      </c>
      <c r="V43" s="373">
        <v>0</v>
      </c>
      <c r="W43" s="373">
        <v>0</v>
      </c>
      <c r="X43" s="373">
        <v>0</v>
      </c>
      <c r="Y43" s="382">
        <v>0</v>
      </c>
    </row>
    <row r="44" spans="1:25" ht="13.5" thickBot="1" x14ac:dyDescent="0.25">
      <c r="A44" s="379" t="s">
        <v>116</v>
      </c>
      <c r="B44" s="374">
        <f t="shared" ref="B44:X44" si="5">(C43+B43)*(C42-B42)/2</f>
        <v>0.155</v>
      </c>
      <c r="C44" s="375">
        <f t="shared" si="5"/>
        <v>5.13</v>
      </c>
      <c r="D44" s="375">
        <f t="shared" si="5"/>
        <v>4.05</v>
      </c>
      <c r="E44" s="375">
        <f t="shared" si="5"/>
        <v>3.1499999999999995</v>
      </c>
      <c r="F44" s="375">
        <f t="shared" si="5"/>
        <v>2.5800000000000005</v>
      </c>
      <c r="G44" s="375">
        <f t="shared" si="5"/>
        <v>2.1800000000000006</v>
      </c>
      <c r="H44" s="375">
        <f t="shared" si="5"/>
        <v>2.1274999999999995</v>
      </c>
      <c r="I44" s="375">
        <f t="shared" si="5"/>
        <v>4.2500000000000038E-2</v>
      </c>
      <c r="J44" s="375">
        <f t="shared" si="5"/>
        <v>0</v>
      </c>
      <c r="K44" s="375">
        <f t="shared" si="5"/>
        <v>0</v>
      </c>
      <c r="L44" s="375">
        <f t="shared" si="5"/>
        <v>0</v>
      </c>
      <c r="M44" s="375">
        <f t="shared" si="5"/>
        <v>0</v>
      </c>
      <c r="N44" s="375">
        <f t="shared" si="5"/>
        <v>0</v>
      </c>
      <c r="O44" s="375">
        <f t="shared" si="5"/>
        <v>0</v>
      </c>
      <c r="P44" s="375">
        <f t="shared" si="5"/>
        <v>0</v>
      </c>
      <c r="Q44" s="375">
        <f t="shared" si="5"/>
        <v>0</v>
      </c>
      <c r="R44" s="375">
        <f t="shared" si="5"/>
        <v>0</v>
      </c>
      <c r="S44" s="375">
        <f t="shared" si="5"/>
        <v>0</v>
      </c>
      <c r="T44" s="375">
        <f t="shared" si="5"/>
        <v>0</v>
      </c>
      <c r="U44" s="375">
        <f t="shared" si="5"/>
        <v>0</v>
      </c>
      <c r="V44" s="375">
        <f t="shared" si="5"/>
        <v>0</v>
      </c>
      <c r="W44" s="375">
        <f t="shared" si="5"/>
        <v>0</v>
      </c>
      <c r="X44" s="375">
        <f t="shared" si="5"/>
        <v>0</v>
      </c>
      <c r="Y44" s="369"/>
    </row>
    <row r="45" spans="1:25" ht="13.5" thickBot="1" x14ac:dyDescent="0.25"/>
    <row r="46" spans="1:25" ht="13.5" thickBot="1" x14ac:dyDescent="0.25">
      <c r="A46" s="361" t="s">
        <v>277</v>
      </c>
      <c r="B46" s="359">
        <f>ROW(A46)</f>
        <v>46</v>
      </c>
      <c r="C46" s="363" t="s">
        <v>115</v>
      </c>
      <c r="D46" s="353">
        <f>SUM(B49:Y49)</f>
        <v>12.8695</v>
      </c>
      <c r="E46" s="363" t="s">
        <v>114</v>
      </c>
      <c r="F46" s="399">
        <f>D46/g/J46</f>
        <v>3.2796890927624869</v>
      </c>
      <c r="G46" s="363" t="s">
        <v>56</v>
      </c>
      <c r="H46" s="64">
        <v>0.5</v>
      </c>
      <c r="I46" s="363" t="s">
        <v>271</v>
      </c>
      <c r="J46" s="355">
        <f>H46-L46</f>
        <v>0.4</v>
      </c>
      <c r="K46" s="363" t="s">
        <v>272</v>
      </c>
      <c r="L46" s="64">
        <v>0.1</v>
      </c>
      <c r="M46" s="363" t="s">
        <v>57</v>
      </c>
      <c r="N46" s="65">
        <f>0.2*R46</f>
        <v>60</v>
      </c>
      <c r="O46" s="363" t="s">
        <v>59</v>
      </c>
      <c r="P46" s="65">
        <v>150</v>
      </c>
      <c r="Q46" s="363" t="s">
        <v>60</v>
      </c>
      <c r="R46" s="65">
        <v>300</v>
      </c>
      <c r="S46" s="363" t="s">
        <v>61</v>
      </c>
      <c r="T46" s="65">
        <v>98</v>
      </c>
      <c r="U46" s="363" t="s">
        <v>54</v>
      </c>
      <c r="V46" s="66" t="s">
        <v>276</v>
      </c>
      <c r="W46" s="12"/>
      <c r="X46" s="12"/>
      <c r="Y46" s="12"/>
    </row>
    <row r="47" spans="1:25" x14ac:dyDescent="0.2">
      <c r="A47" s="362" t="s">
        <v>33</v>
      </c>
      <c r="B47" s="370">
        <v>0</v>
      </c>
      <c r="C47" s="371">
        <v>1E-3</v>
      </c>
      <c r="D47" s="371">
        <v>0.02</v>
      </c>
      <c r="E47" s="371">
        <v>0.04</v>
      </c>
      <c r="F47" s="371">
        <v>0.05</v>
      </c>
      <c r="G47" s="371">
        <v>5.0999999999999997E-2</v>
      </c>
      <c r="H47" s="371">
        <v>5.0999999999999997E-2</v>
      </c>
      <c r="I47" s="371">
        <v>5.0999999999999997E-2</v>
      </c>
      <c r="J47" s="371">
        <v>5.0999999999999997E-2</v>
      </c>
      <c r="K47" s="371">
        <v>5.0999999999999997E-2</v>
      </c>
      <c r="L47" s="371">
        <v>5.0999999999999997E-2</v>
      </c>
      <c r="M47" s="371">
        <v>5.0999999999999997E-2</v>
      </c>
      <c r="N47" s="371">
        <v>5.0999999999999997E-2</v>
      </c>
      <c r="O47" s="371">
        <v>5.0999999999999997E-2</v>
      </c>
      <c r="P47" s="371">
        <v>5.0999999999999997E-2</v>
      </c>
      <c r="Q47" s="371">
        <v>5.0999999999999997E-2</v>
      </c>
      <c r="R47" s="371">
        <v>5.0999999999999997E-2</v>
      </c>
      <c r="S47" s="371">
        <v>5.0999999999999997E-2</v>
      </c>
      <c r="T47" s="371">
        <v>5.0999999999999997E-2</v>
      </c>
      <c r="U47" s="371">
        <v>5.0999999999999997E-2</v>
      </c>
      <c r="V47" s="371">
        <v>5.0999999999999997E-2</v>
      </c>
      <c r="W47" s="371">
        <v>5.0999999999999997E-2</v>
      </c>
      <c r="X47" s="371">
        <v>5.0999999999999997E-2</v>
      </c>
      <c r="Y47" s="381">
        <v>1000</v>
      </c>
    </row>
    <row r="48" spans="1:25" x14ac:dyDescent="0.2">
      <c r="A48" s="378" t="s">
        <v>34</v>
      </c>
      <c r="B48" s="372">
        <v>0</v>
      </c>
      <c r="C48" s="373">
        <v>310</v>
      </c>
      <c r="D48" s="373">
        <v>264</v>
      </c>
      <c r="E48" s="373">
        <v>230</v>
      </c>
      <c r="F48" s="373">
        <v>213</v>
      </c>
      <c r="G48" s="373">
        <v>0</v>
      </c>
      <c r="H48" s="373">
        <v>0</v>
      </c>
      <c r="I48" s="373">
        <v>0</v>
      </c>
      <c r="J48" s="373">
        <v>0</v>
      </c>
      <c r="K48" s="373">
        <v>0</v>
      </c>
      <c r="L48" s="373">
        <v>0</v>
      </c>
      <c r="M48" s="373">
        <v>0</v>
      </c>
      <c r="N48" s="373">
        <v>0</v>
      </c>
      <c r="O48" s="373">
        <v>0</v>
      </c>
      <c r="P48" s="373">
        <v>0</v>
      </c>
      <c r="Q48" s="373">
        <v>0</v>
      </c>
      <c r="R48" s="373">
        <v>0</v>
      </c>
      <c r="S48" s="373">
        <v>0</v>
      </c>
      <c r="T48" s="373">
        <v>0</v>
      </c>
      <c r="U48" s="373">
        <v>0</v>
      </c>
      <c r="V48" s="373">
        <v>0</v>
      </c>
      <c r="W48" s="373">
        <v>0</v>
      </c>
      <c r="X48" s="373">
        <v>0</v>
      </c>
      <c r="Y48" s="382">
        <v>0</v>
      </c>
    </row>
    <row r="49" spans="1:25" ht="13.5" thickBot="1" x14ac:dyDescent="0.25">
      <c r="A49" s="379" t="s">
        <v>116</v>
      </c>
      <c r="B49" s="374">
        <f t="shared" ref="B49:X49" si="6">(C48+B48)*(C47-B47)/2</f>
        <v>0.155</v>
      </c>
      <c r="C49" s="375">
        <f t="shared" si="6"/>
        <v>5.4530000000000003</v>
      </c>
      <c r="D49" s="375">
        <f t="shared" si="6"/>
        <v>4.9400000000000004</v>
      </c>
      <c r="E49" s="375">
        <f t="shared" si="6"/>
        <v>2.2150000000000003</v>
      </c>
      <c r="F49" s="375">
        <f t="shared" si="6"/>
        <v>0.10649999999999936</v>
      </c>
      <c r="G49" s="375">
        <f t="shared" si="6"/>
        <v>0</v>
      </c>
      <c r="H49" s="375">
        <f t="shared" si="6"/>
        <v>0</v>
      </c>
      <c r="I49" s="375">
        <f t="shared" si="6"/>
        <v>0</v>
      </c>
      <c r="J49" s="375">
        <f t="shared" si="6"/>
        <v>0</v>
      </c>
      <c r="K49" s="375">
        <f t="shared" si="6"/>
        <v>0</v>
      </c>
      <c r="L49" s="375">
        <f t="shared" si="6"/>
        <v>0</v>
      </c>
      <c r="M49" s="375">
        <f t="shared" si="6"/>
        <v>0</v>
      </c>
      <c r="N49" s="375">
        <f t="shared" si="6"/>
        <v>0</v>
      </c>
      <c r="O49" s="375">
        <f t="shared" si="6"/>
        <v>0</v>
      </c>
      <c r="P49" s="375">
        <f t="shared" si="6"/>
        <v>0</v>
      </c>
      <c r="Q49" s="375">
        <f t="shared" si="6"/>
        <v>0</v>
      </c>
      <c r="R49" s="375">
        <f t="shared" si="6"/>
        <v>0</v>
      </c>
      <c r="S49" s="375">
        <f t="shared" si="6"/>
        <v>0</v>
      </c>
      <c r="T49" s="375">
        <f t="shared" si="6"/>
        <v>0</v>
      </c>
      <c r="U49" s="375">
        <f t="shared" si="6"/>
        <v>0</v>
      </c>
      <c r="V49" s="375">
        <f t="shared" si="6"/>
        <v>0</v>
      </c>
      <c r="W49" s="375">
        <f t="shared" si="6"/>
        <v>0</v>
      </c>
      <c r="X49" s="375">
        <f t="shared" si="6"/>
        <v>0</v>
      </c>
      <c r="Y49" s="369"/>
    </row>
    <row r="50" spans="1:25" ht="13.5" thickBot="1" x14ac:dyDescent="0.25">
      <c r="A50" s="12"/>
      <c r="L50" s="12"/>
      <c r="M50" s="12"/>
      <c r="N50" s="12"/>
      <c r="O50" s="12"/>
      <c r="P50" s="12"/>
      <c r="Q50" s="12"/>
      <c r="R50" s="12"/>
      <c r="S50" s="12"/>
      <c r="T50" s="12"/>
      <c r="U50" s="12"/>
      <c r="V50" s="12"/>
      <c r="W50" s="12"/>
      <c r="X50" s="12"/>
      <c r="Y50" s="12"/>
    </row>
    <row r="51" spans="1:25" ht="13.5" thickBot="1" x14ac:dyDescent="0.25">
      <c r="A51" s="361" t="s">
        <v>278</v>
      </c>
      <c r="B51" s="359">
        <f>ROW(A51)</f>
        <v>51</v>
      </c>
      <c r="C51" s="363" t="s">
        <v>115</v>
      </c>
      <c r="D51" s="353">
        <f>SUM(B54:Y54)</f>
        <v>18.123500000000003</v>
      </c>
      <c r="E51" s="363" t="s">
        <v>114</v>
      </c>
      <c r="F51" s="399">
        <f>D51/g/J51</f>
        <v>3.0790859667006463</v>
      </c>
      <c r="G51" s="363" t="s">
        <v>56</v>
      </c>
      <c r="H51" s="64">
        <v>0.7</v>
      </c>
      <c r="I51" s="363" t="s">
        <v>271</v>
      </c>
      <c r="J51" s="355">
        <f>H51-L51</f>
        <v>0.6</v>
      </c>
      <c r="K51" s="363" t="s">
        <v>272</v>
      </c>
      <c r="L51" s="64">
        <v>0.1</v>
      </c>
      <c r="M51" s="363" t="s">
        <v>57</v>
      </c>
      <c r="N51" s="65">
        <f>0.3*R51</f>
        <v>90</v>
      </c>
      <c r="O51" s="363" t="s">
        <v>59</v>
      </c>
      <c r="P51" s="65">
        <v>150</v>
      </c>
      <c r="Q51" s="363" t="s">
        <v>60</v>
      </c>
      <c r="R51" s="65">
        <v>300</v>
      </c>
      <c r="S51" s="363" t="s">
        <v>61</v>
      </c>
      <c r="T51" s="65">
        <v>98</v>
      </c>
      <c r="U51" s="363" t="s">
        <v>54</v>
      </c>
      <c r="V51" s="66" t="s">
        <v>276</v>
      </c>
      <c r="W51" s="12"/>
      <c r="X51" s="12"/>
      <c r="Y51" s="12"/>
    </row>
    <row r="52" spans="1:25" x14ac:dyDescent="0.2">
      <c r="A52" s="362" t="s">
        <v>33</v>
      </c>
      <c r="B52" s="370">
        <v>0</v>
      </c>
      <c r="C52" s="371">
        <v>1E-3</v>
      </c>
      <c r="D52" s="371">
        <v>0.02</v>
      </c>
      <c r="E52" s="371">
        <v>0.04</v>
      </c>
      <c r="F52" s="371">
        <v>0.06</v>
      </c>
      <c r="G52" s="371">
        <v>0.08</v>
      </c>
      <c r="H52" s="371">
        <v>8.1000000000000003E-2</v>
      </c>
      <c r="I52" s="371">
        <v>8.1000000000000003E-2</v>
      </c>
      <c r="J52" s="371">
        <v>8.1000000000000003E-2</v>
      </c>
      <c r="K52" s="371">
        <v>8.1000000000000003E-2</v>
      </c>
      <c r="L52" s="371">
        <v>8.1000000000000003E-2</v>
      </c>
      <c r="M52" s="371">
        <v>8.1000000000000003E-2</v>
      </c>
      <c r="N52" s="371">
        <v>8.1000000000000003E-2</v>
      </c>
      <c r="O52" s="371">
        <v>8.1000000000000003E-2</v>
      </c>
      <c r="P52" s="371">
        <v>8.1000000000000003E-2</v>
      </c>
      <c r="Q52" s="371">
        <v>8.1000000000000003E-2</v>
      </c>
      <c r="R52" s="371">
        <v>8.1000000000000003E-2</v>
      </c>
      <c r="S52" s="371">
        <v>8.1000000000000003E-2</v>
      </c>
      <c r="T52" s="371">
        <v>8.1000000000000003E-2</v>
      </c>
      <c r="U52" s="371">
        <v>8.1000000000000003E-2</v>
      </c>
      <c r="V52" s="371">
        <v>8.1000000000000003E-2</v>
      </c>
      <c r="W52" s="371">
        <v>8.1000000000000003E-2</v>
      </c>
      <c r="X52" s="371">
        <v>8.1000000000000003E-2</v>
      </c>
      <c r="Y52" s="381">
        <v>1000</v>
      </c>
    </row>
    <row r="53" spans="1:25" x14ac:dyDescent="0.2">
      <c r="A53" s="378" t="s">
        <v>34</v>
      </c>
      <c r="B53" s="372">
        <v>0</v>
      </c>
      <c r="C53" s="373">
        <v>310</v>
      </c>
      <c r="D53" s="373">
        <v>260</v>
      </c>
      <c r="E53" s="373">
        <v>220</v>
      </c>
      <c r="F53" s="373">
        <v>190</v>
      </c>
      <c r="G53" s="373">
        <v>167</v>
      </c>
      <c r="H53" s="373">
        <v>0</v>
      </c>
      <c r="I53" s="373">
        <v>0</v>
      </c>
      <c r="J53" s="373">
        <v>0</v>
      </c>
      <c r="K53" s="373">
        <v>0</v>
      </c>
      <c r="L53" s="373">
        <v>0</v>
      </c>
      <c r="M53" s="373">
        <v>0</v>
      </c>
      <c r="N53" s="373">
        <v>0</v>
      </c>
      <c r="O53" s="373">
        <v>0</v>
      </c>
      <c r="P53" s="373">
        <v>0</v>
      </c>
      <c r="Q53" s="373">
        <v>0</v>
      </c>
      <c r="R53" s="373">
        <v>0</v>
      </c>
      <c r="S53" s="373">
        <v>0</v>
      </c>
      <c r="T53" s="373">
        <v>0</v>
      </c>
      <c r="U53" s="373">
        <v>0</v>
      </c>
      <c r="V53" s="373">
        <v>0</v>
      </c>
      <c r="W53" s="373">
        <v>0</v>
      </c>
      <c r="X53" s="373">
        <v>0</v>
      </c>
      <c r="Y53" s="382">
        <v>0</v>
      </c>
    </row>
    <row r="54" spans="1:25" ht="13.5" thickBot="1" x14ac:dyDescent="0.25">
      <c r="A54" s="379" t="s">
        <v>116</v>
      </c>
      <c r="B54" s="374">
        <f t="shared" ref="B54:X54" si="7">(C53+B53)*(C52-B52)/2</f>
        <v>0.155</v>
      </c>
      <c r="C54" s="375">
        <f t="shared" si="7"/>
        <v>5.415</v>
      </c>
      <c r="D54" s="375">
        <f t="shared" si="7"/>
        <v>4.8</v>
      </c>
      <c r="E54" s="375">
        <f t="shared" si="7"/>
        <v>4.0999999999999996</v>
      </c>
      <c r="F54" s="375">
        <f t="shared" si="7"/>
        <v>3.5700000000000007</v>
      </c>
      <c r="G54" s="375">
        <f t="shared" si="7"/>
        <v>8.3500000000000074E-2</v>
      </c>
      <c r="H54" s="375">
        <f t="shared" si="7"/>
        <v>0</v>
      </c>
      <c r="I54" s="375">
        <f t="shared" si="7"/>
        <v>0</v>
      </c>
      <c r="J54" s="375">
        <f t="shared" si="7"/>
        <v>0</v>
      </c>
      <c r="K54" s="375">
        <f t="shared" si="7"/>
        <v>0</v>
      </c>
      <c r="L54" s="375">
        <f t="shared" si="7"/>
        <v>0</v>
      </c>
      <c r="M54" s="375">
        <f t="shared" si="7"/>
        <v>0</v>
      </c>
      <c r="N54" s="375">
        <f t="shared" si="7"/>
        <v>0</v>
      </c>
      <c r="O54" s="375">
        <f t="shared" si="7"/>
        <v>0</v>
      </c>
      <c r="P54" s="375">
        <f t="shared" si="7"/>
        <v>0</v>
      </c>
      <c r="Q54" s="375">
        <f t="shared" si="7"/>
        <v>0</v>
      </c>
      <c r="R54" s="375">
        <f t="shared" si="7"/>
        <v>0</v>
      </c>
      <c r="S54" s="375">
        <f t="shared" si="7"/>
        <v>0</v>
      </c>
      <c r="T54" s="375">
        <f t="shared" si="7"/>
        <v>0</v>
      </c>
      <c r="U54" s="375">
        <f t="shared" si="7"/>
        <v>0</v>
      </c>
      <c r="V54" s="375">
        <f t="shared" si="7"/>
        <v>0</v>
      </c>
      <c r="W54" s="375">
        <f t="shared" si="7"/>
        <v>0</v>
      </c>
      <c r="X54" s="375">
        <f t="shared" si="7"/>
        <v>0</v>
      </c>
      <c r="Y54" s="369"/>
    </row>
    <row r="55" spans="1:25" ht="13.5" thickBot="1" x14ac:dyDescent="0.25">
      <c r="B55" s="12"/>
      <c r="C55" s="12"/>
      <c r="D55" s="12"/>
      <c r="E55" s="12"/>
      <c r="F55" s="12"/>
      <c r="G55" s="12"/>
      <c r="H55" s="12"/>
      <c r="I55" s="12"/>
      <c r="J55" s="12"/>
      <c r="K55" s="12"/>
      <c r="L55" s="12"/>
      <c r="M55" s="12"/>
      <c r="N55" s="12"/>
      <c r="O55" s="12"/>
      <c r="P55" s="12"/>
      <c r="Q55" s="12"/>
      <c r="R55" s="12"/>
      <c r="S55" s="12"/>
      <c r="T55" s="12"/>
      <c r="U55" s="12"/>
      <c r="V55" s="12"/>
      <c r="W55" s="12"/>
      <c r="X55" s="12"/>
      <c r="Y55" s="12"/>
    </row>
    <row r="56" spans="1:25" ht="13.5" thickBot="1" x14ac:dyDescent="0.25">
      <c r="A56" s="361" t="s">
        <v>279</v>
      </c>
      <c r="B56" s="359">
        <f>ROW(A56)</f>
        <v>56</v>
      </c>
      <c r="C56" s="363" t="s">
        <v>115</v>
      </c>
      <c r="D56" s="353">
        <f>SUM(B59:Y59)</f>
        <v>22.610000000000003</v>
      </c>
      <c r="E56" s="363" t="s">
        <v>114</v>
      </c>
      <c r="F56" s="399">
        <f>D56/g/J56</f>
        <v>2.88098878695209</v>
      </c>
      <c r="G56" s="363" t="s">
        <v>56</v>
      </c>
      <c r="H56" s="64">
        <v>0.9</v>
      </c>
      <c r="I56" s="363" t="s">
        <v>271</v>
      </c>
      <c r="J56" s="355">
        <f>H56-L56</f>
        <v>0.8</v>
      </c>
      <c r="K56" s="363" t="s">
        <v>272</v>
      </c>
      <c r="L56" s="64">
        <v>0.1</v>
      </c>
      <c r="M56" s="363" t="s">
        <v>57</v>
      </c>
      <c r="N56" s="65">
        <f>0.4*R56</f>
        <v>120</v>
      </c>
      <c r="O56" s="363" t="s">
        <v>59</v>
      </c>
      <c r="P56" s="65">
        <v>150</v>
      </c>
      <c r="Q56" s="363" t="s">
        <v>60</v>
      </c>
      <c r="R56" s="65">
        <v>300</v>
      </c>
      <c r="S56" s="363" t="s">
        <v>61</v>
      </c>
      <c r="T56" s="65">
        <v>98</v>
      </c>
      <c r="U56" s="363" t="s">
        <v>54</v>
      </c>
      <c r="V56" s="66" t="s">
        <v>276</v>
      </c>
      <c r="W56" s="12"/>
      <c r="X56" s="12"/>
      <c r="Y56" s="12"/>
    </row>
    <row r="57" spans="1:25" x14ac:dyDescent="0.2">
      <c r="A57" s="362" t="s">
        <v>33</v>
      </c>
      <c r="B57" s="370">
        <v>0</v>
      </c>
      <c r="C57" s="371">
        <v>1E-3</v>
      </c>
      <c r="D57" s="371">
        <v>0.02</v>
      </c>
      <c r="E57" s="371">
        <v>0.04</v>
      </c>
      <c r="F57" s="371">
        <v>0.06</v>
      </c>
      <c r="G57" s="371">
        <v>0.08</v>
      </c>
      <c r="H57" s="371">
        <v>0.1</v>
      </c>
      <c r="I57" s="371">
        <v>0.11700000000000001</v>
      </c>
      <c r="J57" s="371">
        <v>0.11799999999999999</v>
      </c>
      <c r="K57" s="371">
        <v>0.11799999999999999</v>
      </c>
      <c r="L57" s="371">
        <v>0.11799999999999999</v>
      </c>
      <c r="M57" s="371">
        <v>0.11799999999999999</v>
      </c>
      <c r="N57" s="371">
        <v>0.11799999999999999</v>
      </c>
      <c r="O57" s="371">
        <v>0.11799999999999999</v>
      </c>
      <c r="P57" s="371">
        <v>0.11799999999999999</v>
      </c>
      <c r="Q57" s="371">
        <v>0.11799999999999999</v>
      </c>
      <c r="R57" s="371">
        <v>0.11799999999999999</v>
      </c>
      <c r="S57" s="371">
        <v>0.11799999999999999</v>
      </c>
      <c r="T57" s="371">
        <v>0.11799999999999999</v>
      </c>
      <c r="U57" s="371">
        <v>0.11799999999999999</v>
      </c>
      <c r="V57" s="371">
        <v>0.11799999999999999</v>
      </c>
      <c r="W57" s="371">
        <v>0.11799999999999999</v>
      </c>
      <c r="X57" s="371">
        <v>0.11799999999999999</v>
      </c>
      <c r="Y57" s="381">
        <v>1000</v>
      </c>
    </row>
    <row r="58" spans="1:25" x14ac:dyDescent="0.2">
      <c r="A58" s="378" t="s">
        <v>34</v>
      </c>
      <c r="B58" s="372">
        <v>0</v>
      </c>
      <c r="C58" s="373">
        <v>310</v>
      </c>
      <c r="D58" s="373">
        <v>250</v>
      </c>
      <c r="E58" s="373">
        <v>210</v>
      </c>
      <c r="F58" s="373">
        <v>180</v>
      </c>
      <c r="G58" s="373">
        <v>156</v>
      </c>
      <c r="H58" s="373">
        <v>140</v>
      </c>
      <c r="I58" s="373">
        <v>125</v>
      </c>
      <c r="J58" s="373">
        <v>0</v>
      </c>
      <c r="K58" s="373">
        <v>0</v>
      </c>
      <c r="L58" s="373">
        <v>0</v>
      </c>
      <c r="M58" s="373">
        <v>0</v>
      </c>
      <c r="N58" s="373">
        <v>0</v>
      </c>
      <c r="O58" s="373">
        <v>0</v>
      </c>
      <c r="P58" s="373">
        <v>0</v>
      </c>
      <c r="Q58" s="373">
        <v>0</v>
      </c>
      <c r="R58" s="373">
        <v>0</v>
      </c>
      <c r="S58" s="373">
        <v>0</v>
      </c>
      <c r="T58" s="373">
        <v>0</v>
      </c>
      <c r="U58" s="373">
        <v>0</v>
      </c>
      <c r="V58" s="373">
        <v>0</v>
      </c>
      <c r="W58" s="373">
        <v>0</v>
      </c>
      <c r="X58" s="373">
        <v>0</v>
      </c>
      <c r="Y58" s="382">
        <v>0</v>
      </c>
    </row>
    <row r="59" spans="1:25" ht="13.5" thickBot="1" x14ac:dyDescent="0.25">
      <c r="A59" s="379" t="s">
        <v>116</v>
      </c>
      <c r="B59" s="374">
        <f t="shared" ref="B59:X59" si="8">(C58+B58)*(C57-B57)/2</f>
        <v>0.155</v>
      </c>
      <c r="C59" s="375">
        <f t="shared" si="8"/>
        <v>5.32</v>
      </c>
      <c r="D59" s="375">
        <f t="shared" si="8"/>
        <v>4.6000000000000005</v>
      </c>
      <c r="E59" s="375">
        <f t="shared" si="8"/>
        <v>3.8999999999999995</v>
      </c>
      <c r="F59" s="375">
        <f t="shared" si="8"/>
        <v>3.3600000000000008</v>
      </c>
      <c r="G59" s="375">
        <f t="shared" si="8"/>
        <v>2.9600000000000004</v>
      </c>
      <c r="H59" s="375">
        <f t="shared" si="8"/>
        <v>2.2524999999999999</v>
      </c>
      <c r="I59" s="375">
        <f t="shared" si="8"/>
        <v>6.2499999999999188E-2</v>
      </c>
      <c r="J59" s="375">
        <f t="shared" si="8"/>
        <v>0</v>
      </c>
      <c r="K59" s="375">
        <f t="shared" si="8"/>
        <v>0</v>
      </c>
      <c r="L59" s="375">
        <f t="shared" si="8"/>
        <v>0</v>
      </c>
      <c r="M59" s="375">
        <f t="shared" si="8"/>
        <v>0</v>
      </c>
      <c r="N59" s="375">
        <f t="shared" si="8"/>
        <v>0</v>
      </c>
      <c r="O59" s="375">
        <f t="shared" si="8"/>
        <v>0</v>
      </c>
      <c r="P59" s="375">
        <f t="shared" si="8"/>
        <v>0</v>
      </c>
      <c r="Q59" s="375">
        <f t="shared" si="8"/>
        <v>0</v>
      </c>
      <c r="R59" s="375">
        <f t="shared" si="8"/>
        <v>0</v>
      </c>
      <c r="S59" s="375">
        <f t="shared" si="8"/>
        <v>0</v>
      </c>
      <c r="T59" s="375">
        <f t="shared" si="8"/>
        <v>0</v>
      </c>
      <c r="U59" s="375">
        <f t="shared" si="8"/>
        <v>0</v>
      </c>
      <c r="V59" s="375">
        <f t="shared" si="8"/>
        <v>0</v>
      </c>
      <c r="W59" s="375">
        <f t="shared" si="8"/>
        <v>0</v>
      </c>
      <c r="X59" s="375">
        <f t="shared" si="8"/>
        <v>0</v>
      </c>
      <c r="Y59" s="369"/>
    </row>
    <row r="60" spans="1:25" ht="13.5" thickBot="1" x14ac:dyDescent="0.25">
      <c r="A60" s="12"/>
      <c r="L60" s="12"/>
      <c r="M60" s="12"/>
      <c r="N60" s="12"/>
      <c r="O60" s="12"/>
      <c r="P60" s="12"/>
      <c r="Q60" s="12"/>
      <c r="R60" s="12"/>
      <c r="S60" s="12"/>
      <c r="T60" s="12"/>
      <c r="U60" s="12"/>
      <c r="V60" s="12"/>
      <c r="W60" s="12"/>
      <c r="X60" s="12"/>
      <c r="Y60" s="12"/>
    </row>
    <row r="61" spans="1:25" ht="13.5" thickBot="1" x14ac:dyDescent="0.25">
      <c r="A61" s="361" t="s">
        <v>280</v>
      </c>
      <c r="B61" s="359">
        <f>ROW(A61)</f>
        <v>61</v>
      </c>
      <c r="C61" s="363" t="s">
        <v>115</v>
      </c>
      <c r="D61" s="353">
        <f>SUM(B64:Y64)</f>
        <v>25.874000000000006</v>
      </c>
      <c r="E61" s="363" t="s">
        <v>114</v>
      </c>
      <c r="F61" s="399">
        <f>D61/g/J61</f>
        <v>2.6375127420998985</v>
      </c>
      <c r="G61" s="363" t="s">
        <v>56</v>
      </c>
      <c r="H61" s="64">
        <v>1.1000000000000001</v>
      </c>
      <c r="I61" s="363" t="s">
        <v>271</v>
      </c>
      <c r="J61" s="355">
        <f>H61-L61</f>
        <v>1</v>
      </c>
      <c r="K61" s="363" t="s">
        <v>272</v>
      </c>
      <c r="L61" s="64">
        <v>0.1</v>
      </c>
      <c r="M61" s="363" t="s">
        <v>57</v>
      </c>
      <c r="N61" s="65">
        <f>0.5*R61</f>
        <v>150</v>
      </c>
      <c r="O61" s="363" t="s">
        <v>59</v>
      </c>
      <c r="P61" s="65">
        <v>150</v>
      </c>
      <c r="Q61" s="363" t="s">
        <v>60</v>
      </c>
      <c r="R61" s="65">
        <v>300</v>
      </c>
      <c r="S61" s="363" t="s">
        <v>61</v>
      </c>
      <c r="T61" s="65">
        <v>98</v>
      </c>
      <c r="U61" s="363" t="s">
        <v>54</v>
      </c>
      <c r="V61" s="66" t="s">
        <v>276</v>
      </c>
      <c r="W61" s="12"/>
      <c r="X61" s="12"/>
      <c r="Y61" s="12"/>
    </row>
    <row r="62" spans="1:25" x14ac:dyDescent="0.2">
      <c r="A62" s="362" t="s">
        <v>33</v>
      </c>
      <c r="B62" s="370">
        <v>0</v>
      </c>
      <c r="C62" s="371">
        <v>1E-3</v>
      </c>
      <c r="D62" s="371">
        <v>0.02</v>
      </c>
      <c r="E62" s="371">
        <v>0.04</v>
      </c>
      <c r="F62" s="371">
        <v>0.06</v>
      </c>
      <c r="G62" s="371">
        <v>0.08</v>
      </c>
      <c r="H62" s="371">
        <v>0.1</v>
      </c>
      <c r="I62" s="371">
        <v>0.12</v>
      </c>
      <c r="J62" s="371">
        <v>0.14000000000000001</v>
      </c>
      <c r="K62" s="371">
        <v>0.16400000000000001</v>
      </c>
      <c r="L62" s="371">
        <v>0.16500000000000001</v>
      </c>
      <c r="M62" s="371">
        <v>0.16500000000000001</v>
      </c>
      <c r="N62" s="371">
        <v>0.16500000000000001</v>
      </c>
      <c r="O62" s="371">
        <v>0.16500000000000001</v>
      </c>
      <c r="P62" s="371">
        <v>0.16500000000000001</v>
      </c>
      <c r="Q62" s="371">
        <v>0.16500000000000001</v>
      </c>
      <c r="R62" s="371">
        <v>0.16500000000000001</v>
      </c>
      <c r="S62" s="371">
        <v>0.16500000000000001</v>
      </c>
      <c r="T62" s="371">
        <v>0.16500000000000001</v>
      </c>
      <c r="U62" s="371">
        <v>0.16500000000000001</v>
      </c>
      <c r="V62" s="371">
        <v>0.16500000000000001</v>
      </c>
      <c r="W62" s="371">
        <v>0.16500000000000001</v>
      </c>
      <c r="X62" s="371">
        <v>0.16500000000000001</v>
      </c>
      <c r="Y62" s="381">
        <v>1000</v>
      </c>
    </row>
    <row r="63" spans="1:25" x14ac:dyDescent="0.2">
      <c r="A63" s="378" t="s">
        <v>34</v>
      </c>
      <c r="B63" s="372">
        <v>0</v>
      </c>
      <c r="C63" s="373">
        <v>310</v>
      </c>
      <c r="D63" s="373">
        <v>245</v>
      </c>
      <c r="E63" s="373">
        <v>200</v>
      </c>
      <c r="F63" s="373">
        <v>165</v>
      </c>
      <c r="G63" s="373">
        <v>143</v>
      </c>
      <c r="H63" s="373">
        <v>124</v>
      </c>
      <c r="I63" s="373">
        <v>108</v>
      </c>
      <c r="J63" s="373">
        <v>97</v>
      </c>
      <c r="K63" s="373">
        <v>85</v>
      </c>
      <c r="L63" s="373">
        <v>0</v>
      </c>
      <c r="M63" s="373">
        <v>0</v>
      </c>
      <c r="N63" s="373">
        <v>0</v>
      </c>
      <c r="O63" s="373">
        <v>0</v>
      </c>
      <c r="P63" s="373">
        <v>0</v>
      </c>
      <c r="Q63" s="373">
        <v>0</v>
      </c>
      <c r="R63" s="373">
        <v>0</v>
      </c>
      <c r="S63" s="373">
        <v>0</v>
      </c>
      <c r="T63" s="373">
        <v>0</v>
      </c>
      <c r="U63" s="373">
        <v>0</v>
      </c>
      <c r="V63" s="373">
        <v>0</v>
      </c>
      <c r="W63" s="373">
        <v>0</v>
      </c>
      <c r="X63" s="373">
        <v>0</v>
      </c>
      <c r="Y63" s="382">
        <v>0</v>
      </c>
    </row>
    <row r="64" spans="1:25" ht="13.5" thickBot="1" x14ac:dyDescent="0.25">
      <c r="A64" s="379" t="s">
        <v>116</v>
      </c>
      <c r="B64" s="374">
        <f t="shared" ref="B64:X64" si="9">(C63+B63)*(C62-B62)/2</f>
        <v>0.155</v>
      </c>
      <c r="C64" s="375">
        <f t="shared" si="9"/>
        <v>5.2725</v>
      </c>
      <c r="D64" s="375">
        <f t="shared" si="9"/>
        <v>4.45</v>
      </c>
      <c r="E64" s="375">
        <f t="shared" si="9"/>
        <v>3.6499999999999995</v>
      </c>
      <c r="F64" s="375">
        <f t="shared" si="9"/>
        <v>3.0800000000000005</v>
      </c>
      <c r="G64" s="375">
        <f t="shared" si="9"/>
        <v>2.6700000000000004</v>
      </c>
      <c r="H64" s="375">
        <f t="shared" si="9"/>
        <v>2.319999999999999</v>
      </c>
      <c r="I64" s="375">
        <f t="shared" si="9"/>
        <v>2.0500000000000016</v>
      </c>
      <c r="J64" s="375">
        <f t="shared" si="9"/>
        <v>2.1839999999999993</v>
      </c>
      <c r="K64" s="375">
        <f t="shared" si="9"/>
        <v>4.2500000000000038E-2</v>
      </c>
      <c r="L64" s="375">
        <f t="shared" si="9"/>
        <v>0</v>
      </c>
      <c r="M64" s="375">
        <f t="shared" si="9"/>
        <v>0</v>
      </c>
      <c r="N64" s="375">
        <f t="shared" si="9"/>
        <v>0</v>
      </c>
      <c r="O64" s="375">
        <f t="shared" si="9"/>
        <v>0</v>
      </c>
      <c r="P64" s="375">
        <f t="shared" si="9"/>
        <v>0</v>
      </c>
      <c r="Q64" s="375">
        <f t="shared" si="9"/>
        <v>0</v>
      </c>
      <c r="R64" s="375">
        <f t="shared" si="9"/>
        <v>0</v>
      </c>
      <c r="S64" s="375">
        <f t="shared" si="9"/>
        <v>0</v>
      </c>
      <c r="T64" s="375">
        <f t="shared" si="9"/>
        <v>0</v>
      </c>
      <c r="U64" s="375">
        <f t="shared" si="9"/>
        <v>0</v>
      </c>
      <c r="V64" s="375">
        <f t="shared" si="9"/>
        <v>0</v>
      </c>
      <c r="W64" s="375">
        <f t="shared" si="9"/>
        <v>0</v>
      </c>
      <c r="X64" s="375">
        <f t="shared" si="9"/>
        <v>0</v>
      </c>
      <c r="Y64" s="369"/>
    </row>
    <row r="66" spans="1:26" ht="13.5" thickBot="1" x14ac:dyDescent="0.25">
      <c r="A66" s="6" t="s">
        <v>181</v>
      </c>
    </row>
    <row r="67" spans="1:26" ht="13.5" thickBot="1" x14ac:dyDescent="0.25">
      <c r="A67" s="361" t="s">
        <v>111</v>
      </c>
      <c r="B67" s="359">
        <f>ROW(A67)</f>
        <v>67</v>
      </c>
      <c r="C67" s="363" t="s">
        <v>115</v>
      </c>
      <c r="D67" s="353">
        <f>SUM(B70:Y70)</f>
        <v>2.65</v>
      </c>
      <c r="E67" s="363" t="s">
        <v>114</v>
      </c>
      <c r="F67" s="354">
        <f>D67/g/J67</f>
        <v>54.026503567787969</v>
      </c>
      <c r="G67" s="363" t="s">
        <v>56</v>
      </c>
      <c r="H67" s="64">
        <v>1.4999999999999999E-2</v>
      </c>
      <c r="I67" s="363" t="s">
        <v>271</v>
      </c>
      <c r="J67" s="355">
        <f>H67-L67</f>
        <v>4.9999999999999992E-3</v>
      </c>
      <c r="K67" s="363" t="s">
        <v>272</v>
      </c>
      <c r="L67" s="64">
        <v>0.01</v>
      </c>
      <c r="M67" s="363" t="s">
        <v>57</v>
      </c>
      <c r="N67" s="65">
        <v>30</v>
      </c>
      <c r="O67" s="363" t="s">
        <v>59</v>
      </c>
      <c r="P67" s="65">
        <v>30</v>
      </c>
      <c r="Q67" s="363" t="s">
        <v>60</v>
      </c>
      <c r="R67" s="65">
        <v>70</v>
      </c>
      <c r="S67" s="363" t="s">
        <v>61</v>
      </c>
      <c r="T67" s="65">
        <v>15</v>
      </c>
      <c r="U67" s="363" t="s">
        <v>54</v>
      </c>
      <c r="V67" s="66" t="s">
        <v>117</v>
      </c>
      <c r="W67" s="463" t="s">
        <v>394</v>
      </c>
      <c r="X67" s="465">
        <v>0.32</v>
      </c>
      <c r="Y67" s="463" t="s">
        <v>393</v>
      </c>
      <c r="Z67" s="358">
        <v>3</v>
      </c>
    </row>
    <row r="68" spans="1:26" x14ac:dyDescent="0.2">
      <c r="A68" s="362" t="s">
        <v>33</v>
      </c>
      <c r="B68" s="370">
        <v>0</v>
      </c>
      <c r="C68" s="371">
        <v>0.2</v>
      </c>
      <c r="D68" s="371">
        <v>0.3</v>
      </c>
      <c r="E68" s="371">
        <v>0.4</v>
      </c>
      <c r="F68" s="371">
        <v>0.5</v>
      </c>
      <c r="G68" s="371">
        <v>0.55000000000000004</v>
      </c>
      <c r="H68" s="371">
        <v>0.6</v>
      </c>
      <c r="I68" s="371">
        <v>0.6</v>
      </c>
      <c r="J68" s="371">
        <v>0.6</v>
      </c>
      <c r="K68" s="371">
        <v>0.6</v>
      </c>
      <c r="L68" s="371">
        <v>0.6</v>
      </c>
      <c r="M68" s="371">
        <v>0.6</v>
      </c>
      <c r="N68" s="371">
        <v>0.6</v>
      </c>
      <c r="O68" s="371">
        <v>0.6</v>
      </c>
      <c r="P68" s="371">
        <v>0.6</v>
      </c>
      <c r="Q68" s="371">
        <v>0.6</v>
      </c>
      <c r="R68" s="371">
        <v>0.6</v>
      </c>
      <c r="S68" s="371">
        <v>0.6</v>
      </c>
      <c r="T68" s="371">
        <v>0.6</v>
      </c>
      <c r="U68" s="371">
        <v>0.6</v>
      </c>
      <c r="V68" s="371">
        <v>0.6</v>
      </c>
      <c r="W68" s="371">
        <v>0.6</v>
      </c>
      <c r="X68" s="371">
        <v>0.6</v>
      </c>
      <c r="Y68" s="381">
        <v>1000</v>
      </c>
    </row>
    <row r="69" spans="1:26" x14ac:dyDescent="0.2">
      <c r="A69" s="378" t="s">
        <v>34</v>
      </c>
      <c r="B69" s="372">
        <v>0</v>
      </c>
      <c r="C69" s="373">
        <v>9</v>
      </c>
      <c r="D69" s="373">
        <v>4.5</v>
      </c>
      <c r="E69" s="373">
        <v>4</v>
      </c>
      <c r="F69" s="373">
        <v>4</v>
      </c>
      <c r="G69" s="373">
        <v>3</v>
      </c>
      <c r="H69" s="373">
        <v>0</v>
      </c>
      <c r="I69" s="373">
        <v>0</v>
      </c>
      <c r="J69" s="373">
        <v>0</v>
      </c>
      <c r="K69" s="373">
        <v>0</v>
      </c>
      <c r="L69" s="373">
        <v>0</v>
      </c>
      <c r="M69" s="373">
        <v>0</v>
      </c>
      <c r="N69" s="373">
        <v>0</v>
      </c>
      <c r="O69" s="373">
        <v>0</v>
      </c>
      <c r="P69" s="373">
        <v>0</v>
      </c>
      <c r="Q69" s="373">
        <v>0</v>
      </c>
      <c r="R69" s="373">
        <v>0</v>
      </c>
      <c r="S69" s="373">
        <v>0</v>
      </c>
      <c r="T69" s="373">
        <v>0</v>
      </c>
      <c r="U69" s="373">
        <v>0</v>
      </c>
      <c r="V69" s="373">
        <v>0</v>
      </c>
      <c r="W69" s="373">
        <v>0</v>
      </c>
      <c r="X69" s="373">
        <v>0</v>
      </c>
      <c r="Y69" s="382">
        <v>0</v>
      </c>
    </row>
    <row r="70" spans="1:26" ht="13.5" thickBot="1" x14ac:dyDescent="0.25">
      <c r="A70" s="379" t="s">
        <v>116</v>
      </c>
      <c r="B70" s="374">
        <f t="shared" ref="B70:X70" si="10">(C69+B69)*(C68-B68)/2</f>
        <v>0.9</v>
      </c>
      <c r="C70" s="375">
        <f t="shared" si="10"/>
        <v>0.67499999999999982</v>
      </c>
      <c r="D70" s="375">
        <f t="shared" si="10"/>
        <v>0.42500000000000016</v>
      </c>
      <c r="E70" s="375">
        <f t="shared" si="10"/>
        <v>0.39999999999999991</v>
      </c>
      <c r="F70" s="375">
        <f t="shared" si="10"/>
        <v>0.17500000000000016</v>
      </c>
      <c r="G70" s="375">
        <f t="shared" si="10"/>
        <v>7.49999999999999E-2</v>
      </c>
      <c r="H70" s="375">
        <f t="shared" si="10"/>
        <v>0</v>
      </c>
      <c r="I70" s="375">
        <f t="shared" si="10"/>
        <v>0</v>
      </c>
      <c r="J70" s="375">
        <f t="shared" si="10"/>
        <v>0</v>
      </c>
      <c r="K70" s="375">
        <f t="shared" si="10"/>
        <v>0</v>
      </c>
      <c r="L70" s="375">
        <f t="shared" si="10"/>
        <v>0</v>
      </c>
      <c r="M70" s="375">
        <f t="shared" si="10"/>
        <v>0</v>
      </c>
      <c r="N70" s="375">
        <f t="shared" si="10"/>
        <v>0</v>
      </c>
      <c r="O70" s="375">
        <f t="shared" si="10"/>
        <v>0</v>
      </c>
      <c r="P70" s="375">
        <f t="shared" si="10"/>
        <v>0</v>
      </c>
      <c r="Q70" s="375">
        <f t="shared" si="10"/>
        <v>0</v>
      </c>
      <c r="R70" s="375">
        <f t="shared" si="10"/>
        <v>0</v>
      </c>
      <c r="S70" s="375">
        <f t="shared" si="10"/>
        <v>0</v>
      </c>
      <c r="T70" s="375">
        <f t="shared" si="10"/>
        <v>0</v>
      </c>
      <c r="U70" s="375">
        <f t="shared" si="10"/>
        <v>0</v>
      </c>
      <c r="V70" s="375">
        <f t="shared" si="10"/>
        <v>0</v>
      </c>
      <c r="W70" s="375">
        <f t="shared" si="10"/>
        <v>0</v>
      </c>
      <c r="X70" s="375">
        <f t="shared" si="10"/>
        <v>0</v>
      </c>
      <c r="Y70" s="369"/>
    </row>
    <row r="71" spans="1:26" ht="13.5" thickBot="1" x14ac:dyDescent="0.25">
      <c r="A71" s="12"/>
      <c r="L71" s="12"/>
      <c r="M71" s="12"/>
      <c r="N71" s="12"/>
      <c r="O71" s="12"/>
      <c r="P71" s="12"/>
      <c r="Q71" s="12"/>
      <c r="R71" s="12"/>
      <c r="S71" s="12"/>
      <c r="T71" s="12"/>
      <c r="U71" s="12"/>
      <c r="V71" s="12"/>
      <c r="W71" s="12"/>
      <c r="X71" s="12"/>
      <c r="Y71" s="12"/>
    </row>
    <row r="72" spans="1:26" ht="13.5" thickBot="1" x14ac:dyDescent="0.25">
      <c r="A72" s="361" t="s">
        <v>112</v>
      </c>
      <c r="B72" s="359">
        <f>ROW(A72)</f>
        <v>72</v>
      </c>
      <c r="C72" s="363" t="s">
        <v>115</v>
      </c>
      <c r="D72" s="353">
        <f>SUM(B75:Y75)</f>
        <v>5.25</v>
      </c>
      <c r="E72" s="363" t="s">
        <v>114</v>
      </c>
      <c r="F72" s="354">
        <f>D72/g/J72</f>
        <v>89.1946992864424</v>
      </c>
      <c r="G72" s="363" t="s">
        <v>56</v>
      </c>
      <c r="H72" s="64">
        <v>0.02</v>
      </c>
      <c r="I72" s="363" t="s">
        <v>271</v>
      </c>
      <c r="J72" s="355">
        <f>H72-L72</f>
        <v>6.0000000000000001E-3</v>
      </c>
      <c r="K72" s="363" t="s">
        <v>272</v>
      </c>
      <c r="L72" s="64">
        <v>1.4E-2</v>
      </c>
      <c r="M72" s="363" t="s">
        <v>57</v>
      </c>
      <c r="N72" s="65">
        <v>30</v>
      </c>
      <c r="O72" s="363" t="s">
        <v>59</v>
      </c>
      <c r="P72" s="65">
        <v>30</v>
      </c>
      <c r="Q72" s="363" t="s">
        <v>60</v>
      </c>
      <c r="R72" s="65">
        <v>70</v>
      </c>
      <c r="S72" s="363" t="s">
        <v>61</v>
      </c>
      <c r="T72" s="65">
        <v>15</v>
      </c>
      <c r="U72" s="363" t="s">
        <v>54</v>
      </c>
      <c r="V72" s="66" t="s">
        <v>117</v>
      </c>
      <c r="W72" s="463" t="s">
        <v>394</v>
      </c>
      <c r="X72" s="465">
        <v>1.2</v>
      </c>
      <c r="Y72" s="463" t="s">
        <v>393</v>
      </c>
      <c r="Z72" s="358">
        <v>4</v>
      </c>
    </row>
    <row r="73" spans="1:26" x14ac:dyDescent="0.2">
      <c r="A73" s="362" t="s">
        <v>33</v>
      </c>
      <c r="B73" s="370">
        <v>0</v>
      </c>
      <c r="C73" s="371">
        <v>0.2</v>
      </c>
      <c r="D73" s="371">
        <v>0.3</v>
      </c>
      <c r="E73" s="371">
        <v>0.55000000000000004</v>
      </c>
      <c r="F73" s="371">
        <v>1.05</v>
      </c>
      <c r="G73" s="371">
        <v>1.1499999999999999</v>
      </c>
      <c r="H73" s="371">
        <v>1.1499999999999999</v>
      </c>
      <c r="I73" s="371">
        <v>1.1499999999999999</v>
      </c>
      <c r="J73" s="371">
        <v>1.1499999999999999</v>
      </c>
      <c r="K73" s="371">
        <v>1.1499999999999999</v>
      </c>
      <c r="L73" s="371">
        <v>1.1499999999999999</v>
      </c>
      <c r="M73" s="371">
        <v>1.1499999999999999</v>
      </c>
      <c r="N73" s="371">
        <v>1.1499999999999999</v>
      </c>
      <c r="O73" s="371">
        <v>1.1499999999999999</v>
      </c>
      <c r="P73" s="371">
        <v>1.1499999999999999</v>
      </c>
      <c r="Q73" s="371">
        <v>1.1499999999999999</v>
      </c>
      <c r="R73" s="371">
        <v>1.1499999999999999</v>
      </c>
      <c r="S73" s="371">
        <v>1.1499999999999999</v>
      </c>
      <c r="T73" s="371">
        <v>1.1499999999999999</v>
      </c>
      <c r="U73" s="371">
        <v>1.1499999999999999</v>
      </c>
      <c r="V73" s="371">
        <v>1.1499999999999999</v>
      </c>
      <c r="W73" s="371">
        <v>1.1499999999999999</v>
      </c>
      <c r="X73" s="371">
        <v>1.1499999999999999</v>
      </c>
      <c r="Y73" s="381">
        <v>1000</v>
      </c>
    </row>
    <row r="74" spans="1:26" x14ac:dyDescent="0.2">
      <c r="A74" s="378" t="s">
        <v>34</v>
      </c>
      <c r="B74" s="372">
        <v>0</v>
      </c>
      <c r="C74" s="373">
        <v>10</v>
      </c>
      <c r="D74" s="373">
        <v>6</v>
      </c>
      <c r="E74" s="373">
        <v>4</v>
      </c>
      <c r="F74" s="373">
        <v>4</v>
      </c>
      <c r="G74" s="373">
        <v>0</v>
      </c>
      <c r="H74" s="373">
        <v>0</v>
      </c>
      <c r="I74" s="373">
        <v>0</v>
      </c>
      <c r="J74" s="373">
        <v>0</v>
      </c>
      <c r="K74" s="373">
        <v>0</v>
      </c>
      <c r="L74" s="373">
        <v>0</v>
      </c>
      <c r="M74" s="373">
        <v>0</v>
      </c>
      <c r="N74" s="373">
        <v>0</v>
      </c>
      <c r="O74" s="373">
        <v>0</v>
      </c>
      <c r="P74" s="373">
        <v>0</v>
      </c>
      <c r="Q74" s="373">
        <v>0</v>
      </c>
      <c r="R74" s="373">
        <v>0</v>
      </c>
      <c r="S74" s="373">
        <v>0</v>
      </c>
      <c r="T74" s="373">
        <v>0</v>
      </c>
      <c r="U74" s="373">
        <v>0</v>
      </c>
      <c r="V74" s="373">
        <v>0</v>
      </c>
      <c r="W74" s="373">
        <v>0</v>
      </c>
      <c r="X74" s="373">
        <v>0</v>
      </c>
      <c r="Y74" s="382">
        <v>0</v>
      </c>
    </row>
    <row r="75" spans="1:26" ht="13.5" thickBot="1" x14ac:dyDescent="0.25">
      <c r="A75" s="379" t="s">
        <v>116</v>
      </c>
      <c r="B75" s="374">
        <f t="shared" ref="B75:V75" si="11">(C74+B74)*(C73-B73)/2</f>
        <v>1</v>
      </c>
      <c r="C75" s="375">
        <f t="shared" si="11"/>
        <v>0.79999999999999982</v>
      </c>
      <c r="D75" s="375">
        <f t="shared" si="11"/>
        <v>1.2500000000000002</v>
      </c>
      <c r="E75" s="375">
        <f t="shared" si="11"/>
        <v>2</v>
      </c>
      <c r="F75" s="375">
        <f t="shared" si="11"/>
        <v>0.19999999999999973</v>
      </c>
      <c r="G75" s="375">
        <f t="shared" si="11"/>
        <v>0</v>
      </c>
      <c r="H75" s="375">
        <f t="shared" si="11"/>
        <v>0</v>
      </c>
      <c r="I75" s="375">
        <f t="shared" si="11"/>
        <v>0</v>
      </c>
      <c r="J75" s="375">
        <f>(K74+J74)*(K73-J73)/2</f>
        <v>0</v>
      </c>
      <c r="K75" s="375">
        <f t="shared" si="11"/>
        <v>0</v>
      </c>
      <c r="L75" s="375">
        <f t="shared" si="11"/>
        <v>0</v>
      </c>
      <c r="M75" s="375">
        <f t="shared" si="11"/>
        <v>0</v>
      </c>
      <c r="N75" s="375">
        <f t="shared" si="11"/>
        <v>0</v>
      </c>
      <c r="O75" s="375">
        <f t="shared" si="11"/>
        <v>0</v>
      </c>
      <c r="P75" s="375">
        <f t="shared" si="11"/>
        <v>0</v>
      </c>
      <c r="Q75" s="375">
        <f t="shared" si="11"/>
        <v>0</v>
      </c>
      <c r="R75" s="375">
        <f t="shared" si="11"/>
        <v>0</v>
      </c>
      <c r="S75" s="375">
        <f>(T74+S74)*(T73-S73)/2</f>
        <v>0</v>
      </c>
      <c r="T75" s="375">
        <f t="shared" si="11"/>
        <v>0</v>
      </c>
      <c r="U75" s="375">
        <f t="shared" si="11"/>
        <v>0</v>
      </c>
      <c r="V75" s="375">
        <f t="shared" si="11"/>
        <v>0</v>
      </c>
      <c r="W75" s="375">
        <f>(X74+W74)*(X73-W73)/2</f>
        <v>0</v>
      </c>
      <c r="X75" s="375">
        <f>(Y74+X74)*(Y73-X73)/2</f>
        <v>0</v>
      </c>
      <c r="Y75" s="369"/>
    </row>
    <row r="76" spans="1:26" ht="13.5" thickBot="1" x14ac:dyDescent="0.25">
      <c r="B76" s="12"/>
      <c r="C76" s="12"/>
      <c r="D76" s="12"/>
      <c r="E76" s="12"/>
      <c r="F76" s="12"/>
      <c r="G76" s="12"/>
      <c r="H76" s="12"/>
      <c r="I76" s="12"/>
      <c r="J76" s="12"/>
      <c r="K76" s="12"/>
      <c r="L76" s="12"/>
      <c r="M76" s="12"/>
      <c r="N76" s="12"/>
      <c r="O76" s="12"/>
      <c r="P76" s="12"/>
      <c r="Q76" s="12"/>
      <c r="R76" s="12"/>
      <c r="S76" s="12"/>
      <c r="T76" s="12"/>
      <c r="U76" s="12"/>
      <c r="V76" s="12"/>
      <c r="W76" s="12"/>
      <c r="X76" s="12"/>
      <c r="Y76" s="12"/>
    </row>
    <row r="77" spans="1:26" ht="13.5" thickBot="1" x14ac:dyDescent="0.25">
      <c r="A77" s="361" t="s">
        <v>113</v>
      </c>
      <c r="B77" s="359">
        <f>ROW(A77)</f>
        <v>77</v>
      </c>
      <c r="C77" s="363" t="s">
        <v>115</v>
      </c>
      <c r="D77" s="353">
        <f>SUM(B80:Y80)</f>
        <v>10.26</v>
      </c>
      <c r="E77" s="363" t="s">
        <v>114</v>
      </c>
      <c r="F77" s="354">
        <f>D77/g/J77</f>
        <v>80.451658433309802</v>
      </c>
      <c r="G77" s="363" t="s">
        <v>56</v>
      </c>
      <c r="H77" s="64">
        <v>2.4E-2</v>
      </c>
      <c r="I77" s="363" t="s">
        <v>271</v>
      </c>
      <c r="J77" s="355">
        <f>H77-L77</f>
        <v>1.3000000000000001E-2</v>
      </c>
      <c r="K77" s="363" t="s">
        <v>272</v>
      </c>
      <c r="L77" s="64">
        <v>1.0999999999999999E-2</v>
      </c>
      <c r="M77" s="363" t="s">
        <v>57</v>
      </c>
      <c r="N77" s="65">
        <v>30</v>
      </c>
      <c r="O77" s="363" t="s">
        <v>59</v>
      </c>
      <c r="P77" s="65">
        <v>30</v>
      </c>
      <c r="Q77" s="363" t="s">
        <v>60</v>
      </c>
      <c r="R77" s="65">
        <v>70</v>
      </c>
      <c r="S77" s="363" t="s">
        <v>61</v>
      </c>
      <c r="T77" s="65">
        <v>15</v>
      </c>
      <c r="U77" s="363" t="s">
        <v>54</v>
      </c>
      <c r="V77" s="66" t="s">
        <v>117</v>
      </c>
      <c r="W77" s="463" t="s">
        <v>394</v>
      </c>
      <c r="X77" s="465">
        <v>1.7</v>
      </c>
      <c r="Y77" s="463" t="s">
        <v>393</v>
      </c>
      <c r="Z77" s="358">
        <v>3</v>
      </c>
    </row>
    <row r="78" spans="1:26" x14ac:dyDescent="0.2">
      <c r="A78" s="362" t="s">
        <v>33</v>
      </c>
      <c r="B78" s="370">
        <v>0</v>
      </c>
      <c r="C78" s="371">
        <v>0.2</v>
      </c>
      <c r="D78" s="371">
        <v>0.3</v>
      </c>
      <c r="E78" s="371">
        <v>0.6</v>
      </c>
      <c r="F78" s="371">
        <v>0.8</v>
      </c>
      <c r="G78" s="371">
        <v>2</v>
      </c>
      <c r="H78" s="371">
        <v>2.1</v>
      </c>
      <c r="I78" s="371">
        <v>2.1</v>
      </c>
      <c r="J78" s="371">
        <v>2.1</v>
      </c>
      <c r="K78" s="371">
        <v>2.1</v>
      </c>
      <c r="L78" s="371">
        <v>2.1</v>
      </c>
      <c r="M78" s="371">
        <v>2.1</v>
      </c>
      <c r="N78" s="371">
        <v>2.1</v>
      </c>
      <c r="O78" s="371">
        <v>2.1</v>
      </c>
      <c r="P78" s="371">
        <v>2.1</v>
      </c>
      <c r="Q78" s="371">
        <v>2.1</v>
      </c>
      <c r="R78" s="371">
        <v>2.1</v>
      </c>
      <c r="S78" s="371">
        <v>2.1</v>
      </c>
      <c r="T78" s="371">
        <v>2.1</v>
      </c>
      <c r="U78" s="371">
        <v>2.1</v>
      </c>
      <c r="V78" s="371">
        <v>2.1</v>
      </c>
      <c r="W78" s="371">
        <v>2.1</v>
      </c>
      <c r="X78" s="371">
        <v>2.1</v>
      </c>
      <c r="Y78" s="381">
        <v>1000</v>
      </c>
    </row>
    <row r="79" spans="1:26" x14ac:dyDescent="0.2">
      <c r="A79" s="378" t="s">
        <v>34</v>
      </c>
      <c r="B79" s="372">
        <v>0</v>
      </c>
      <c r="C79" s="373">
        <v>11</v>
      </c>
      <c r="D79" s="373">
        <v>7</v>
      </c>
      <c r="E79" s="373">
        <v>4</v>
      </c>
      <c r="F79" s="373">
        <v>4.5999999999999996</v>
      </c>
      <c r="G79" s="373">
        <v>4.5999999999999996</v>
      </c>
      <c r="H79" s="373">
        <v>0</v>
      </c>
      <c r="I79" s="373">
        <v>0</v>
      </c>
      <c r="J79" s="373">
        <v>0</v>
      </c>
      <c r="K79" s="373">
        <v>0</v>
      </c>
      <c r="L79" s="373">
        <v>0</v>
      </c>
      <c r="M79" s="373">
        <v>0</v>
      </c>
      <c r="N79" s="373">
        <v>0</v>
      </c>
      <c r="O79" s="373">
        <v>0</v>
      </c>
      <c r="P79" s="373">
        <v>0</v>
      </c>
      <c r="Q79" s="373">
        <v>0</v>
      </c>
      <c r="R79" s="373">
        <v>0</v>
      </c>
      <c r="S79" s="373">
        <v>0</v>
      </c>
      <c r="T79" s="373">
        <v>0</v>
      </c>
      <c r="U79" s="373">
        <v>0</v>
      </c>
      <c r="V79" s="373">
        <v>0</v>
      </c>
      <c r="W79" s="373">
        <v>0</v>
      </c>
      <c r="X79" s="373">
        <v>0</v>
      </c>
      <c r="Y79" s="382">
        <v>0</v>
      </c>
    </row>
    <row r="80" spans="1:26" ht="13.5" thickBot="1" x14ac:dyDescent="0.25">
      <c r="A80" s="379" t="s">
        <v>116</v>
      </c>
      <c r="B80" s="374">
        <f t="shared" ref="B80:G80" si="12">(C79+B79)*(C78-B78)/2</f>
        <v>1.1000000000000001</v>
      </c>
      <c r="C80" s="375">
        <f t="shared" si="12"/>
        <v>0.8999999999999998</v>
      </c>
      <c r="D80" s="375">
        <f t="shared" si="12"/>
        <v>1.65</v>
      </c>
      <c r="E80" s="375">
        <f t="shared" si="12"/>
        <v>0.86000000000000021</v>
      </c>
      <c r="F80" s="375">
        <f t="shared" si="12"/>
        <v>5.52</v>
      </c>
      <c r="G80" s="375">
        <f t="shared" si="12"/>
        <v>0.23000000000000018</v>
      </c>
      <c r="H80" s="375">
        <f t="shared" ref="H80:V80" si="13">(I79+H79)*(I78-H78)/2</f>
        <v>0</v>
      </c>
      <c r="I80" s="375">
        <f t="shared" si="13"/>
        <v>0</v>
      </c>
      <c r="J80" s="375">
        <f>(K79+J79)*(K78-J78)/2</f>
        <v>0</v>
      </c>
      <c r="K80" s="375">
        <f t="shared" si="13"/>
        <v>0</v>
      </c>
      <c r="L80" s="375">
        <f t="shared" si="13"/>
        <v>0</v>
      </c>
      <c r="M80" s="375">
        <f t="shared" si="13"/>
        <v>0</v>
      </c>
      <c r="N80" s="375">
        <f t="shared" si="13"/>
        <v>0</v>
      </c>
      <c r="O80" s="375">
        <f t="shared" si="13"/>
        <v>0</v>
      </c>
      <c r="P80" s="375">
        <f t="shared" si="13"/>
        <v>0</v>
      </c>
      <c r="Q80" s="375">
        <f t="shared" si="13"/>
        <v>0</v>
      </c>
      <c r="R80" s="375">
        <f t="shared" si="13"/>
        <v>0</v>
      </c>
      <c r="S80" s="375">
        <f>(T79+S79)*(T78-S78)/2</f>
        <v>0</v>
      </c>
      <c r="T80" s="375">
        <f t="shared" si="13"/>
        <v>0</v>
      </c>
      <c r="U80" s="375">
        <f t="shared" si="13"/>
        <v>0</v>
      </c>
      <c r="V80" s="375">
        <f t="shared" si="13"/>
        <v>0</v>
      </c>
      <c r="W80" s="375">
        <f>(X79+W79)*(X78-W78)/2</f>
        <v>0</v>
      </c>
      <c r="X80" s="375">
        <f>(Y79+X79)*(Y78-X78)/2</f>
        <v>0</v>
      </c>
      <c r="Y80" s="369"/>
    </row>
    <row r="81" spans="1:26" ht="13.5" thickBot="1" x14ac:dyDescent="0.25">
      <c r="A81" s="12"/>
      <c r="L81" s="12"/>
      <c r="M81" s="12"/>
      <c r="N81" s="12"/>
      <c r="O81" s="12"/>
      <c r="P81" s="12"/>
      <c r="Q81" s="12"/>
      <c r="R81" s="12"/>
      <c r="S81" s="12"/>
      <c r="T81" s="12"/>
      <c r="U81" s="12"/>
      <c r="V81" s="12"/>
      <c r="W81" s="12"/>
      <c r="X81" s="12"/>
      <c r="Y81" s="12"/>
    </row>
    <row r="82" spans="1:26" ht="13.5" thickBot="1" x14ac:dyDescent="0.25">
      <c r="A82" s="361" t="s">
        <v>329</v>
      </c>
      <c r="B82" s="359">
        <f>ROW(A82)</f>
        <v>82</v>
      </c>
      <c r="C82" s="363" t="s">
        <v>115</v>
      </c>
      <c r="D82" s="353">
        <f>SUM(B85:Y85)</f>
        <v>20.52</v>
      </c>
      <c r="E82" s="363" t="s">
        <v>114</v>
      </c>
      <c r="F82" s="354">
        <f>D82/g/J82</f>
        <v>80.451658433309802</v>
      </c>
      <c r="G82" s="363" t="s">
        <v>56</v>
      </c>
      <c r="H82" s="64">
        <f>H77*2</f>
        <v>4.8000000000000001E-2</v>
      </c>
      <c r="I82" s="363" t="s">
        <v>271</v>
      </c>
      <c r="J82" s="355">
        <f>H82-L82</f>
        <v>2.6000000000000002E-2</v>
      </c>
      <c r="K82" s="363" t="s">
        <v>272</v>
      </c>
      <c r="L82" s="64">
        <f>L77*2</f>
        <v>2.1999999999999999E-2</v>
      </c>
      <c r="M82" s="363" t="s">
        <v>57</v>
      </c>
      <c r="N82" s="65">
        <v>30</v>
      </c>
      <c r="O82" s="363" t="s">
        <v>59</v>
      </c>
      <c r="P82" s="65">
        <v>30</v>
      </c>
      <c r="Q82" s="363" t="s">
        <v>60</v>
      </c>
      <c r="R82" s="65">
        <v>70</v>
      </c>
      <c r="S82" s="363" t="s">
        <v>61</v>
      </c>
      <c r="T82" s="65">
        <v>30</v>
      </c>
      <c r="U82" s="363" t="s">
        <v>54</v>
      </c>
      <c r="V82" s="66" t="s">
        <v>117</v>
      </c>
      <c r="W82" s="463" t="s">
        <v>394</v>
      </c>
      <c r="X82" s="465">
        <v>1.7</v>
      </c>
      <c r="Y82" s="463" t="s">
        <v>393</v>
      </c>
      <c r="Z82" s="358">
        <v>3</v>
      </c>
    </row>
    <row r="83" spans="1:26" x14ac:dyDescent="0.2">
      <c r="A83" s="362" t="s">
        <v>33</v>
      </c>
      <c r="B83" s="370">
        <v>0</v>
      </c>
      <c r="C83" s="371">
        <v>0.2</v>
      </c>
      <c r="D83" s="371">
        <v>0.3</v>
      </c>
      <c r="E83" s="371">
        <v>0.6</v>
      </c>
      <c r="F83" s="371">
        <v>0.8</v>
      </c>
      <c r="G83" s="371">
        <v>2</v>
      </c>
      <c r="H83" s="371">
        <v>2.1</v>
      </c>
      <c r="I83" s="371">
        <v>2.1</v>
      </c>
      <c r="J83" s="371">
        <v>2.1</v>
      </c>
      <c r="K83" s="371">
        <v>2.1</v>
      </c>
      <c r="L83" s="371">
        <v>2.1</v>
      </c>
      <c r="M83" s="371">
        <v>2.1</v>
      </c>
      <c r="N83" s="371">
        <v>2.1</v>
      </c>
      <c r="O83" s="371">
        <v>2.1</v>
      </c>
      <c r="P83" s="371">
        <v>2.1</v>
      </c>
      <c r="Q83" s="371">
        <v>2.1</v>
      </c>
      <c r="R83" s="371">
        <v>2.1</v>
      </c>
      <c r="S83" s="371">
        <v>2.1</v>
      </c>
      <c r="T83" s="371">
        <v>2.1</v>
      </c>
      <c r="U83" s="371">
        <v>2.1</v>
      </c>
      <c r="V83" s="371">
        <v>2.1</v>
      </c>
      <c r="W83" s="371">
        <v>2.1</v>
      </c>
      <c r="X83" s="371">
        <v>2.1</v>
      </c>
      <c r="Y83" s="381">
        <v>1000</v>
      </c>
    </row>
    <row r="84" spans="1:26" x14ac:dyDescent="0.2">
      <c r="A84" s="378" t="s">
        <v>34</v>
      </c>
      <c r="B84" s="372">
        <f>B79*2</f>
        <v>0</v>
      </c>
      <c r="C84" s="373">
        <f t="shared" ref="C84:X84" si="14">C79*2</f>
        <v>22</v>
      </c>
      <c r="D84" s="373">
        <f t="shared" si="14"/>
        <v>14</v>
      </c>
      <c r="E84" s="373">
        <f t="shared" si="14"/>
        <v>8</v>
      </c>
      <c r="F84" s="373">
        <f t="shared" si="14"/>
        <v>9.1999999999999993</v>
      </c>
      <c r="G84" s="373">
        <f t="shared" si="14"/>
        <v>9.1999999999999993</v>
      </c>
      <c r="H84" s="373">
        <f t="shared" si="14"/>
        <v>0</v>
      </c>
      <c r="I84" s="373">
        <f t="shared" si="14"/>
        <v>0</v>
      </c>
      <c r="J84" s="373">
        <f t="shared" si="14"/>
        <v>0</v>
      </c>
      <c r="K84" s="373">
        <f t="shared" si="14"/>
        <v>0</v>
      </c>
      <c r="L84" s="373">
        <f t="shared" si="14"/>
        <v>0</v>
      </c>
      <c r="M84" s="373">
        <f t="shared" si="14"/>
        <v>0</v>
      </c>
      <c r="N84" s="373">
        <f t="shared" si="14"/>
        <v>0</v>
      </c>
      <c r="O84" s="373">
        <f t="shared" si="14"/>
        <v>0</v>
      </c>
      <c r="P84" s="373">
        <f t="shared" si="14"/>
        <v>0</v>
      </c>
      <c r="Q84" s="373">
        <f t="shared" si="14"/>
        <v>0</v>
      </c>
      <c r="R84" s="373">
        <f t="shared" si="14"/>
        <v>0</v>
      </c>
      <c r="S84" s="373">
        <f t="shared" si="14"/>
        <v>0</v>
      </c>
      <c r="T84" s="373">
        <f t="shared" si="14"/>
        <v>0</v>
      </c>
      <c r="U84" s="373">
        <f t="shared" si="14"/>
        <v>0</v>
      </c>
      <c r="V84" s="373">
        <f t="shared" si="14"/>
        <v>0</v>
      </c>
      <c r="W84" s="373">
        <f t="shared" si="14"/>
        <v>0</v>
      </c>
      <c r="X84" s="373">
        <f t="shared" si="14"/>
        <v>0</v>
      </c>
      <c r="Y84" s="382">
        <v>0</v>
      </c>
    </row>
    <row r="85" spans="1:26" ht="13.5" thickBot="1" x14ac:dyDescent="0.25">
      <c r="A85" s="379" t="s">
        <v>116</v>
      </c>
      <c r="B85" s="374">
        <f t="shared" ref="B85:X85" si="15">(C84+B84)*(C83-B83)/2</f>
        <v>2.2000000000000002</v>
      </c>
      <c r="C85" s="375">
        <f t="shared" si="15"/>
        <v>1.7999999999999996</v>
      </c>
      <c r="D85" s="375">
        <f t="shared" si="15"/>
        <v>3.3</v>
      </c>
      <c r="E85" s="375">
        <f t="shared" si="15"/>
        <v>1.7200000000000004</v>
      </c>
      <c r="F85" s="375">
        <f t="shared" si="15"/>
        <v>11.04</v>
      </c>
      <c r="G85" s="375">
        <f t="shared" si="15"/>
        <v>0.46000000000000035</v>
      </c>
      <c r="H85" s="375">
        <f t="shared" si="15"/>
        <v>0</v>
      </c>
      <c r="I85" s="375">
        <f t="shared" si="15"/>
        <v>0</v>
      </c>
      <c r="J85" s="375">
        <f t="shared" si="15"/>
        <v>0</v>
      </c>
      <c r="K85" s="375">
        <f t="shared" si="15"/>
        <v>0</v>
      </c>
      <c r="L85" s="375">
        <f t="shared" si="15"/>
        <v>0</v>
      </c>
      <c r="M85" s="375">
        <f t="shared" si="15"/>
        <v>0</v>
      </c>
      <c r="N85" s="375">
        <f t="shared" si="15"/>
        <v>0</v>
      </c>
      <c r="O85" s="375">
        <f t="shared" si="15"/>
        <v>0</v>
      </c>
      <c r="P85" s="375">
        <f t="shared" si="15"/>
        <v>0</v>
      </c>
      <c r="Q85" s="375">
        <f t="shared" si="15"/>
        <v>0</v>
      </c>
      <c r="R85" s="375">
        <f t="shared" si="15"/>
        <v>0</v>
      </c>
      <c r="S85" s="375">
        <f t="shared" si="15"/>
        <v>0</v>
      </c>
      <c r="T85" s="375">
        <f t="shared" si="15"/>
        <v>0</v>
      </c>
      <c r="U85" s="375">
        <f t="shared" si="15"/>
        <v>0</v>
      </c>
      <c r="V85" s="375">
        <f t="shared" si="15"/>
        <v>0</v>
      </c>
      <c r="W85" s="375">
        <f t="shared" si="15"/>
        <v>0</v>
      </c>
      <c r="X85" s="375">
        <f t="shared" si="15"/>
        <v>0</v>
      </c>
      <c r="Y85" s="369"/>
    </row>
    <row r="86" spans="1:26" ht="13.5" thickBot="1" x14ac:dyDescent="0.25">
      <c r="B86" s="12"/>
      <c r="C86" s="12"/>
      <c r="D86" s="12"/>
      <c r="E86" s="12"/>
      <c r="F86" s="12"/>
      <c r="G86" s="12"/>
      <c r="H86" s="12"/>
      <c r="I86" s="12"/>
      <c r="J86" s="12"/>
      <c r="K86" s="12"/>
      <c r="L86" s="12"/>
      <c r="M86" s="12"/>
      <c r="N86" s="12"/>
      <c r="O86" s="12"/>
      <c r="P86" s="12"/>
      <c r="Q86" s="12"/>
      <c r="R86" s="12"/>
      <c r="S86" s="12"/>
      <c r="T86" s="12"/>
      <c r="U86" s="12"/>
      <c r="V86" s="12"/>
      <c r="W86" s="12"/>
      <c r="X86" s="12"/>
      <c r="Y86" s="12"/>
    </row>
    <row r="87" spans="1:26" ht="13.5" thickBot="1" x14ac:dyDescent="0.25">
      <c r="A87" s="361" t="s">
        <v>330</v>
      </c>
      <c r="B87" s="359">
        <f>ROW(A87)</f>
        <v>87</v>
      </c>
      <c r="C87" s="363" t="s">
        <v>115</v>
      </c>
      <c r="D87" s="353">
        <f>SUM(B90:Y90)</f>
        <v>30.779999999999998</v>
      </c>
      <c r="E87" s="363" t="s">
        <v>114</v>
      </c>
      <c r="F87" s="354">
        <f>D87/g/J87</f>
        <v>80.451658433309774</v>
      </c>
      <c r="G87" s="363" t="s">
        <v>56</v>
      </c>
      <c r="H87" s="64">
        <f>H77*3</f>
        <v>7.2000000000000008E-2</v>
      </c>
      <c r="I87" s="363" t="s">
        <v>271</v>
      </c>
      <c r="J87" s="355">
        <f>H87-L87</f>
        <v>3.9000000000000007E-2</v>
      </c>
      <c r="K87" s="363" t="s">
        <v>272</v>
      </c>
      <c r="L87" s="64">
        <f>L77*3</f>
        <v>3.3000000000000002E-2</v>
      </c>
      <c r="M87" s="363" t="s">
        <v>57</v>
      </c>
      <c r="N87" s="65">
        <v>30</v>
      </c>
      <c r="O87" s="363" t="s">
        <v>59</v>
      </c>
      <c r="P87" s="65">
        <v>30</v>
      </c>
      <c r="Q87" s="363" t="s">
        <v>60</v>
      </c>
      <c r="R87" s="65">
        <v>70</v>
      </c>
      <c r="S87" s="363" t="s">
        <v>61</v>
      </c>
      <c r="T87" s="65">
        <v>40</v>
      </c>
      <c r="U87" s="363" t="s">
        <v>54</v>
      </c>
      <c r="V87" s="66" t="s">
        <v>117</v>
      </c>
      <c r="W87" s="463" t="s">
        <v>394</v>
      </c>
      <c r="X87" s="465">
        <v>1.7</v>
      </c>
      <c r="Y87" s="463" t="s">
        <v>393</v>
      </c>
      <c r="Z87" s="358">
        <v>3</v>
      </c>
    </row>
    <row r="88" spans="1:26" x14ac:dyDescent="0.2">
      <c r="A88" s="362" t="s">
        <v>33</v>
      </c>
      <c r="B88" s="370">
        <v>0</v>
      </c>
      <c r="C88" s="371">
        <v>0.2</v>
      </c>
      <c r="D88" s="371">
        <v>0.3</v>
      </c>
      <c r="E88" s="371">
        <v>0.6</v>
      </c>
      <c r="F88" s="371">
        <v>0.8</v>
      </c>
      <c r="G88" s="371">
        <v>2</v>
      </c>
      <c r="H88" s="371">
        <v>2.1</v>
      </c>
      <c r="I88" s="371">
        <v>2.1</v>
      </c>
      <c r="J88" s="371">
        <v>2.1</v>
      </c>
      <c r="K88" s="371">
        <v>2.1</v>
      </c>
      <c r="L88" s="371">
        <v>2.1</v>
      </c>
      <c r="M88" s="371">
        <v>2.1</v>
      </c>
      <c r="N88" s="371">
        <v>2.1</v>
      </c>
      <c r="O88" s="371">
        <v>2.1</v>
      </c>
      <c r="P88" s="371">
        <v>2.1</v>
      </c>
      <c r="Q88" s="371">
        <v>2.1</v>
      </c>
      <c r="R88" s="371">
        <v>2.1</v>
      </c>
      <c r="S88" s="371">
        <v>2.1</v>
      </c>
      <c r="T88" s="371">
        <v>2.1</v>
      </c>
      <c r="U88" s="371">
        <v>2.1</v>
      </c>
      <c r="V88" s="371">
        <v>2.1</v>
      </c>
      <c r="W88" s="371">
        <v>2.1</v>
      </c>
      <c r="X88" s="371">
        <v>2.1</v>
      </c>
      <c r="Y88" s="381">
        <v>1000</v>
      </c>
    </row>
    <row r="89" spans="1:26" x14ac:dyDescent="0.2">
      <c r="A89" s="378" t="s">
        <v>34</v>
      </c>
      <c r="B89" s="372">
        <f>B79*3</f>
        <v>0</v>
      </c>
      <c r="C89" s="373">
        <f t="shared" ref="C89:X89" si="16">C79*3</f>
        <v>33</v>
      </c>
      <c r="D89" s="373">
        <f t="shared" si="16"/>
        <v>21</v>
      </c>
      <c r="E89" s="373">
        <f t="shared" si="16"/>
        <v>12</v>
      </c>
      <c r="F89" s="373">
        <f t="shared" si="16"/>
        <v>13.799999999999999</v>
      </c>
      <c r="G89" s="373">
        <f t="shared" si="16"/>
        <v>13.799999999999999</v>
      </c>
      <c r="H89" s="373">
        <f t="shared" si="16"/>
        <v>0</v>
      </c>
      <c r="I89" s="373">
        <f t="shared" si="16"/>
        <v>0</v>
      </c>
      <c r="J89" s="373">
        <f t="shared" si="16"/>
        <v>0</v>
      </c>
      <c r="K89" s="373">
        <f t="shared" si="16"/>
        <v>0</v>
      </c>
      <c r="L89" s="373">
        <f t="shared" si="16"/>
        <v>0</v>
      </c>
      <c r="M89" s="373">
        <f t="shared" si="16"/>
        <v>0</v>
      </c>
      <c r="N89" s="373">
        <f t="shared" si="16"/>
        <v>0</v>
      </c>
      <c r="O89" s="373">
        <f t="shared" si="16"/>
        <v>0</v>
      </c>
      <c r="P89" s="373">
        <f t="shared" si="16"/>
        <v>0</v>
      </c>
      <c r="Q89" s="373">
        <f t="shared" si="16"/>
        <v>0</v>
      </c>
      <c r="R89" s="373">
        <f t="shared" si="16"/>
        <v>0</v>
      </c>
      <c r="S89" s="373">
        <f t="shared" si="16"/>
        <v>0</v>
      </c>
      <c r="T89" s="373">
        <f t="shared" si="16"/>
        <v>0</v>
      </c>
      <c r="U89" s="373">
        <f t="shared" si="16"/>
        <v>0</v>
      </c>
      <c r="V89" s="373">
        <f t="shared" si="16"/>
        <v>0</v>
      </c>
      <c r="W89" s="373">
        <f t="shared" si="16"/>
        <v>0</v>
      </c>
      <c r="X89" s="373">
        <f t="shared" si="16"/>
        <v>0</v>
      </c>
      <c r="Y89" s="382">
        <v>0</v>
      </c>
    </row>
    <row r="90" spans="1:26" ht="13.5" thickBot="1" x14ac:dyDescent="0.25">
      <c r="A90" s="379" t="s">
        <v>116</v>
      </c>
      <c r="B90" s="374">
        <f t="shared" ref="B90:X90" si="17">(C89+B89)*(C88-B88)/2</f>
        <v>3.3000000000000003</v>
      </c>
      <c r="C90" s="375">
        <f t="shared" si="17"/>
        <v>2.6999999999999993</v>
      </c>
      <c r="D90" s="375">
        <f t="shared" si="17"/>
        <v>4.95</v>
      </c>
      <c r="E90" s="375">
        <f t="shared" si="17"/>
        <v>2.5800000000000005</v>
      </c>
      <c r="F90" s="375">
        <f t="shared" si="17"/>
        <v>16.559999999999999</v>
      </c>
      <c r="G90" s="375">
        <f t="shared" si="17"/>
        <v>0.69000000000000061</v>
      </c>
      <c r="H90" s="375">
        <f t="shared" si="17"/>
        <v>0</v>
      </c>
      <c r="I90" s="375">
        <f t="shared" si="17"/>
        <v>0</v>
      </c>
      <c r="J90" s="375">
        <f t="shared" si="17"/>
        <v>0</v>
      </c>
      <c r="K90" s="375">
        <f t="shared" si="17"/>
        <v>0</v>
      </c>
      <c r="L90" s="375">
        <f t="shared" si="17"/>
        <v>0</v>
      </c>
      <c r="M90" s="375">
        <f t="shared" si="17"/>
        <v>0</v>
      </c>
      <c r="N90" s="375">
        <f t="shared" si="17"/>
        <v>0</v>
      </c>
      <c r="O90" s="375">
        <f t="shared" si="17"/>
        <v>0</v>
      </c>
      <c r="P90" s="375">
        <f t="shared" si="17"/>
        <v>0</v>
      </c>
      <c r="Q90" s="375">
        <f t="shared" si="17"/>
        <v>0</v>
      </c>
      <c r="R90" s="375">
        <f t="shared" si="17"/>
        <v>0</v>
      </c>
      <c r="S90" s="375">
        <f t="shared" si="17"/>
        <v>0</v>
      </c>
      <c r="T90" s="375">
        <f t="shared" si="17"/>
        <v>0</v>
      </c>
      <c r="U90" s="375">
        <f t="shared" si="17"/>
        <v>0</v>
      </c>
      <c r="V90" s="375">
        <f t="shared" si="17"/>
        <v>0</v>
      </c>
      <c r="W90" s="375">
        <f t="shared" si="17"/>
        <v>0</v>
      </c>
      <c r="X90" s="375">
        <f t="shared" si="17"/>
        <v>0</v>
      </c>
      <c r="Y90" s="369"/>
    </row>
    <row r="91" spans="1:26" ht="13.5" thickBot="1" x14ac:dyDescent="0.25">
      <c r="B91" s="12"/>
      <c r="C91" s="12"/>
      <c r="D91" s="12"/>
      <c r="E91" s="12"/>
      <c r="F91" s="12"/>
      <c r="G91" s="12"/>
      <c r="H91" s="12"/>
      <c r="I91" s="12"/>
      <c r="J91" s="12"/>
      <c r="K91" s="12"/>
      <c r="L91" s="12"/>
      <c r="M91" s="12"/>
      <c r="N91" s="12"/>
      <c r="O91" s="12"/>
      <c r="P91" s="12"/>
      <c r="Q91" s="12"/>
      <c r="R91" s="12"/>
      <c r="S91" s="12"/>
      <c r="T91" s="12"/>
      <c r="U91" s="12"/>
      <c r="V91" s="12"/>
      <c r="W91" s="12"/>
      <c r="X91" s="12"/>
      <c r="Y91" s="12"/>
    </row>
    <row r="92" spans="1:26" ht="13.5" thickBot="1" x14ac:dyDescent="0.25">
      <c r="A92" s="361" t="s">
        <v>541</v>
      </c>
      <c r="B92" s="359">
        <f>ROW(A92)</f>
        <v>92</v>
      </c>
      <c r="C92" s="363" t="s">
        <v>115</v>
      </c>
      <c r="D92" s="353">
        <f>SUM(B95:Y95)</f>
        <v>19.961989000000003</v>
      </c>
      <c r="E92" s="363" t="s">
        <v>114</v>
      </c>
      <c r="F92" s="354">
        <f>D92/g/J92</f>
        <v>118.30588744280873</v>
      </c>
      <c r="G92" s="363" t="s">
        <v>56</v>
      </c>
      <c r="H92" s="64">
        <v>2.8199999999999999E-2</v>
      </c>
      <c r="I92" s="363" t="s">
        <v>271</v>
      </c>
      <c r="J92" s="355">
        <f>H92-L92</f>
        <v>1.72E-2</v>
      </c>
      <c r="K92" s="363" t="s">
        <v>272</v>
      </c>
      <c r="L92" s="64">
        <v>1.0999999999999999E-2</v>
      </c>
      <c r="M92" s="363" t="s">
        <v>57</v>
      </c>
      <c r="N92" s="65">
        <v>30</v>
      </c>
      <c r="O92" s="363" t="s">
        <v>59</v>
      </c>
      <c r="P92" s="65">
        <v>30</v>
      </c>
      <c r="Q92" s="363" t="s">
        <v>60</v>
      </c>
      <c r="R92" s="65">
        <v>70</v>
      </c>
      <c r="S92" s="363" t="s">
        <v>61</v>
      </c>
      <c r="T92" s="65">
        <v>18</v>
      </c>
      <c r="U92" s="363" t="s">
        <v>54</v>
      </c>
      <c r="V92" s="66" t="s">
        <v>401</v>
      </c>
      <c r="W92" s="463" t="s">
        <v>394</v>
      </c>
      <c r="X92" s="465">
        <v>2.1</v>
      </c>
      <c r="Y92" s="463" t="s">
        <v>393</v>
      </c>
      <c r="Z92" s="358">
        <v>7</v>
      </c>
    </row>
    <row r="93" spans="1:26" x14ac:dyDescent="0.2">
      <c r="A93" s="362" t="s">
        <v>33</v>
      </c>
      <c r="B93" s="370">
        <v>0</v>
      </c>
      <c r="C93" s="471">
        <v>0.04</v>
      </c>
      <c r="D93" s="471">
        <v>0.11600000000000001</v>
      </c>
      <c r="E93" s="471">
        <v>0.21299999999999999</v>
      </c>
      <c r="F93" s="471">
        <v>0.28599999999999998</v>
      </c>
      <c r="G93" s="471">
        <v>0.32900000000000001</v>
      </c>
      <c r="H93" s="471">
        <v>0.36899999999999999</v>
      </c>
      <c r="I93" s="471">
        <v>0.42</v>
      </c>
      <c r="J93" s="471">
        <v>0.495</v>
      </c>
      <c r="K93" s="471">
        <v>0.59699999999999998</v>
      </c>
      <c r="L93" s="471">
        <v>1.7110000000000001</v>
      </c>
      <c r="M93" s="471">
        <v>1.8260000000000001</v>
      </c>
      <c r="N93" s="471">
        <v>1.917</v>
      </c>
      <c r="O93" s="471">
        <v>1.9750000000000001</v>
      </c>
      <c r="P93" s="471">
        <v>2.206</v>
      </c>
      <c r="Q93" s="471">
        <v>2.242</v>
      </c>
      <c r="R93" s="371">
        <v>2.5</v>
      </c>
      <c r="S93" s="371">
        <v>2.5</v>
      </c>
      <c r="T93" s="371">
        <v>2.5</v>
      </c>
      <c r="U93" s="371">
        <v>2.5</v>
      </c>
      <c r="V93" s="371">
        <v>2.5</v>
      </c>
      <c r="W93" s="371">
        <v>2.5</v>
      </c>
      <c r="X93" s="371">
        <v>2.5</v>
      </c>
      <c r="Y93" s="381">
        <v>1000</v>
      </c>
    </row>
    <row r="94" spans="1:26" x14ac:dyDescent="0.2">
      <c r="A94" s="378" t="s">
        <v>34</v>
      </c>
      <c r="B94" s="372">
        <v>0</v>
      </c>
      <c r="C94" s="471">
        <v>2.1110000000000002</v>
      </c>
      <c r="D94" s="471">
        <v>9.6850000000000005</v>
      </c>
      <c r="E94" s="471">
        <v>25</v>
      </c>
      <c r="F94" s="471">
        <v>15.738</v>
      </c>
      <c r="G94" s="471">
        <v>12.472</v>
      </c>
      <c r="H94" s="471">
        <v>10.67</v>
      </c>
      <c r="I94" s="471">
        <v>9.7129999999999992</v>
      </c>
      <c r="J94" s="471">
        <v>9.1780000000000008</v>
      </c>
      <c r="K94" s="471">
        <v>8.8960000000000008</v>
      </c>
      <c r="L94" s="471">
        <v>8.9250000000000007</v>
      </c>
      <c r="M94" s="471">
        <v>8.6989999999999998</v>
      </c>
      <c r="N94" s="471">
        <v>8.0519999999999996</v>
      </c>
      <c r="O94" s="471">
        <v>6.9539999999999997</v>
      </c>
      <c r="P94" s="471">
        <v>1.07</v>
      </c>
      <c r="Q94" s="471">
        <v>0</v>
      </c>
      <c r="R94" s="373">
        <v>0</v>
      </c>
      <c r="S94" s="373">
        <v>0</v>
      </c>
      <c r="T94" s="373">
        <v>0</v>
      </c>
      <c r="U94" s="373">
        <v>0</v>
      </c>
      <c r="V94" s="373">
        <v>0</v>
      </c>
      <c r="W94" s="373">
        <v>0</v>
      </c>
      <c r="X94" s="373">
        <v>0</v>
      </c>
      <c r="Y94" s="382">
        <v>0</v>
      </c>
    </row>
    <row r="95" spans="1:26" ht="13.5" thickBot="1" x14ac:dyDescent="0.25">
      <c r="A95" s="379" t="s">
        <v>116</v>
      </c>
      <c r="B95" s="374">
        <f t="shared" ref="B95:X95" si="18">(C94+B94)*(C93-B93)/2</f>
        <v>4.2220000000000008E-2</v>
      </c>
      <c r="C95" s="375">
        <f t="shared" si="18"/>
        <v>0.44824800000000009</v>
      </c>
      <c r="D95" s="375">
        <f t="shared" si="18"/>
        <v>1.6822225</v>
      </c>
      <c r="E95" s="375">
        <f t="shared" si="18"/>
        <v>1.4869369999999995</v>
      </c>
      <c r="F95" s="375">
        <f t="shared" si="18"/>
        <v>0.60651500000000058</v>
      </c>
      <c r="G95" s="375">
        <f t="shared" si="18"/>
        <v>0.46283999999999975</v>
      </c>
      <c r="H95" s="375">
        <f t="shared" si="18"/>
        <v>0.51976649999999991</v>
      </c>
      <c r="I95" s="375">
        <f t="shared" si="18"/>
        <v>0.7084125</v>
      </c>
      <c r="J95" s="375">
        <f t="shared" si="18"/>
        <v>0.92177399999999987</v>
      </c>
      <c r="K95" s="375">
        <f t="shared" si="18"/>
        <v>9.9262970000000017</v>
      </c>
      <c r="L95" s="375">
        <f t="shared" si="18"/>
        <v>1.0133799999999999</v>
      </c>
      <c r="M95" s="375">
        <f t="shared" si="18"/>
        <v>0.76217049999999964</v>
      </c>
      <c r="N95" s="375">
        <f t="shared" si="18"/>
        <v>0.43517400000000039</v>
      </c>
      <c r="O95" s="375">
        <f t="shared" si="18"/>
        <v>0.92677199999999937</v>
      </c>
      <c r="P95" s="375">
        <f t="shared" si="18"/>
        <v>1.9260000000000017E-2</v>
      </c>
      <c r="Q95" s="375">
        <f t="shared" si="18"/>
        <v>0</v>
      </c>
      <c r="R95" s="375">
        <f t="shared" si="18"/>
        <v>0</v>
      </c>
      <c r="S95" s="375">
        <f t="shared" si="18"/>
        <v>0</v>
      </c>
      <c r="T95" s="375">
        <f t="shared" si="18"/>
        <v>0</v>
      </c>
      <c r="U95" s="375">
        <f t="shared" si="18"/>
        <v>0</v>
      </c>
      <c r="V95" s="375">
        <f t="shared" si="18"/>
        <v>0</v>
      </c>
      <c r="W95" s="375">
        <f t="shared" si="18"/>
        <v>0</v>
      </c>
      <c r="X95" s="375">
        <f t="shared" si="18"/>
        <v>0</v>
      </c>
      <c r="Y95" s="369"/>
    </row>
    <row r="96" spans="1:26" ht="13.5" thickBot="1" x14ac:dyDescent="0.25">
      <c r="A96" s="12"/>
      <c r="L96" s="12"/>
      <c r="M96" s="12"/>
      <c r="N96" s="12"/>
      <c r="O96" s="12"/>
      <c r="P96" s="12"/>
      <c r="Q96" s="12"/>
      <c r="R96" s="12"/>
      <c r="S96" s="12"/>
      <c r="T96" s="12"/>
      <c r="U96" s="12"/>
      <c r="V96" s="12"/>
      <c r="W96" s="12"/>
      <c r="X96" s="12"/>
      <c r="Y96" s="12"/>
    </row>
    <row r="97" spans="1:26" ht="13.5" thickBot="1" x14ac:dyDescent="0.25">
      <c r="A97" s="361" t="s">
        <v>539</v>
      </c>
      <c r="B97" s="359">
        <f>ROW(A97)</f>
        <v>97</v>
      </c>
      <c r="C97" s="363" t="s">
        <v>115</v>
      </c>
      <c r="D97" s="353">
        <f>SUM(B100:Y100)</f>
        <v>39.923978000000005</v>
      </c>
      <c r="E97" s="363" t="s">
        <v>114</v>
      </c>
      <c r="F97" s="354">
        <f>D97/g/J97</f>
        <v>118.30588744280873</v>
      </c>
      <c r="G97" s="363" t="s">
        <v>56</v>
      </c>
      <c r="H97" s="64">
        <f>H92*2</f>
        <v>5.6399999999999999E-2</v>
      </c>
      <c r="I97" s="363" t="s">
        <v>271</v>
      </c>
      <c r="J97" s="355">
        <f>H97-L97</f>
        <v>3.44E-2</v>
      </c>
      <c r="K97" s="363" t="s">
        <v>272</v>
      </c>
      <c r="L97" s="64">
        <f>L92*2</f>
        <v>2.1999999999999999E-2</v>
      </c>
      <c r="M97" s="363" t="s">
        <v>57</v>
      </c>
      <c r="N97" s="65">
        <v>30</v>
      </c>
      <c r="O97" s="363" t="s">
        <v>59</v>
      </c>
      <c r="P97" s="65">
        <v>30</v>
      </c>
      <c r="Q97" s="363" t="s">
        <v>60</v>
      </c>
      <c r="R97" s="65">
        <v>70</v>
      </c>
      <c r="S97" s="363" t="s">
        <v>61</v>
      </c>
      <c r="T97" s="65">
        <v>30</v>
      </c>
      <c r="U97" s="363" t="s">
        <v>54</v>
      </c>
      <c r="V97" s="66" t="s">
        <v>401</v>
      </c>
      <c r="W97" s="463" t="s">
        <v>394</v>
      </c>
      <c r="X97" s="465">
        <v>2.1</v>
      </c>
      <c r="Y97" s="463" t="s">
        <v>393</v>
      </c>
      <c r="Z97" s="358">
        <v>7</v>
      </c>
    </row>
    <row r="98" spans="1:26" x14ac:dyDescent="0.2">
      <c r="A98" s="362" t="s">
        <v>33</v>
      </c>
      <c r="B98" s="370">
        <v>0</v>
      </c>
      <c r="C98" s="371">
        <f>C93</f>
        <v>0.04</v>
      </c>
      <c r="D98" s="371">
        <f t="shared" ref="D98:X98" si="19">D93</f>
        <v>0.11600000000000001</v>
      </c>
      <c r="E98" s="371">
        <f t="shared" si="19"/>
        <v>0.21299999999999999</v>
      </c>
      <c r="F98" s="371">
        <f t="shared" si="19"/>
        <v>0.28599999999999998</v>
      </c>
      <c r="G98" s="371">
        <f t="shared" si="19"/>
        <v>0.32900000000000001</v>
      </c>
      <c r="H98" s="371">
        <f t="shared" si="19"/>
        <v>0.36899999999999999</v>
      </c>
      <c r="I98" s="371">
        <f t="shared" si="19"/>
        <v>0.42</v>
      </c>
      <c r="J98" s="371">
        <f t="shared" si="19"/>
        <v>0.495</v>
      </c>
      <c r="K98" s="371">
        <f t="shared" si="19"/>
        <v>0.59699999999999998</v>
      </c>
      <c r="L98" s="371">
        <f t="shared" si="19"/>
        <v>1.7110000000000001</v>
      </c>
      <c r="M98" s="371">
        <f t="shared" si="19"/>
        <v>1.8260000000000001</v>
      </c>
      <c r="N98" s="371">
        <f t="shared" si="19"/>
        <v>1.917</v>
      </c>
      <c r="O98" s="371">
        <f t="shared" si="19"/>
        <v>1.9750000000000001</v>
      </c>
      <c r="P98" s="371">
        <f t="shared" si="19"/>
        <v>2.206</v>
      </c>
      <c r="Q98" s="371">
        <f t="shared" si="19"/>
        <v>2.242</v>
      </c>
      <c r="R98" s="371">
        <f t="shared" si="19"/>
        <v>2.5</v>
      </c>
      <c r="S98" s="371">
        <f>S93</f>
        <v>2.5</v>
      </c>
      <c r="T98" s="371">
        <f t="shared" si="19"/>
        <v>2.5</v>
      </c>
      <c r="U98" s="371">
        <f t="shared" si="19"/>
        <v>2.5</v>
      </c>
      <c r="V98" s="371">
        <f t="shared" si="19"/>
        <v>2.5</v>
      </c>
      <c r="W98" s="371">
        <f t="shared" si="19"/>
        <v>2.5</v>
      </c>
      <c r="X98" s="371">
        <f t="shared" si="19"/>
        <v>2.5</v>
      </c>
      <c r="Y98" s="381">
        <v>1000</v>
      </c>
    </row>
    <row r="99" spans="1:26" x14ac:dyDescent="0.2">
      <c r="A99" s="378" t="s">
        <v>34</v>
      </c>
      <c r="B99" s="372">
        <f>B94*2</f>
        <v>0</v>
      </c>
      <c r="C99" s="373">
        <f t="shared" ref="C99:X99" si="20">C94*2</f>
        <v>4.2220000000000004</v>
      </c>
      <c r="D99" s="373">
        <f t="shared" si="20"/>
        <v>19.37</v>
      </c>
      <c r="E99" s="373">
        <f t="shared" si="20"/>
        <v>50</v>
      </c>
      <c r="F99" s="373">
        <f t="shared" si="20"/>
        <v>31.475999999999999</v>
      </c>
      <c r="G99" s="373">
        <f t="shared" si="20"/>
        <v>24.943999999999999</v>
      </c>
      <c r="H99" s="373">
        <f t="shared" si="20"/>
        <v>21.34</v>
      </c>
      <c r="I99" s="373">
        <f t="shared" si="20"/>
        <v>19.425999999999998</v>
      </c>
      <c r="J99" s="373">
        <f t="shared" si="20"/>
        <v>18.356000000000002</v>
      </c>
      <c r="K99" s="373">
        <f t="shared" si="20"/>
        <v>17.792000000000002</v>
      </c>
      <c r="L99" s="373">
        <f t="shared" si="20"/>
        <v>17.850000000000001</v>
      </c>
      <c r="M99" s="373">
        <f t="shared" si="20"/>
        <v>17.398</v>
      </c>
      <c r="N99" s="373">
        <f t="shared" si="20"/>
        <v>16.103999999999999</v>
      </c>
      <c r="O99" s="373">
        <f t="shared" si="20"/>
        <v>13.907999999999999</v>
      </c>
      <c r="P99" s="373">
        <f t="shared" si="20"/>
        <v>2.14</v>
      </c>
      <c r="Q99" s="373">
        <f t="shared" si="20"/>
        <v>0</v>
      </c>
      <c r="R99" s="373">
        <f t="shared" si="20"/>
        <v>0</v>
      </c>
      <c r="S99" s="373">
        <f t="shared" si="20"/>
        <v>0</v>
      </c>
      <c r="T99" s="373">
        <f t="shared" si="20"/>
        <v>0</v>
      </c>
      <c r="U99" s="373">
        <f t="shared" si="20"/>
        <v>0</v>
      </c>
      <c r="V99" s="373">
        <f t="shared" si="20"/>
        <v>0</v>
      </c>
      <c r="W99" s="373">
        <f t="shared" si="20"/>
        <v>0</v>
      </c>
      <c r="X99" s="373">
        <f t="shared" si="20"/>
        <v>0</v>
      </c>
      <c r="Y99" s="382">
        <v>0</v>
      </c>
    </row>
    <row r="100" spans="1:26" ht="13.5" thickBot="1" x14ac:dyDescent="0.25">
      <c r="A100" s="379" t="s">
        <v>116</v>
      </c>
      <c r="B100" s="374">
        <f t="shared" ref="B100:X100" si="21">(C99+B99)*(C98-B98)/2</f>
        <v>8.4440000000000015E-2</v>
      </c>
      <c r="C100" s="375">
        <f t="shared" si="21"/>
        <v>0.89649600000000018</v>
      </c>
      <c r="D100" s="375">
        <f t="shared" si="21"/>
        <v>3.3644449999999999</v>
      </c>
      <c r="E100" s="375">
        <f t="shared" si="21"/>
        <v>2.973873999999999</v>
      </c>
      <c r="F100" s="375">
        <f t="shared" si="21"/>
        <v>1.2130300000000012</v>
      </c>
      <c r="G100" s="375">
        <f t="shared" si="21"/>
        <v>0.9256799999999995</v>
      </c>
      <c r="H100" s="375">
        <f t="shared" si="21"/>
        <v>1.0395329999999998</v>
      </c>
      <c r="I100" s="375">
        <f t="shared" si="21"/>
        <v>1.416825</v>
      </c>
      <c r="J100" s="375">
        <f t="shared" si="21"/>
        <v>1.8435479999999997</v>
      </c>
      <c r="K100" s="375">
        <f t="shared" si="21"/>
        <v>19.852594000000003</v>
      </c>
      <c r="L100" s="375">
        <f t="shared" si="21"/>
        <v>2.0267599999999999</v>
      </c>
      <c r="M100" s="375">
        <f t="shared" si="21"/>
        <v>1.5243409999999993</v>
      </c>
      <c r="N100" s="375">
        <f t="shared" si="21"/>
        <v>0.87034800000000079</v>
      </c>
      <c r="O100" s="375">
        <f t="shared" si="21"/>
        <v>1.8535439999999987</v>
      </c>
      <c r="P100" s="375">
        <f t="shared" si="21"/>
        <v>3.8520000000000033E-2</v>
      </c>
      <c r="Q100" s="375">
        <f t="shared" si="21"/>
        <v>0</v>
      </c>
      <c r="R100" s="375">
        <f t="shared" si="21"/>
        <v>0</v>
      </c>
      <c r="S100" s="375">
        <f t="shared" si="21"/>
        <v>0</v>
      </c>
      <c r="T100" s="375">
        <f t="shared" si="21"/>
        <v>0</v>
      </c>
      <c r="U100" s="375">
        <f t="shared" si="21"/>
        <v>0</v>
      </c>
      <c r="V100" s="375">
        <f t="shared" si="21"/>
        <v>0</v>
      </c>
      <c r="W100" s="375">
        <f t="shared" si="21"/>
        <v>0</v>
      </c>
      <c r="X100" s="375">
        <f t="shared" si="21"/>
        <v>0</v>
      </c>
      <c r="Y100" s="369"/>
    </row>
    <row r="101" spans="1:26" ht="13.5" thickBot="1" x14ac:dyDescent="0.25">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row>
    <row r="102" spans="1:26" ht="13.5" thickBot="1" x14ac:dyDescent="0.25">
      <c r="A102" s="361" t="s">
        <v>540</v>
      </c>
      <c r="B102" s="359">
        <f>ROW(A102)</f>
        <v>102</v>
      </c>
      <c r="C102" s="363" t="s">
        <v>115</v>
      </c>
      <c r="D102" s="353">
        <f>SUM(B105:Y105)</f>
        <v>59.885967000000008</v>
      </c>
      <c r="E102" s="363" t="s">
        <v>114</v>
      </c>
      <c r="F102" s="354">
        <f>D102/g/J102</f>
        <v>118.30588744280874</v>
      </c>
      <c r="G102" s="363" t="s">
        <v>56</v>
      </c>
      <c r="H102" s="64">
        <f>H92*3</f>
        <v>8.4599999999999995E-2</v>
      </c>
      <c r="I102" s="363" t="s">
        <v>271</v>
      </c>
      <c r="J102" s="355">
        <f>H102-L102</f>
        <v>5.1599999999999993E-2</v>
      </c>
      <c r="K102" s="363" t="s">
        <v>272</v>
      </c>
      <c r="L102" s="64">
        <f>L92*3</f>
        <v>3.3000000000000002E-2</v>
      </c>
      <c r="M102" s="363" t="s">
        <v>57</v>
      </c>
      <c r="N102" s="65">
        <v>30</v>
      </c>
      <c r="O102" s="363" t="s">
        <v>59</v>
      </c>
      <c r="P102" s="65">
        <v>30</v>
      </c>
      <c r="Q102" s="363" t="s">
        <v>60</v>
      </c>
      <c r="R102" s="65">
        <v>70</v>
      </c>
      <c r="S102" s="363" t="s">
        <v>61</v>
      </c>
      <c r="T102" s="65">
        <v>40</v>
      </c>
      <c r="U102" s="363" t="s">
        <v>54</v>
      </c>
      <c r="V102" s="66" t="s">
        <v>401</v>
      </c>
      <c r="W102" s="463" t="s">
        <v>394</v>
      </c>
      <c r="X102" s="465">
        <v>2.1</v>
      </c>
      <c r="Y102" s="463" t="s">
        <v>393</v>
      </c>
      <c r="Z102" s="358">
        <v>7</v>
      </c>
    </row>
    <row r="103" spans="1:26" x14ac:dyDescent="0.2">
      <c r="A103" s="362" t="s">
        <v>33</v>
      </c>
      <c r="B103" s="370">
        <v>0</v>
      </c>
      <c r="C103" s="371">
        <f>C93</f>
        <v>0.04</v>
      </c>
      <c r="D103" s="371">
        <f t="shared" ref="D103:X103" si="22">D93</f>
        <v>0.11600000000000001</v>
      </c>
      <c r="E103" s="371">
        <f t="shared" si="22"/>
        <v>0.21299999999999999</v>
      </c>
      <c r="F103" s="371">
        <f t="shared" si="22"/>
        <v>0.28599999999999998</v>
      </c>
      <c r="G103" s="371">
        <f t="shared" si="22"/>
        <v>0.32900000000000001</v>
      </c>
      <c r="H103" s="371">
        <f t="shared" si="22"/>
        <v>0.36899999999999999</v>
      </c>
      <c r="I103" s="371">
        <f t="shared" si="22"/>
        <v>0.42</v>
      </c>
      <c r="J103" s="371">
        <f t="shared" si="22"/>
        <v>0.495</v>
      </c>
      <c r="K103" s="371">
        <f t="shared" si="22"/>
        <v>0.59699999999999998</v>
      </c>
      <c r="L103" s="371">
        <f t="shared" si="22"/>
        <v>1.7110000000000001</v>
      </c>
      <c r="M103" s="371">
        <f t="shared" si="22"/>
        <v>1.8260000000000001</v>
      </c>
      <c r="N103" s="371">
        <f t="shared" si="22"/>
        <v>1.917</v>
      </c>
      <c r="O103" s="371">
        <f t="shared" si="22"/>
        <v>1.9750000000000001</v>
      </c>
      <c r="P103" s="371">
        <f t="shared" si="22"/>
        <v>2.206</v>
      </c>
      <c r="Q103" s="371">
        <f t="shared" si="22"/>
        <v>2.242</v>
      </c>
      <c r="R103" s="371">
        <f t="shared" si="22"/>
        <v>2.5</v>
      </c>
      <c r="S103" s="371">
        <f t="shared" si="22"/>
        <v>2.5</v>
      </c>
      <c r="T103" s="371">
        <f t="shared" si="22"/>
        <v>2.5</v>
      </c>
      <c r="U103" s="371">
        <f t="shared" si="22"/>
        <v>2.5</v>
      </c>
      <c r="V103" s="371">
        <f t="shared" si="22"/>
        <v>2.5</v>
      </c>
      <c r="W103" s="371">
        <f t="shared" si="22"/>
        <v>2.5</v>
      </c>
      <c r="X103" s="371">
        <f t="shared" si="22"/>
        <v>2.5</v>
      </c>
      <c r="Y103" s="381">
        <v>1000</v>
      </c>
    </row>
    <row r="104" spans="1:26" x14ac:dyDescent="0.2">
      <c r="A104" s="378" t="s">
        <v>34</v>
      </c>
      <c r="B104" s="372">
        <f>B94*3</f>
        <v>0</v>
      </c>
      <c r="C104" s="373">
        <f t="shared" ref="C104:X104" si="23">C94*3</f>
        <v>6.3330000000000002</v>
      </c>
      <c r="D104" s="373">
        <f t="shared" si="23"/>
        <v>29.055</v>
      </c>
      <c r="E104" s="373">
        <f t="shared" si="23"/>
        <v>75</v>
      </c>
      <c r="F104" s="373">
        <f t="shared" si="23"/>
        <v>47.213999999999999</v>
      </c>
      <c r="G104" s="373">
        <f t="shared" si="23"/>
        <v>37.415999999999997</v>
      </c>
      <c r="H104" s="373">
        <f t="shared" si="23"/>
        <v>32.01</v>
      </c>
      <c r="I104" s="373">
        <f t="shared" si="23"/>
        <v>29.138999999999996</v>
      </c>
      <c r="J104" s="373">
        <f t="shared" si="23"/>
        <v>27.534000000000002</v>
      </c>
      <c r="K104" s="373">
        <f t="shared" si="23"/>
        <v>26.688000000000002</v>
      </c>
      <c r="L104" s="373">
        <f t="shared" si="23"/>
        <v>26.775000000000002</v>
      </c>
      <c r="M104" s="373">
        <f t="shared" si="23"/>
        <v>26.097000000000001</v>
      </c>
      <c r="N104" s="373">
        <f t="shared" si="23"/>
        <v>24.155999999999999</v>
      </c>
      <c r="O104" s="373">
        <f t="shared" si="23"/>
        <v>20.861999999999998</v>
      </c>
      <c r="P104" s="373">
        <f t="shared" si="23"/>
        <v>3.21</v>
      </c>
      <c r="Q104" s="373">
        <f t="shared" si="23"/>
        <v>0</v>
      </c>
      <c r="R104" s="373">
        <f t="shared" si="23"/>
        <v>0</v>
      </c>
      <c r="S104" s="373">
        <f t="shared" si="23"/>
        <v>0</v>
      </c>
      <c r="T104" s="373">
        <f t="shared" si="23"/>
        <v>0</v>
      </c>
      <c r="U104" s="373">
        <f t="shared" si="23"/>
        <v>0</v>
      </c>
      <c r="V104" s="373">
        <f t="shared" si="23"/>
        <v>0</v>
      </c>
      <c r="W104" s="373">
        <f t="shared" si="23"/>
        <v>0</v>
      </c>
      <c r="X104" s="373">
        <f t="shared" si="23"/>
        <v>0</v>
      </c>
      <c r="Y104" s="382">
        <v>0</v>
      </c>
    </row>
    <row r="105" spans="1:26" ht="13.5" thickBot="1" x14ac:dyDescent="0.25">
      <c r="A105" s="379" t="s">
        <v>116</v>
      </c>
      <c r="B105" s="374">
        <f t="shared" ref="B105:X105" si="24">(C104+B104)*(C103-B103)/2</f>
        <v>0.12665999999999999</v>
      </c>
      <c r="C105" s="375">
        <f t="shared" si="24"/>
        <v>1.3447440000000002</v>
      </c>
      <c r="D105" s="375">
        <f t="shared" si="24"/>
        <v>5.0466674999999999</v>
      </c>
      <c r="E105" s="375">
        <f t="shared" si="24"/>
        <v>4.4608109999999987</v>
      </c>
      <c r="F105" s="375">
        <f t="shared" si="24"/>
        <v>1.8195450000000015</v>
      </c>
      <c r="G105" s="375">
        <f t="shared" si="24"/>
        <v>1.3885199999999991</v>
      </c>
      <c r="H105" s="375">
        <f t="shared" si="24"/>
        <v>1.5592994999999996</v>
      </c>
      <c r="I105" s="375">
        <f t="shared" si="24"/>
        <v>2.1252375000000003</v>
      </c>
      <c r="J105" s="375">
        <f t="shared" si="24"/>
        <v>2.7653219999999998</v>
      </c>
      <c r="K105" s="375">
        <f t="shared" si="24"/>
        <v>29.778891000000009</v>
      </c>
      <c r="L105" s="375">
        <f t="shared" si="24"/>
        <v>3.0401399999999996</v>
      </c>
      <c r="M105" s="375">
        <f t="shared" si="24"/>
        <v>2.2865114999999991</v>
      </c>
      <c r="N105" s="375">
        <f t="shared" si="24"/>
        <v>1.3055220000000012</v>
      </c>
      <c r="O105" s="375">
        <f t="shared" si="24"/>
        <v>2.7803159999999982</v>
      </c>
      <c r="P105" s="375">
        <f t="shared" si="24"/>
        <v>5.7780000000000054E-2</v>
      </c>
      <c r="Q105" s="375">
        <f t="shared" si="24"/>
        <v>0</v>
      </c>
      <c r="R105" s="375">
        <f t="shared" si="24"/>
        <v>0</v>
      </c>
      <c r="S105" s="375">
        <f t="shared" si="24"/>
        <v>0</v>
      </c>
      <c r="T105" s="375">
        <f t="shared" si="24"/>
        <v>0</v>
      </c>
      <c r="U105" s="375">
        <f t="shared" si="24"/>
        <v>0</v>
      </c>
      <c r="V105" s="375">
        <f t="shared" si="24"/>
        <v>0</v>
      </c>
      <c r="W105" s="375">
        <f t="shared" si="24"/>
        <v>0</v>
      </c>
      <c r="X105" s="375">
        <f t="shared" si="24"/>
        <v>0</v>
      </c>
      <c r="Y105" s="369"/>
    </row>
    <row r="107" spans="1:26" ht="13.5" thickBot="1" x14ac:dyDescent="0.25">
      <c r="A107" s="6" t="s">
        <v>317</v>
      </c>
    </row>
    <row r="108" spans="1:26" ht="13.5" thickBot="1" x14ac:dyDescent="0.25">
      <c r="A108" s="361" t="s">
        <v>319</v>
      </c>
      <c r="B108" s="359">
        <f>ROW(A108)</f>
        <v>108</v>
      </c>
      <c r="C108" s="363" t="s">
        <v>115</v>
      </c>
      <c r="D108" s="353">
        <f>SUM(B111:Y111)</f>
        <v>24.269519000000003</v>
      </c>
      <c r="E108" s="363" t="s">
        <v>114</v>
      </c>
      <c r="F108" s="354">
        <f>D108/g/J108</f>
        <v>154.62231778797147</v>
      </c>
      <c r="G108" s="363" t="s">
        <v>56</v>
      </c>
      <c r="H108" s="64">
        <v>5.1999999999999998E-2</v>
      </c>
      <c r="I108" s="363" t="s">
        <v>271</v>
      </c>
      <c r="J108" s="355">
        <f>H108-L108</f>
        <v>1.6E-2</v>
      </c>
      <c r="K108" s="363" t="s">
        <v>272</v>
      </c>
      <c r="L108" s="64">
        <v>3.5999999999999997E-2</v>
      </c>
      <c r="M108" s="363" t="s">
        <v>57</v>
      </c>
      <c r="N108" s="396">
        <v>35</v>
      </c>
      <c r="O108" s="363" t="s">
        <v>59</v>
      </c>
      <c r="P108" s="396">
        <v>35</v>
      </c>
      <c r="Q108" s="363" t="s">
        <v>60</v>
      </c>
      <c r="R108" s="65">
        <v>69</v>
      </c>
      <c r="S108" s="363" t="s">
        <v>61</v>
      </c>
      <c r="T108" s="65">
        <v>24</v>
      </c>
      <c r="U108" s="363" t="s">
        <v>54</v>
      </c>
      <c r="V108" s="66" t="s">
        <v>399</v>
      </c>
      <c r="W108" s="463" t="s">
        <v>394</v>
      </c>
      <c r="X108" s="465">
        <v>1</v>
      </c>
      <c r="Y108" s="463" t="s">
        <v>393</v>
      </c>
      <c r="Z108" s="358">
        <v>13</v>
      </c>
    </row>
    <row r="109" spans="1:26" x14ac:dyDescent="0.2">
      <c r="A109" s="362" t="s">
        <v>33</v>
      </c>
      <c r="B109" s="370">
        <v>0</v>
      </c>
      <c r="C109" s="371">
        <v>8.0000000000000002E-3</v>
      </c>
      <c r="D109" s="371">
        <v>2.5999999999999999E-2</v>
      </c>
      <c r="E109" s="371">
        <v>3.7999999999999999E-2</v>
      </c>
      <c r="F109" s="371">
        <v>6.7000000000000004E-2</v>
      </c>
      <c r="G109" s="371">
        <v>0.10100000000000001</v>
      </c>
      <c r="H109" s="371">
        <v>0.33</v>
      </c>
      <c r="I109" s="371">
        <v>0.52800000000000002</v>
      </c>
      <c r="J109" s="371">
        <v>0.71599999999999997</v>
      </c>
      <c r="K109" s="371">
        <v>0.84099999999999997</v>
      </c>
      <c r="L109" s="371">
        <v>0.91200000000000003</v>
      </c>
      <c r="M109" s="371">
        <v>0.98699999999999999</v>
      </c>
      <c r="N109" s="371">
        <v>1.016</v>
      </c>
      <c r="O109" s="371">
        <v>1.0649999999999999</v>
      </c>
      <c r="P109" s="371">
        <v>1.087</v>
      </c>
      <c r="Q109" s="371">
        <v>2</v>
      </c>
      <c r="R109" s="371">
        <v>2</v>
      </c>
      <c r="S109" s="371">
        <v>2</v>
      </c>
      <c r="T109" s="371">
        <v>2</v>
      </c>
      <c r="U109" s="371">
        <v>2</v>
      </c>
      <c r="V109" s="371">
        <v>2</v>
      </c>
      <c r="W109" s="371">
        <v>2</v>
      </c>
      <c r="X109" s="371">
        <v>2</v>
      </c>
      <c r="Y109" s="381">
        <v>1000</v>
      </c>
    </row>
    <row r="110" spans="1:26" x14ac:dyDescent="0.2">
      <c r="A110" s="378" t="s">
        <v>34</v>
      </c>
      <c r="B110" s="372">
        <v>0</v>
      </c>
      <c r="C110" s="373">
        <v>18.292000000000002</v>
      </c>
      <c r="D110" s="373">
        <v>30</v>
      </c>
      <c r="E110" s="373">
        <v>30.792000000000002</v>
      </c>
      <c r="F110" s="373">
        <v>18.707999999999998</v>
      </c>
      <c r="G110" s="373">
        <v>21.875</v>
      </c>
      <c r="H110" s="373">
        <v>26.082999999999998</v>
      </c>
      <c r="I110" s="373">
        <v>28.042000000000002</v>
      </c>
      <c r="J110" s="373">
        <v>27.875</v>
      </c>
      <c r="K110" s="373">
        <v>23.542000000000002</v>
      </c>
      <c r="L110" s="373">
        <v>17.832999999999998</v>
      </c>
      <c r="M110" s="373">
        <v>7</v>
      </c>
      <c r="N110" s="373">
        <v>3.3330000000000002</v>
      </c>
      <c r="O110" s="373">
        <v>1.083</v>
      </c>
      <c r="P110" s="373">
        <v>0</v>
      </c>
      <c r="Q110" s="373">
        <v>0</v>
      </c>
      <c r="R110" s="373">
        <v>0</v>
      </c>
      <c r="S110" s="373">
        <v>0</v>
      </c>
      <c r="T110" s="373">
        <f>S110</f>
        <v>0</v>
      </c>
      <c r="U110" s="373">
        <f>T110</f>
        <v>0</v>
      </c>
      <c r="V110" s="373">
        <f>U110</f>
        <v>0</v>
      </c>
      <c r="W110" s="373">
        <f>V110</f>
        <v>0</v>
      </c>
      <c r="X110" s="373">
        <f>W110</f>
        <v>0</v>
      </c>
      <c r="Y110" s="382">
        <v>0</v>
      </c>
    </row>
    <row r="111" spans="1:26" ht="13.5" thickBot="1" x14ac:dyDescent="0.25">
      <c r="A111" s="379" t="s">
        <v>116</v>
      </c>
      <c r="B111" s="374">
        <f t="shared" ref="B111:V111" si="25">(C110+B110)*(C109-B109)/2</f>
        <v>7.3168000000000011E-2</v>
      </c>
      <c r="C111" s="375">
        <f t="shared" si="25"/>
        <v>0.43462799999999996</v>
      </c>
      <c r="D111" s="375">
        <f t="shared" si="25"/>
        <v>0.36475200000000002</v>
      </c>
      <c r="E111" s="375">
        <f t="shared" si="25"/>
        <v>0.71775000000000011</v>
      </c>
      <c r="F111" s="375">
        <f t="shared" si="25"/>
        <v>0.68991100000000005</v>
      </c>
      <c r="G111" s="375">
        <f t="shared" si="25"/>
        <v>5.4911909999999997</v>
      </c>
      <c r="H111" s="375">
        <f t="shared" si="25"/>
        <v>5.3583750000000006</v>
      </c>
      <c r="I111" s="375">
        <f t="shared" si="25"/>
        <v>5.2561979999999986</v>
      </c>
      <c r="J111" s="375">
        <f>(K110+J110)*(K109-J109)/2</f>
        <v>3.2135625000000001</v>
      </c>
      <c r="K111" s="375">
        <f t="shared" si="25"/>
        <v>1.4688125000000014</v>
      </c>
      <c r="L111" s="375">
        <f t="shared" si="25"/>
        <v>0.93123749999999939</v>
      </c>
      <c r="M111" s="375">
        <f t="shared" si="25"/>
        <v>0.14982850000000014</v>
      </c>
      <c r="N111" s="375">
        <f t="shared" si="25"/>
        <v>0.10819199999999986</v>
      </c>
      <c r="O111" s="375">
        <f t="shared" si="25"/>
        <v>1.191300000000001E-2</v>
      </c>
      <c r="P111" s="375">
        <f t="shared" si="25"/>
        <v>0</v>
      </c>
      <c r="Q111" s="375">
        <f t="shared" si="25"/>
        <v>0</v>
      </c>
      <c r="R111" s="375">
        <f t="shared" si="25"/>
        <v>0</v>
      </c>
      <c r="S111" s="375">
        <f>(T110+S110)*(T109-S109)/2</f>
        <v>0</v>
      </c>
      <c r="T111" s="375">
        <f t="shared" si="25"/>
        <v>0</v>
      </c>
      <c r="U111" s="375">
        <f t="shared" si="25"/>
        <v>0</v>
      </c>
      <c r="V111" s="375">
        <f t="shared" si="25"/>
        <v>0</v>
      </c>
      <c r="W111" s="375">
        <f>(X110+W110)*(X109-W109)/2</f>
        <v>0</v>
      </c>
      <c r="X111" s="375">
        <f>(Y110+X110)*(Y109-X109)/2</f>
        <v>0</v>
      </c>
      <c r="Y111" s="369"/>
    </row>
    <row r="112" spans="1:26" ht="13.5" thickBot="1" x14ac:dyDescent="0.25"/>
    <row r="113" spans="1:26" ht="13.5" thickBot="1" x14ac:dyDescent="0.25">
      <c r="A113" s="361" t="s">
        <v>417</v>
      </c>
      <c r="B113" s="359">
        <f>ROW(A113)</f>
        <v>113</v>
      </c>
      <c r="C113" s="363" t="s">
        <v>115</v>
      </c>
      <c r="D113" s="353">
        <f>SUM(B116:Y116)</f>
        <v>24.488898000000002</v>
      </c>
      <c r="E113" s="363" t="s">
        <v>114</v>
      </c>
      <c r="F113" s="354">
        <f>D113/g/J113</f>
        <v>121.771701350041</v>
      </c>
      <c r="G113" s="363" t="s">
        <v>56</v>
      </c>
      <c r="H113" s="64">
        <v>5.6500000000000002E-2</v>
      </c>
      <c r="I113" s="363" t="s">
        <v>271</v>
      </c>
      <c r="J113" s="355">
        <f>H113-L113</f>
        <v>2.0500000000000004E-2</v>
      </c>
      <c r="K113" s="363" t="s">
        <v>272</v>
      </c>
      <c r="L113" s="64">
        <v>3.5999999999999997E-2</v>
      </c>
      <c r="M113" s="363" t="s">
        <v>57</v>
      </c>
      <c r="N113" s="396">
        <v>35</v>
      </c>
      <c r="O113" s="363" t="s">
        <v>59</v>
      </c>
      <c r="P113" s="396">
        <v>35</v>
      </c>
      <c r="Q113" s="363" t="s">
        <v>60</v>
      </c>
      <c r="R113" s="65">
        <v>69</v>
      </c>
      <c r="S113" s="363" t="s">
        <v>61</v>
      </c>
      <c r="T113" s="65">
        <v>24</v>
      </c>
      <c r="U113" s="363" t="s">
        <v>54</v>
      </c>
      <c r="V113" s="66" t="s">
        <v>400</v>
      </c>
      <c r="W113" s="463" t="s">
        <v>394</v>
      </c>
      <c r="X113" s="465">
        <v>0.33</v>
      </c>
      <c r="Y113" s="463" t="s">
        <v>393</v>
      </c>
      <c r="Z113" s="358">
        <v>17</v>
      </c>
    </row>
    <row r="114" spans="1:26" x14ac:dyDescent="0.2">
      <c r="A114" s="362" t="s">
        <v>33</v>
      </c>
      <c r="B114" s="370">
        <v>0</v>
      </c>
      <c r="C114" s="371">
        <v>8.9999999999999993E-3</v>
      </c>
      <c r="D114" s="371">
        <v>1.2E-2</v>
      </c>
      <c r="E114" s="371">
        <v>2.3E-2</v>
      </c>
      <c r="F114" s="371">
        <v>2.7E-2</v>
      </c>
      <c r="G114" s="371">
        <v>4.7E-2</v>
      </c>
      <c r="H114" s="371">
        <v>9.1999999999999998E-2</v>
      </c>
      <c r="I114" s="371">
        <v>0.11799999999999999</v>
      </c>
      <c r="J114" s="371">
        <v>0.14099999999999999</v>
      </c>
      <c r="K114" s="371">
        <v>0.192</v>
      </c>
      <c r="L114" s="371">
        <v>0.222</v>
      </c>
      <c r="M114" s="371">
        <v>0.25</v>
      </c>
      <c r="N114" s="371">
        <v>0.26</v>
      </c>
      <c r="O114" s="371">
        <v>0.28100000000000003</v>
      </c>
      <c r="P114" s="371">
        <v>0.28699999999999998</v>
      </c>
      <c r="Q114" s="371">
        <v>0.30599999999999999</v>
      </c>
      <c r="R114" s="371">
        <v>0.314</v>
      </c>
      <c r="S114" s="371">
        <v>0.32600000000000001</v>
      </c>
      <c r="T114" s="371">
        <v>0.32900000000000001</v>
      </c>
      <c r="U114" s="371">
        <v>0.5</v>
      </c>
      <c r="V114" s="371">
        <v>1</v>
      </c>
      <c r="W114" s="371">
        <v>2</v>
      </c>
      <c r="X114" s="371">
        <v>2</v>
      </c>
      <c r="Y114" s="381">
        <v>1000</v>
      </c>
    </row>
    <row r="115" spans="1:26" x14ac:dyDescent="0.2">
      <c r="A115" s="378" t="s">
        <v>34</v>
      </c>
      <c r="B115" s="372">
        <v>0</v>
      </c>
      <c r="C115" s="373">
        <v>84.212999999999994</v>
      </c>
      <c r="D115" s="373">
        <v>95.099000000000004</v>
      </c>
      <c r="E115" s="373">
        <v>77.08</v>
      </c>
      <c r="F115" s="373">
        <v>68.697000000000003</v>
      </c>
      <c r="G115" s="373">
        <v>73.451999999999998</v>
      </c>
      <c r="H115" s="373">
        <v>81.834999999999994</v>
      </c>
      <c r="I115" s="373">
        <v>83.837000000000003</v>
      </c>
      <c r="J115" s="373">
        <v>86.465000000000003</v>
      </c>
      <c r="K115" s="373">
        <v>86.965999999999994</v>
      </c>
      <c r="L115" s="373">
        <v>85.338999999999999</v>
      </c>
      <c r="M115" s="373">
        <v>80.082999999999998</v>
      </c>
      <c r="N115" s="373">
        <v>78.331999999999994</v>
      </c>
      <c r="O115" s="373">
        <v>82.960999999999999</v>
      </c>
      <c r="P115" s="373">
        <v>78.206000000000003</v>
      </c>
      <c r="Q115" s="373">
        <v>24.776</v>
      </c>
      <c r="R115" s="373">
        <v>14.14</v>
      </c>
      <c r="S115" s="373">
        <v>8.5090000000000003</v>
      </c>
      <c r="T115" s="373">
        <v>0</v>
      </c>
      <c r="U115" s="373">
        <f>T115</f>
        <v>0</v>
      </c>
      <c r="V115" s="373">
        <f>U115</f>
        <v>0</v>
      </c>
      <c r="W115" s="373">
        <f>V115</f>
        <v>0</v>
      </c>
      <c r="X115" s="373">
        <f>W115</f>
        <v>0</v>
      </c>
      <c r="Y115" s="382">
        <v>0</v>
      </c>
    </row>
    <row r="116" spans="1:26" ht="13.5" thickBot="1" x14ac:dyDescent="0.25">
      <c r="A116" s="379" t="s">
        <v>116</v>
      </c>
      <c r="B116" s="374">
        <f t="shared" ref="B116:V116" si="26">(C115+B115)*(C114-B114)/2</f>
        <v>0.37895849999999992</v>
      </c>
      <c r="C116" s="375">
        <f t="shared" si="26"/>
        <v>0.2689680000000001</v>
      </c>
      <c r="D116" s="375">
        <f t="shared" si="26"/>
        <v>0.94698450000000001</v>
      </c>
      <c r="E116" s="375">
        <f t="shared" si="26"/>
        <v>0.29155399999999998</v>
      </c>
      <c r="F116" s="375">
        <f t="shared" si="26"/>
        <v>1.4214900000000001</v>
      </c>
      <c r="G116" s="375">
        <f t="shared" si="26"/>
        <v>3.4939574999999992</v>
      </c>
      <c r="H116" s="375">
        <f t="shared" si="26"/>
        <v>2.1537359999999994</v>
      </c>
      <c r="I116" s="375">
        <f t="shared" si="26"/>
        <v>1.9584729999999997</v>
      </c>
      <c r="J116" s="375">
        <f>(K115+J115)*(K114-J114)/2</f>
        <v>4.4224905000000012</v>
      </c>
      <c r="K116" s="375">
        <f t="shared" si="26"/>
        <v>2.5845750000000001</v>
      </c>
      <c r="L116" s="375">
        <f t="shared" si="26"/>
        <v>2.3159079999999999</v>
      </c>
      <c r="M116" s="375">
        <f t="shared" si="26"/>
        <v>0.79207500000000064</v>
      </c>
      <c r="N116" s="375">
        <f t="shared" si="26"/>
        <v>1.6935765000000016</v>
      </c>
      <c r="O116" s="375">
        <f t="shared" si="26"/>
        <v>0.48350099999999596</v>
      </c>
      <c r="P116" s="375">
        <f t="shared" si="26"/>
        <v>0.97832900000000089</v>
      </c>
      <c r="Q116" s="375">
        <f t="shared" si="26"/>
        <v>0.15566400000000014</v>
      </c>
      <c r="R116" s="375">
        <f t="shared" si="26"/>
        <v>0.13589400000000013</v>
      </c>
      <c r="S116" s="375">
        <f>(T115+S115)*(T114-S114)/2</f>
        <v>1.2763500000000013E-2</v>
      </c>
      <c r="T116" s="375">
        <f t="shared" si="26"/>
        <v>0</v>
      </c>
      <c r="U116" s="375">
        <f t="shared" si="26"/>
        <v>0</v>
      </c>
      <c r="V116" s="375">
        <f t="shared" si="26"/>
        <v>0</v>
      </c>
      <c r="W116" s="375">
        <f>(X115+W115)*(X114-W114)/2</f>
        <v>0</v>
      </c>
      <c r="X116" s="375">
        <f>(Y115+X115)*(Y114-X114)/2</f>
        <v>0</v>
      </c>
      <c r="Y116" s="369"/>
    </row>
    <row r="117" spans="1:26" ht="13.5" thickBot="1" x14ac:dyDescent="0.25"/>
    <row r="118" spans="1:26" ht="13.5" thickBot="1" x14ac:dyDescent="0.25">
      <c r="A118" s="361" t="s">
        <v>320</v>
      </c>
      <c r="B118" s="359">
        <f>ROW(A118)</f>
        <v>118</v>
      </c>
      <c r="C118" s="363" t="s">
        <v>115</v>
      </c>
      <c r="D118" s="353">
        <f>SUM(B121:Y121)</f>
        <v>26.083982500000001</v>
      </c>
      <c r="E118" s="363" t="s">
        <v>114</v>
      </c>
      <c r="F118" s="354">
        <f>D118/g/J118</f>
        <v>166.18235537716615</v>
      </c>
      <c r="G118" s="363" t="s">
        <v>56</v>
      </c>
      <c r="H118" s="64">
        <v>5.1999999999999998E-2</v>
      </c>
      <c r="I118" s="363" t="s">
        <v>271</v>
      </c>
      <c r="J118" s="355">
        <f>H118-L118</f>
        <v>1.6E-2</v>
      </c>
      <c r="K118" s="363" t="s">
        <v>272</v>
      </c>
      <c r="L118" s="64">
        <v>3.5999999999999997E-2</v>
      </c>
      <c r="M118" s="363" t="s">
        <v>57</v>
      </c>
      <c r="N118" s="396">
        <v>35</v>
      </c>
      <c r="O118" s="363" t="s">
        <v>59</v>
      </c>
      <c r="P118" s="396">
        <v>35</v>
      </c>
      <c r="Q118" s="363" t="s">
        <v>60</v>
      </c>
      <c r="R118" s="65">
        <v>69</v>
      </c>
      <c r="S118" s="363" t="s">
        <v>61</v>
      </c>
      <c r="T118" s="65">
        <v>24</v>
      </c>
      <c r="U118" s="363" t="s">
        <v>54</v>
      </c>
      <c r="V118" s="66" t="s">
        <v>399</v>
      </c>
      <c r="W118" s="463" t="s">
        <v>394</v>
      </c>
      <c r="X118" s="465">
        <v>0.85</v>
      </c>
      <c r="Y118" s="463" t="s">
        <v>393</v>
      </c>
      <c r="Z118" s="358">
        <v>15</v>
      </c>
    </row>
    <row r="119" spans="1:26" x14ac:dyDescent="0.2">
      <c r="A119" s="362" t="s">
        <v>33</v>
      </c>
      <c r="B119" s="370">
        <v>0</v>
      </c>
      <c r="C119" s="371">
        <v>0.02</v>
      </c>
      <c r="D119" s="371">
        <v>2.7E-2</v>
      </c>
      <c r="E119" s="371">
        <v>4.9000000000000002E-2</v>
      </c>
      <c r="F119" s="371">
        <v>0.113</v>
      </c>
      <c r="G119" s="371">
        <v>0.193</v>
      </c>
      <c r="H119" s="371">
        <v>0.28199999999999997</v>
      </c>
      <c r="I119" s="371">
        <v>0.5</v>
      </c>
      <c r="J119" s="371">
        <v>0.72699999999999998</v>
      </c>
      <c r="K119" s="371">
        <v>0.77100000000000002</v>
      </c>
      <c r="L119" s="371">
        <v>0.80700000000000005</v>
      </c>
      <c r="M119" s="371">
        <v>0.84</v>
      </c>
      <c r="N119" s="371">
        <v>0.87</v>
      </c>
      <c r="O119" s="371">
        <v>1</v>
      </c>
      <c r="P119" s="371">
        <v>1</v>
      </c>
      <c r="Q119" s="371">
        <v>1</v>
      </c>
      <c r="R119" s="371">
        <v>1</v>
      </c>
      <c r="S119" s="371">
        <v>1</v>
      </c>
      <c r="T119" s="371">
        <v>1</v>
      </c>
      <c r="U119" s="371">
        <v>1</v>
      </c>
      <c r="V119" s="371">
        <v>1</v>
      </c>
      <c r="W119" s="371">
        <v>1</v>
      </c>
      <c r="X119" s="371">
        <v>2</v>
      </c>
      <c r="Y119" s="381">
        <v>1000</v>
      </c>
    </row>
    <row r="120" spans="1:26" x14ac:dyDescent="0.2">
      <c r="A120" s="378" t="s">
        <v>34</v>
      </c>
      <c r="B120" s="372">
        <v>0</v>
      </c>
      <c r="C120" s="373">
        <v>43.823999999999998</v>
      </c>
      <c r="D120" s="373">
        <v>39.963999999999999</v>
      </c>
      <c r="E120" s="373">
        <v>26.780999999999999</v>
      </c>
      <c r="F120" s="373">
        <v>32.600999999999999</v>
      </c>
      <c r="G120" s="373">
        <v>34.738999999999997</v>
      </c>
      <c r="H120" s="373">
        <v>35.808</v>
      </c>
      <c r="I120" s="373">
        <v>34.442</v>
      </c>
      <c r="J120" s="373">
        <v>29.276</v>
      </c>
      <c r="K120" s="373">
        <v>22.742999999999999</v>
      </c>
      <c r="L120" s="373">
        <v>9.5609999999999999</v>
      </c>
      <c r="M120" s="373">
        <v>3.5630000000000002</v>
      </c>
      <c r="N120" s="373">
        <v>0</v>
      </c>
      <c r="O120" s="373">
        <v>0</v>
      </c>
      <c r="P120" s="373">
        <v>0</v>
      </c>
      <c r="Q120" s="373">
        <v>0</v>
      </c>
      <c r="R120" s="373">
        <v>0</v>
      </c>
      <c r="S120" s="373">
        <v>0</v>
      </c>
      <c r="T120" s="373">
        <f>S120</f>
        <v>0</v>
      </c>
      <c r="U120" s="373">
        <f>T120</f>
        <v>0</v>
      </c>
      <c r="V120" s="373">
        <f>U120</f>
        <v>0</v>
      </c>
      <c r="W120" s="373">
        <f>V120</f>
        <v>0</v>
      </c>
      <c r="X120" s="373">
        <f>W120</f>
        <v>0</v>
      </c>
      <c r="Y120" s="382">
        <v>0</v>
      </c>
    </row>
    <row r="121" spans="1:26" ht="13.5" thickBot="1" x14ac:dyDescent="0.25">
      <c r="A121" s="379" t="s">
        <v>116</v>
      </c>
      <c r="B121" s="374">
        <f t="shared" ref="B121:V121" si="27">(C120+B120)*(C119-B119)/2</f>
        <v>0.43823999999999996</v>
      </c>
      <c r="C121" s="375">
        <f t="shared" si="27"/>
        <v>0.29325799999999996</v>
      </c>
      <c r="D121" s="375">
        <f t="shared" si="27"/>
        <v>0.73419500000000015</v>
      </c>
      <c r="E121" s="375">
        <f t="shared" si="27"/>
        <v>1.9002239999999999</v>
      </c>
      <c r="F121" s="375">
        <f t="shared" si="27"/>
        <v>2.6936</v>
      </c>
      <c r="G121" s="375">
        <f t="shared" si="27"/>
        <v>3.1393414999999987</v>
      </c>
      <c r="H121" s="375">
        <f t="shared" si="27"/>
        <v>7.6572500000000012</v>
      </c>
      <c r="I121" s="375">
        <f t="shared" si="27"/>
        <v>7.2319930000000001</v>
      </c>
      <c r="J121" s="375">
        <f>(K120+J120)*(K119-J119)/2</f>
        <v>1.144418000000001</v>
      </c>
      <c r="K121" s="375">
        <f t="shared" si="27"/>
        <v>0.58147200000000054</v>
      </c>
      <c r="L121" s="375">
        <f t="shared" si="27"/>
        <v>0.21654599999999946</v>
      </c>
      <c r="M121" s="375">
        <f t="shared" si="27"/>
        <v>5.3445000000000048E-2</v>
      </c>
      <c r="N121" s="375">
        <f t="shared" si="27"/>
        <v>0</v>
      </c>
      <c r="O121" s="375">
        <f t="shared" si="27"/>
        <v>0</v>
      </c>
      <c r="P121" s="375">
        <f t="shared" si="27"/>
        <v>0</v>
      </c>
      <c r="Q121" s="375">
        <f t="shared" si="27"/>
        <v>0</v>
      </c>
      <c r="R121" s="375">
        <f t="shared" si="27"/>
        <v>0</v>
      </c>
      <c r="S121" s="375">
        <f>(T120+S120)*(T119-S119)/2</f>
        <v>0</v>
      </c>
      <c r="T121" s="375">
        <f t="shared" si="27"/>
        <v>0</v>
      </c>
      <c r="U121" s="375">
        <f t="shared" si="27"/>
        <v>0</v>
      </c>
      <c r="V121" s="375">
        <f t="shared" si="27"/>
        <v>0</v>
      </c>
      <c r="W121" s="375">
        <f>(X120+W120)*(X119-W119)/2</f>
        <v>0</v>
      </c>
      <c r="X121" s="375">
        <f>(Y120+X120)*(Y119-X119)/2</f>
        <v>0</v>
      </c>
      <c r="Y121" s="369"/>
    </row>
    <row r="122" spans="1:26" ht="13.5" thickBot="1" x14ac:dyDescent="0.25">
      <c r="A122" s="6" t="s">
        <v>389</v>
      </c>
    </row>
    <row r="123" spans="1:26" ht="13.5" thickBot="1" x14ac:dyDescent="0.25">
      <c r="A123" s="361" t="s">
        <v>390</v>
      </c>
      <c r="B123" s="359">
        <f>ROW(A123)</f>
        <v>123</v>
      </c>
      <c r="C123" s="363" t="s">
        <v>115</v>
      </c>
      <c r="D123" s="353">
        <f>SUM(B126:Y126)</f>
        <v>49.788765499999997</v>
      </c>
      <c r="E123" s="363" t="s">
        <v>114</v>
      </c>
      <c r="F123" s="354">
        <v>231</v>
      </c>
      <c r="G123" s="363" t="s">
        <v>56</v>
      </c>
      <c r="H123" s="64">
        <v>7.2999999999999995E-2</v>
      </c>
      <c r="I123" s="363" t="s">
        <v>271</v>
      </c>
      <c r="J123" s="355">
        <f>H123-L123</f>
        <v>2.7999999999999997E-2</v>
      </c>
      <c r="K123" s="363" t="s">
        <v>272</v>
      </c>
      <c r="L123" s="64">
        <v>4.4999999999999998E-2</v>
      </c>
      <c r="M123" s="363" t="s">
        <v>57</v>
      </c>
      <c r="N123" s="396">
        <v>50</v>
      </c>
      <c r="O123" s="363" t="s">
        <v>59</v>
      </c>
      <c r="P123" s="396">
        <v>50</v>
      </c>
      <c r="Q123" s="363" t="s">
        <v>60</v>
      </c>
      <c r="R123" s="65">
        <v>101</v>
      </c>
      <c r="S123" s="363" t="s">
        <v>61</v>
      </c>
      <c r="T123" s="65">
        <v>24</v>
      </c>
      <c r="U123" s="363" t="s">
        <v>54</v>
      </c>
      <c r="V123" s="66" t="s">
        <v>119</v>
      </c>
      <c r="W123" s="463" t="s">
        <v>394</v>
      </c>
      <c r="X123" s="465">
        <v>1</v>
      </c>
      <c r="Y123" s="463" t="s">
        <v>393</v>
      </c>
      <c r="Z123" s="358">
        <v>13</v>
      </c>
    </row>
    <row r="124" spans="1:26" x14ac:dyDescent="0.2">
      <c r="A124" s="362" t="s">
        <v>33</v>
      </c>
      <c r="B124" s="470">
        <v>0</v>
      </c>
      <c r="C124" s="470">
        <v>1E-3</v>
      </c>
      <c r="D124" s="470">
        <v>2.7E-2</v>
      </c>
      <c r="E124" s="470">
        <v>5.0999999999999997E-2</v>
      </c>
      <c r="F124" s="470">
        <v>0.06</v>
      </c>
      <c r="G124" s="470">
        <v>9.1999999999999998E-2</v>
      </c>
      <c r="H124" s="470">
        <v>0.11899999999999999</v>
      </c>
      <c r="I124" s="470">
        <v>0.17</v>
      </c>
      <c r="J124" s="470">
        <v>0.3</v>
      </c>
      <c r="K124" s="470">
        <v>0.46200000000000002</v>
      </c>
      <c r="L124" s="470">
        <v>0.56899999999999995</v>
      </c>
      <c r="M124" s="470">
        <v>0.67500000000000004</v>
      </c>
      <c r="N124" s="470">
        <v>0.77800000000000002</v>
      </c>
      <c r="O124" s="470">
        <v>0.84599999999999997</v>
      </c>
      <c r="P124" s="470">
        <v>0.91700000000000004</v>
      </c>
      <c r="Q124" s="470">
        <v>1.0089999999999999</v>
      </c>
      <c r="R124" s="470">
        <v>1.032</v>
      </c>
      <c r="S124" s="470">
        <v>1.0449999999999999</v>
      </c>
      <c r="T124" s="371">
        <v>2</v>
      </c>
      <c r="U124" s="371">
        <v>2</v>
      </c>
      <c r="V124" s="371">
        <v>2</v>
      </c>
      <c r="W124" s="371">
        <v>2</v>
      </c>
      <c r="X124" s="371">
        <v>2</v>
      </c>
      <c r="Y124" s="381">
        <v>1000</v>
      </c>
    </row>
    <row r="125" spans="1:26" x14ac:dyDescent="0.2">
      <c r="A125" s="378" t="s">
        <v>34</v>
      </c>
      <c r="B125" s="470">
        <v>0</v>
      </c>
      <c r="C125" s="470">
        <v>5.1449999999999996</v>
      </c>
      <c r="D125" s="470">
        <v>67.975999999999999</v>
      </c>
      <c r="E125" s="470">
        <v>53.807000000000002</v>
      </c>
      <c r="F125" s="470">
        <v>52.88</v>
      </c>
      <c r="G125" s="470">
        <v>55.915999999999997</v>
      </c>
      <c r="H125" s="470">
        <v>57.94</v>
      </c>
      <c r="I125" s="470">
        <v>59.710999999999999</v>
      </c>
      <c r="J125" s="470">
        <v>61.145000000000003</v>
      </c>
      <c r="K125" s="470">
        <v>58.951999999999998</v>
      </c>
      <c r="L125" s="470">
        <v>55.578000000000003</v>
      </c>
      <c r="M125" s="470">
        <v>52.204999999999998</v>
      </c>
      <c r="N125" s="470">
        <v>46.386000000000003</v>
      </c>
      <c r="O125" s="470">
        <v>38.119999999999997</v>
      </c>
      <c r="P125" s="470">
        <v>20.324999999999999</v>
      </c>
      <c r="Q125" s="470">
        <v>3.5419999999999998</v>
      </c>
      <c r="R125" s="470">
        <v>1.6020000000000001</v>
      </c>
      <c r="S125" s="470">
        <v>0</v>
      </c>
      <c r="T125" s="373">
        <f>S125</f>
        <v>0</v>
      </c>
      <c r="U125" s="373">
        <f>T125</f>
        <v>0</v>
      </c>
      <c r="V125" s="373">
        <f>U125</f>
        <v>0</v>
      </c>
      <c r="W125" s="373">
        <f>V125</f>
        <v>0</v>
      </c>
      <c r="X125" s="373">
        <f>W125</f>
        <v>0</v>
      </c>
      <c r="Y125" s="382">
        <v>0</v>
      </c>
    </row>
    <row r="126" spans="1:26" ht="13.5" thickBot="1" x14ac:dyDescent="0.25">
      <c r="A126" s="379" t="s">
        <v>116</v>
      </c>
      <c r="B126" s="374">
        <f t="shared" ref="B126:X126" si="28">(C125+B125)*(C124-B124)/2</f>
        <v>2.5724999999999997E-3</v>
      </c>
      <c r="C126" s="375">
        <f t="shared" si="28"/>
        <v>0.95057299999999989</v>
      </c>
      <c r="D126" s="375">
        <f t="shared" si="28"/>
        <v>1.4613959999999999</v>
      </c>
      <c r="E126" s="375">
        <f t="shared" si="28"/>
        <v>0.48009150000000012</v>
      </c>
      <c r="F126" s="375">
        <f t="shared" si="28"/>
        <v>1.7407359999999998</v>
      </c>
      <c r="G126" s="375">
        <f t="shared" si="28"/>
        <v>1.5370559999999998</v>
      </c>
      <c r="H126" s="375">
        <f t="shared" si="28"/>
        <v>3.0001005000000007</v>
      </c>
      <c r="I126" s="375">
        <f t="shared" si="28"/>
        <v>7.8556399999999984</v>
      </c>
      <c r="J126" s="375">
        <f t="shared" si="28"/>
        <v>9.727857000000002</v>
      </c>
      <c r="K126" s="375">
        <f t="shared" si="28"/>
        <v>6.1273549999999961</v>
      </c>
      <c r="L126" s="375">
        <f t="shared" si="28"/>
        <v>5.7124990000000055</v>
      </c>
      <c r="M126" s="375">
        <f t="shared" si="28"/>
        <v>5.0774364999999992</v>
      </c>
      <c r="N126" s="375">
        <f t="shared" si="28"/>
        <v>2.8732039999999976</v>
      </c>
      <c r="O126" s="375">
        <f t="shared" si="28"/>
        <v>2.0747975000000016</v>
      </c>
      <c r="P126" s="375">
        <f t="shared" si="28"/>
        <v>1.0978819999999982</v>
      </c>
      <c r="Q126" s="375">
        <f t="shared" si="28"/>
        <v>5.915600000000034E-2</v>
      </c>
      <c r="R126" s="375">
        <f t="shared" si="28"/>
        <v>1.0412999999999921E-2</v>
      </c>
      <c r="S126" s="375">
        <f t="shared" si="28"/>
        <v>0</v>
      </c>
      <c r="T126" s="375">
        <f t="shared" si="28"/>
        <v>0</v>
      </c>
      <c r="U126" s="375">
        <f t="shared" si="28"/>
        <v>0</v>
      </c>
      <c r="V126" s="375">
        <f t="shared" si="28"/>
        <v>0</v>
      </c>
      <c r="W126" s="375">
        <f t="shared" si="28"/>
        <v>0</v>
      </c>
      <c r="X126" s="375">
        <f t="shared" si="28"/>
        <v>0</v>
      </c>
      <c r="Y126" s="369"/>
    </row>
    <row r="127" spans="1:26" ht="13.5" thickBot="1" x14ac:dyDescent="0.25"/>
    <row r="128" spans="1:26" ht="13.5" thickBot="1" x14ac:dyDescent="0.25">
      <c r="A128" s="361" t="s">
        <v>391</v>
      </c>
      <c r="B128" s="359">
        <f>ROW(A128)</f>
        <v>128</v>
      </c>
      <c r="C128" s="363" t="s">
        <v>115</v>
      </c>
      <c r="D128" s="353">
        <f>SUM(B131:Y131)</f>
        <v>52.815674000000008</v>
      </c>
      <c r="E128" s="363" t="s">
        <v>114</v>
      </c>
      <c r="F128" s="354">
        <v>239</v>
      </c>
      <c r="G128" s="363" t="s">
        <v>56</v>
      </c>
      <c r="H128" s="64">
        <v>7.2999999999999995E-2</v>
      </c>
      <c r="I128" s="363" t="s">
        <v>271</v>
      </c>
      <c r="J128" s="355">
        <f>H128-L128</f>
        <v>2.8999999999999998E-2</v>
      </c>
      <c r="K128" s="363" t="s">
        <v>272</v>
      </c>
      <c r="L128" s="64">
        <v>4.3999999999999997E-2</v>
      </c>
      <c r="M128" s="363" t="s">
        <v>57</v>
      </c>
      <c r="N128" s="396">
        <v>50</v>
      </c>
      <c r="O128" s="363" t="s">
        <v>59</v>
      </c>
      <c r="P128" s="396">
        <v>50</v>
      </c>
      <c r="Q128" s="363" t="s">
        <v>60</v>
      </c>
      <c r="R128" s="65">
        <v>101</v>
      </c>
      <c r="S128" s="363" t="s">
        <v>61</v>
      </c>
      <c r="T128" s="65">
        <v>24</v>
      </c>
      <c r="U128" s="363" t="s">
        <v>54</v>
      </c>
      <c r="V128" s="66" t="s">
        <v>119</v>
      </c>
      <c r="W128" s="463" t="s">
        <v>394</v>
      </c>
      <c r="X128" s="465">
        <v>0.77</v>
      </c>
      <c r="Y128" s="463" t="s">
        <v>393</v>
      </c>
      <c r="Z128" s="358">
        <v>14</v>
      </c>
    </row>
    <row r="129" spans="1:26" x14ac:dyDescent="0.2">
      <c r="A129" s="362" t="s">
        <v>33</v>
      </c>
      <c r="B129" s="470">
        <v>0</v>
      </c>
      <c r="C129" s="470">
        <v>1E-3</v>
      </c>
      <c r="D129" s="470">
        <v>1.2999999999999999E-2</v>
      </c>
      <c r="E129" s="470">
        <v>2.3E-2</v>
      </c>
      <c r="F129" s="470">
        <v>5.1999999999999998E-2</v>
      </c>
      <c r="G129" s="470">
        <v>0.1</v>
      </c>
      <c r="H129" s="470">
        <v>0.379</v>
      </c>
      <c r="I129" s="470">
        <v>0.64100000000000001</v>
      </c>
      <c r="J129" s="470">
        <v>0.66500000000000004</v>
      </c>
      <c r="K129" s="470">
        <v>0.70599999999999996</v>
      </c>
      <c r="L129" s="470">
        <v>0.74399999999999999</v>
      </c>
      <c r="M129" s="470">
        <v>0.78700000000000003</v>
      </c>
      <c r="N129" s="470">
        <v>0.81599999999999995</v>
      </c>
      <c r="O129" s="371">
        <v>1</v>
      </c>
      <c r="P129" s="371">
        <v>1</v>
      </c>
      <c r="Q129" s="371">
        <v>1</v>
      </c>
      <c r="R129" s="371">
        <v>1</v>
      </c>
      <c r="S129" s="371">
        <v>1</v>
      </c>
      <c r="T129" s="371">
        <v>1</v>
      </c>
      <c r="U129" s="371">
        <v>1</v>
      </c>
      <c r="V129" s="371">
        <v>1</v>
      </c>
      <c r="W129" s="371">
        <v>2</v>
      </c>
      <c r="X129" s="371">
        <v>2</v>
      </c>
      <c r="Y129" s="381">
        <v>1000</v>
      </c>
    </row>
    <row r="130" spans="1:26" x14ac:dyDescent="0.2">
      <c r="A130" s="378" t="s">
        <v>34</v>
      </c>
      <c r="B130" s="470">
        <v>0</v>
      </c>
      <c r="C130" s="470">
        <v>8.3030000000000008</v>
      </c>
      <c r="D130" s="470">
        <v>85.68</v>
      </c>
      <c r="E130" s="470">
        <v>96.149000000000001</v>
      </c>
      <c r="F130" s="470">
        <v>78.820999999999998</v>
      </c>
      <c r="G130" s="470">
        <v>83.634</v>
      </c>
      <c r="H130" s="470">
        <v>77.858000000000004</v>
      </c>
      <c r="I130" s="470">
        <v>62.575000000000003</v>
      </c>
      <c r="J130" s="470">
        <v>55.716000000000001</v>
      </c>
      <c r="K130" s="470">
        <v>23.946999999999999</v>
      </c>
      <c r="L130" s="470">
        <v>9.1460000000000008</v>
      </c>
      <c r="M130" s="470">
        <v>2.7679999999999998</v>
      </c>
      <c r="N130" s="470">
        <v>0</v>
      </c>
      <c r="O130" s="373">
        <v>0</v>
      </c>
      <c r="P130" s="373">
        <v>0</v>
      </c>
      <c r="Q130" s="373">
        <v>0</v>
      </c>
      <c r="R130" s="373">
        <v>0</v>
      </c>
      <c r="S130" s="373">
        <v>0</v>
      </c>
      <c r="T130" s="373">
        <v>0</v>
      </c>
      <c r="U130" s="373">
        <v>0</v>
      </c>
      <c r="V130" s="373">
        <f>U130</f>
        <v>0</v>
      </c>
      <c r="W130" s="373">
        <f>V130</f>
        <v>0</v>
      </c>
      <c r="X130" s="373">
        <f>W130</f>
        <v>0</v>
      </c>
      <c r="Y130" s="382">
        <v>0</v>
      </c>
    </row>
    <row r="131" spans="1:26" ht="13.5" thickBot="1" x14ac:dyDescent="0.25">
      <c r="A131" s="379" t="s">
        <v>116</v>
      </c>
      <c r="B131" s="374">
        <f t="shared" ref="B131:X131" si="29">(C130+B130)*(C129-B129)/2</f>
        <v>4.1515000000000007E-3</v>
      </c>
      <c r="C131" s="375">
        <f t="shared" si="29"/>
        <v>0.56389800000000001</v>
      </c>
      <c r="D131" s="375">
        <f t="shared" si="29"/>
        <v>0.90914500000000009</v>
      </c>
      <c r="E131" s="375">
        <f t="shared" si="29"/>
        <v>2.5370649999999997</v>
      </c>
      <c r="F131" s="375">
        <f t="shared" si="29"/>
        <v>3.8989200000000004</v>
      </c>
      <c r="G131" s="375">
        <f t="shared" si="29"/>
        <v>22.528134000000005</v>
      </c>
      <c r="H131" s="375">
        <f t="shared" si="29"/>
        <v>18.396723000000001</v>
      </c>
      <c r="I131" s="375">
        <f t="shared" si="29"/>
        <v>1.4194920000000013</v>
      </c>
      <c r="J131" s="375">
        <f t="shared" si="29"/>
        <v>1.633091499999997</v>
      </c>
      <c r="K131" s="375">
        <f t="shared" si="29"/>
        <v>0.62876700000000063</v>
      </c>
      <c r="L131" s="375">
        <f t="shared" si="29"/>
        <v>0.25615100000000024</v>
      </c>
      <c r="M131" s="375">
        <f t="shared" si="29"/>
        <v>4.013599999999988E-2</v>
      </c>
      <c r="N131" s="375">
        <f t="shared" si="29"/>
        <v>0</v>
      </c>
      <c r="O131" s="375">
        <f t="shared" si="29"/>
        <v>0</v>
      </c>
      <c r="P131" s="375">
        <f t="shared" si="29"/>
        <v>0</v>
      </c>
      <c r="Q131" s="375">
        <f t="shared" si="29"/>
        <v>0</v>
      </c>
      <c r="R131" s="375">
        <f t="shared" si="29"/>
        <v>0</v>
      </c>
      <c r="S131" s="375">
        <f t="shared" si="29"/>
        <v>0</v>
      </c>
      <c r="T131" s="375">
        <f t="shared" si="29"/>
        <v>0</v>
      </c>
      <c r="U131" s="375">
        <f t="shared" si="29"/>
        <v>0</v>
      </c>
      <c r="V131" s="375">
        <f t="shared" si="29"/>
        <v>0</v>
      </c>
      <c r="W131" s="375">
        <f t="shared" si="29"/>
        <v>0</v>
      </c>
      <c r="X131" s="375">
        <f t="shared" si="29"/>
        <v>0</v>
      </c>
      <c r="Y131" s="369"/>
    </row>
    <row r="132" spans="1:26" ht="13.5" thickBot="1" x14ac:dyDescent="0.25">
      <c r="A132" s="6" t="s">
        <v>314</v>
      </c>
    </row>
    <row r="133" spans="1:26" ht="13.5" thickBot="1" x14ac:dyDescent="0.25">
      <c r="A133" s="361" t="s">
        <v>381</v>
      </c>
      <c r="B133" s="359">
        <f>ROW(A133)</f>
        <v>133</v>
      </c>
      <c r="C133" s="363" t="s">
        <v>115</v>
      </c>
      <c r="D133" s="353">
        <f>SUM(B136:Y136)</f>
        <v>41.835000000000015</v>
      </c>
      <c r="E133" s="363" t="s">
        <v>114</v>
      </c>
      <c r="F133" s="354">
        <f>D133/g/J133</f>
        <v>121.84359982525126</v>
      </c>
      <c r="G133" s="363" t="s">
        <v>56</v>
      </c>
      <c r="H133" s="64">
        <v>0.104</v>
      </c>
      <c r="I133" s="363" t="s">
        <v>271</v>
      </c>
      <c r="J133" s="355">
        <f>H133-L133</f>
        <v>3.4999999999999989E-2</v>
      </c>
      <c r="K133" s="363" t="s">
        <v>272</v>
      </c>
      <c r="L133" s="64">
        <v>6.9000000000000006E-2</v>
      </c>
      <c r="M133" s="363" t="s">
        <v>57</v>
      </c>
      <c r="N133" s="65">
        <v>49</v>
      </c>
      <c r="O133" s="363" t="s">
        <v>59</v>
      </c>
      <c r="P133" s="65">
        <v>49</v>
      </c>
      <c r="Q133" s="363" t="s">
        <v>60</v>
      </c>
      <c r="R133" s="65">
        <v>98</v>
      </c>
      <c r="S133" s="363" t="s">
        <v>61</v>
      </c>
      <c r="T133" s="65">
        <v>29</v>
      </c>
      <c r="U133" s="363" t="s">
        <v>54</v>
      </c>
      <c r="V133" s="66" t="s">
        <v>399</v>
      </c>
      <c r="W133" s="463" t="s">
        <v>394</v>
      </c>
      <c r="X133" s="465">
        <v>1.07</v>
      </c>
      <c r="Y133" s="463" t="s">
        <v>393</v>
      </c>
      <c r="Z133" s="358">
        <v>11</v>
      </c>
    </row>
    <row r="134" spans="1:26" x14ac:dyDescent="0.2">
      <c r="A134" s="362" t="s">
        <v>33</v>
      </c>
      <c r="B134" s="370">
        <v>0</v>
      </c>
      <c r="C134" s="371">
        <v>0.01</v>
      </c>
      <c r="D134" s="371">
        <v>0.02</v>
      </c>
      <c r="E134" s="371">
        <v>0.03</v>
      </c>
      <c r="F134" s="371">
        <v>0.04</v>
      </c>
      <c r="G134" s="371">
        <v>0.06</v>
      </c>
      <c r="H134" s="371">
        <v>7.0000000000000007E-2</v>
      </c>
      <c r="I134" s="371">
        <v>0.08</v>
      </c>
      <c r="J134" s="371">
        <v>0.1</v>
      </c>
      <c r="K134" s="371">
        <v>0.2</v>
      </c>
      <c r="L134" s="371">
        <v>0.3</v>
      </c>
      <c r="M134" s="371">
        <v>0.4</v>
      </c>
      <c r="N134" s="371">
        <v>0.5</v>
      </c>
      <c r="O134" s="371">
        <v>0.6</v>
      </c>
      <c r="P134" s="371">
        <v>0.7</v>
      </c>
      <c r="Q134" s="371">
        <v>0.8</v>
      </c>
      <c r="R134" s="371">
        <v>0.85</v>
      </c>
      <c r="S134" s="371">
        <v>0.92</v>
      </c>
      <c r="T134" s="371">
        <v>0.95</v>
      </c>
      <c r="U134" s="371">
        <v>0.99</v>
      </c>
      <c r="V134" s="371">
        <v>1.05</v>
      </c>
      <c r="W134" s="371">
        <v>1.05</v>
      </c>
      <c r="X134" s="371">
        <v>2</v>
      </c>
      <c r="Y134" s="381">
        <v>1000</v>
      </c>
    </row>
    <row r="135" spans="1:26" x14ac:dyDescent="0.2">
      <c r="A135" s="378" t="s">
        <v>34</v>
      </c>
      <c r="B135" s="372">
        <v>0</v>
      </c>
      <c r="C135" s="373">
        <v>12</v>
      </c>
      <c r="D135" s="373">
        <v>46</v>
      </c>
      <c r="E135" s="373">
        <v>75</v>
      </c>
      <c r="F135" s="373">
        <v>79</v>
      </c>
      <c r="G135" s="373">
        <v>77</v>
      </c>
      <c r="H135" s="373">
        <v>62</v>
      </c>
      <c r="I135" s="373">
        <v>32</v>
      </c>
      <c r="J135" s="373">
        <v>35</v>
      </c>
      <c r="K135" s="373">
        <v>38</v>
      </c>
      <c r="L135" s="373">
        <v>39</v>
      </c>
      <c r="M135" s="373">
        <v>41</v>
      </c>
      <c r="N135" s="373">
        <v>43</v>
      </c>
      <c r="O135" s="373">
        <v>43</v>
      </c>
      <c r="P135" s="373">
        <v>43</v>
      </c>
      <c r="Q135" s="373">
        <v>43</v>
      </c>
      <c r="R135" s="373">
        <v>47</v>
      </c>
      <c r="S135" s="373">
        <v>54</v>
      </c>
      <c r="T135" s="373">
        <v>32</v>
      </c>
      <c r="U135" s="373">
        <v>8</v>
      </c>
      <c r="V135" s="373">
        <v>0</v>
      </c>
      <c r="W135" s="373">
        <v>0</v>
      </c>
      <c r="X135" s="373">
        <v>0</v>
      </c>
      <c r="Y135" s="382">
        <v>0</v>
      </c>
    </row>
    <row r="136" spans="1:26" ht="13.5" thickBot="1" x14ac:dyDescent="0.25">
      <c r="A136" s="379" t="s">
        <v>116</v>
      </c>
      <c r="B136" s="374">
        <f t="shared" ref="B136:X136" si="30">(C135+B135)*(C134-B134)/2</f>
        <v>0.06</v>
      </c>
      <c r="C136" s="375">
        <f t="shared" si="30"/>
        <v>0.28999999999999998</v>
      </c>
      <c r="D136" s="375">
        <f t="shared" si="30"/>
        <v>0.60499999999999987</v>
      </c>
      <c r="E136" s="375">
        <f t="shared" si="30"/>
        <v>0.77000000000000013</v>
      </c>
      <c r="F136" s="375">
        <f t="shared" si="30"/>
        <v>1.5599999999999998</v>
      </c>
      <c r="G136" s="375">
        <f t="shared" si="30"/>
        <v>0.69500000000000062</v>
      </c>
      <c r="H136" s="375">
        <f t="shared" si="30"/>
        <v>0.46999999999999975</v>
      </c>
      <c r="I136" s="375">
        <f t="shared" si="30"/>
        <v>0.67000000000000015</v>
      </c>
      <c r="J136" s="375">
        <f t="shared" si="30"/>
        <v>3.6500000000000004</v>
      </c>
      <c r="K136" s="375">
        <f t="shared" si="30"/>
        <v>3.8499999999999992</v>
      </c>
      <c r="L136" s="375">
        <f t="shared" si="30"/>
        <v>4.0000000000000018</v>
      </c>
      <c r="M136" s="375">
        <f t="shared" si="30"/>
        <v>4.1999999999999993</v>
      </c>
      <c r="N136" s="375">
        <f t="shared" si="30"/>
        <v>4.2999999999999989</v>
      </c>
      <c r="O136" s="375">
        <f t="shared" si="30"/>
        <v>4.2999999999999989</v>
      </c>
      <c r="P136" s="375">
        <f t="shared" si="30"/>
        <v>4.3000000000000043</v>
      </c>
      <c r="Q136" s="375">
        <f t="shared" si="30"/>
        <v>2.2499999999999969</v>
      </c>
      <c r="R136" s="375">
        <f t="shared" si="30"/>
        <v>3.5350000000000033</v>
      </c>
      <c r="S136" s="375">
        <f t="shared" si="30"/>
        <v>1.2899999999999965</v>
      </c>
      <c r="T136" s="375">
        <f t="shared" si="30"/>
        <v>0.80000000000000071</v>
      </c>
      <c r="U136" s="375">
        <f t="shared" si="30"/>
        <v>0.24000000000000021</v>
      </c>
      <c r="V136" s="375">
        <f t="shared" si="30"/>
        <v>0</v>
      </c>
      <c r="W136" s="375">
        <f t="shared" si="30"/>
        <v>0</v>
      </c>
      <c r="X136" s="375">
        <f t="shared" si="30"/>
        <v>0</v>
      </c>
      <c r="Y136" s="369"/>
    </row>
    <row r="137" spans="1:26" ht="13.5" thickBot="1" x14ac:dyDescent="0.25">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row>
    <row r="138" spans="1:26" ht="13.5" thickBot="1" x14ac:dyDescent="0.25">
      <c r="A138" s="361" t="s">
        <v>382</v>
      </c>
      <c r="B138" s="359">
        <f>ROW(A138)</f>
        <v>138</v>
      </c>
      <c r="C138" s="363" t="s">
        <v>115</v>
      </c>
      <c r="D138" s="353">
        <f>SUM(B141:Y141)</f>
        <v>52.564999999999998</v>
      </c>
      <c r="E138" s="363" t="s">
        <v>114</v>
      </c>
      <c r="F138" s="354">
        <f>D138/g/J138</f>
        <v>167.44712028542301</v>
      </c>
      <c r="G138" s="363" t="s">
        <v>56</v>
      </c>
      <c r="H138" s="64">
        <v>0.10100000000000001</v>
      </c>
      <c r="I138" s="363" t="s">
        <v>271</v>
      </c>
      <c r="J138" s="355">
        <f>H138-L138</f>
        <v>3.2000000000000001E-2</v>
      </c>
      <c r="K138" s="363" t="s">
        <v>272</v>
      </c>
      <c r="L138" s="64">
        <v>6.9000000000000006E-2</v>
      </c>
      <c r="M138" s="363" t="s">
        <v>57</v>
      </c>
      <c r="N138" s="65">
        <v>49</v>
      </c>
      <c r="O138" s="363" t="s">
        <v>59</v>
      </c>
      <c r="P138" s="65">
        <v>49</v>
      </c>
      <c r="Q138" s="363" t="s">
        <v>60</v>
      </c>
      <c r="R138" s="65">
        <v>98</v>
      </c>
      <c r="S138" s="363" t="s">
        <v>61</v>
      </c>
      <c r="T138" s="65">
        <v>29</v>
      </c>
      <c r="U138" s="363" t="s">
        <v>54</v>
      </c>
      <c r="V138" s="66" t="s">
        <v>400</v>
      </c>
      <c r="W138" s="463" t="s">
        <v>394</v>
      </c>
      <c r="X138" s="465">
        <v>1.8</v>
      </c>
      <c r="Y138" s="463" t="s">
        <v>393</v>
      </c>
      <c r="Z138" s="358">
        <v>12</v>
      </c>
    </row>
    <row r="139" spans="1:26" x14ac:dyDescent="0.2">
      <c r="A139" s="362" t="s">
        <v>33</v>
      </c>
      <c r="B139" s="370">
        <v>0</v>
      </c>
      <c r="C139" s="371">
        <v>0.01</v>
      </c>
      <c r="D139" s="371">
        <v>0.03</v>
      </c>
      <c r="E139" s="371">
        <v>0.04</v>
      </c>
      <c r="F139" s="371">
        <v>0.05</v>
      </c>
      <c r="G139" s="371">
        <v>0.06</v>
      </c>
      <c r="H139" s="371">
        <v>7.0000000000000007E-2</v>
      </c>
      <c r="I139" s="371">
        <v>0.08</v>
      </c>
      <c r="J139" s="371">
        <v>0.09</v>
      </c>
      <c r="K139" s="371">
        <v>0.1</v>
      </c>
      <c r="L139" s="371">
        <v>0.2</v>
      </c>
      <c r="M139" s="371">
        <v>0.3</v>
      </c>
      <c r="N139" s="371">
        <v>0.4</v>
      </c>
      <c r="O139" s="371">
        <v>0.5</v>
      </c>
      <c r="P139" s="371">
        <v>0.7</v>
      </c>
      <c r="Q139" s="371">
        <v>0.8</v>
      </c>
      <c r="R139" s="371">
        <v>0.9</v>
      </c>
      <c r="S139" s="371">
        <v>1</v>
      </c>
      <c r="T139" s="371">
        <v>1.1000000000000001</v>
      </c>
      <c r="U139" s="371">
        <v>1.24</v>
      </c>
      <c r="V139" s="371">
        <v>1.3</v>
      </c>
      <c r="W139" s="371">
        <v>1.5</v>
      </c>
      <c r="X139" s="371">
        <v>2</v>
      </c>
      <c r="Y139" s="381">
        <v>1000</v>
      </c>
    </row>
    <row r="140" spans="1:26" x14ac:dyDescent="0.2">
      <c r="A140" s="378" t="s">
        <v>34</v>
      </c>
      <c r="B140" s="372">
        <v>0</v>
      </c>
      <c r="C140" s="373">
        <v>12</v>
      </c>
      <c r="D140" s="373">
        <v>41</v>
      </c>
      <c r="E140" s="373">
        <v>42</v>
      </c>
      <c r="F140" s="373">
        <v>42</v>
      </c>
      <c r="G140" s="373">
        <v>40</v>
      </c>
      <c r="H140" s="373">
        <v>34</v>
      </c>
      <c r="I140" s="373">
        <v>34</v>
      </c>
      <c r="J140" s="373">
        <v>35</v>
      </c>
      <c r="K140" s="373">
        <v>36</v>
      </c>
      <c r="L140" s="373">
        <v>40</v>
      </c>
      <c r="M140" s="373">
        <v>42</v>
      </c>
      <c r="N140" s="373">
        <v>43</v>
      </c>
      <c r="O140" s="373">
        <v>43</v>
      </c>
      <c r="P140" s="373">
        <v>43</v>
      </c>
      <c r="Q140" s="373">
        <v>42</v>
      </c>
      <c r="R140" s="373">
        <v>41</v>
      </c>
      <c r="S140" s="373">
        <v>40</v>
      </c>
      <c r="T140" s="373">
        <v>38</v>
      </c>
      <c r="U140" s="373">
        <v>37</v>
      </c>
      <c r="V140" s="373">
        <v>12</v>
      </c>
      <c r="W140" s="373">
        <v>0</v>
      </c>
      <c r="X140" s="373">
        <v>0</v>
      </c>
      <c r="Y140" s="382">
        <v>0</v>
      </c>
    </row>
    <row r="141" spans="1:26" ht="13.5" thickBot="1" x14ac:dyDescent="0.25">
      <c r="A141" s="379" t="s">
        <v>116</v>
      </c>
      <c r="B141" s="374">
        <f t="shared" ref="B141:X141" si="31">(C140+B140)*(C139-B139)/2</f>
        <v>0.06</v>
      </c>
      <c r="C141" s="375">
        <f t="shared" si="31"/>
        <v>0.52999999999999992</v>
      </c>
      <c r="D141" s="375">
        <f t="shared" si="31"/>
        <v>0.41500000000000009</v>
      </c>
      <c r="E141" s="375">
        <f t="shared" si="31"/>
        <v>0.4200000000000001</v>
      </c>
      <c r="F141" s="375">
        <f t="shared" si="31"/>
        <v>0.40999999999999981</v>
      </c>
      <c r="G141" s="375">
        <f t="shared" si="31"/>
        <v>0.37000000000000033</v>
      </c>
      <c r="H141" s="375">
        <f t="shared" si="31"/>
        <v>0.33999999999999986</v>
      </c>
      <c r="I141" s="375">
        <f t="shared" si="31"/>
        <v>0.34499999999999981</v>
      </c>
      <c r="J141" s="375">
        <f t="shared" si="31"/>
        <v>0.35500000000000032</v>
      </c>
      <c r="K141" s="375">
        <f t="shared" si="31"/>
        <v>3.8000000000000003</v>
      </c>
      <c r="L141" s="375">
        <f t="shared" si="31"/>
        <v>4.0999999999999988</v>
      </c>
      <c r="M141" s="375">
        <f t="shared" si="31"/>
        <v>4.2500000000000018</v>
      </c>
      <c r="N141" s="375">
        <f t="shared" si="31"/>
        <v>4.2999999999999989</v>
      </c>
      <c r="O141" s="375">
        <f t="shared" si="31"/>
        <v>8.5999999999999979</v>
      </c>
      <c r="P141" s="375">
        <f t="shared" si="31"/>
        <v>4.2500000000000036</v>
      </c>
      <c r="Q141" s="375">
        <f t="shared" si="31"/>
        <v>4.1499999999999995</v>
      </c>
      <c r="R141" s="375">
        <f t="shared" si="31"/>
        <v>4.0499999999999989</v>
      </c>
      <c r="S141" s="375">
        <f t="shared" si="31"/>
        <v>3.9000000000000035</v>
      </c>
      <c r="T141" s="375">
        <f t="shared" si="31"/>
        <v>5.2499999999999964</v>
      </c>
      <c r="U141" s="375">
        <f t="shared" si="31"/>
        <v>1.4700000000000013</v>
      </c>
      <c r="V141" s="375">
        <f t="shared" si="31"/>
        <v>1.1999999999999997</v>
      </c>
      <c r="W141" s="375">
        <f t="shared" si="31"/>
        <v>0</v>
      </c>
      <c r="X141" s="375">
        <f t="shared" si="31"/>
        <v>0</v>
      </c>
      <c r="Y141" s="369"/>
    </row>
    <row r="142" spans="1:26" ht="13.5" thickBot="1" x14ac:dyDescent="0.25">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row>
    <row r="143" spans="1:26" ht="13.5" thickBot="1" x14ac:dyDescent="0.25">
      <c r="A143" s="361" t="s">
        <v>383</v>
      </c>
      <c r="B143" s="359">
        <f>ROW(A143)</f>
        <v>143</v>
      </c>
      <c r="C143" s="363" t="s">
        <v>115</v>
      </c>
      <c r="D143" s="353">
        <f>SUM(B146:Y146)</f>
        <v>54.110016122119539</v>
      </c>
      <c r="E143" s="363" t="s">
        <v>114</v>
      </c>
      <c r="F143" s="354">
        <f>D143/g/J143</f>
        <v>146.69685764124625</v>
      </c>
      <c r="G143" s="363" t="s">
        <v>56</v>
      </c>
      <c r="H143" s="64">
        <v>0.10580000000000001</v>
      </c>
      <c r="I143" s="363" t="s">
        <v>271</v>
      </c>
      <c r="J143" s="355">
        <f>H143-L143</f>
        <v>3.7600000000000008E-2</v>
      </c>
      <c r="K143" s="363" t="s">
        <v>272</v>
      </c>
      <c r="L143" s="64">
        <v>6.8199999999999997E-2</v>
      </c>
      <c r="M143" s="363" t="s">
        <v>57</v>
      </c>
      <c r="N143" s="65">
        <v>49</v>
      </c>
      <c r="O143" s="363" t="s">
        <v>59</v>
      </c>
      <c r="P143" s="65">
        <v>49</v>
      </c>
      <c r="Q143" s="363" t="s">
        <v>60</v>
      </c>
      <c r="R143" s="65">
        <v>98</v>
      </c>
      <c r="S143" s="363" t="s">
        <v>61</v>
      </c>
      <c r="T143" s="65">
        <v>29</v>
      </c>
      <c r="U143" s="363" t="s">
        <v>54</v>
      </c>
      <c r="V143" s="66" t="s">
        <v>399</v>
      </c>
      <c r="W143" s="463" t="s">
        <v>394</v>
      </c>
      <c r="X143" s="465">
        <v>1.9</v>
      </c>
      <c r="Y143" s="463" t="s">
        <v>393</v>
      </c>
      <c r="Z143" s="358">
        <v>12</v>
      </c>
    </row>
    <row r="144" spans="1:26" x14ac:dyDescent="0.2">
      <c r="A144" s="362" t="s">
        <v>33</v>
      </c>
      <c r="B144" s="370">
        <v>0</v>
      </c>
      <c r="C144" s="371">
        <v>2.5000000000000001E-2</v>
      </c>
      <c r="D144" s="371">
        <v>0.05</v>
      </c>
      <c r="E144" s="371">
        <v>7.4999999999999997E-2</v>
      </c>
      <c r="F144" s="371">
        <v>0.1</v>
      </c>
      <c r="G144" s="371">
        <v>0.15</v>
      </c>
      <c r="H144" s="371">
        <v>0.17499999999999999</v>
      </c>
      <c r="I144" s="371">
        <v>0.2</v>
      </c>
      <c r="J144" s="371">
        <v>0.3</v>
      </c>
      <c r="K144" s="371">
        <v>0.4</v>
      </c>
      <c r="L144" s="371">
        <v>0.5</v>
      </c>
      <c r="M144" s="371">
        <v>0.6</v>
      </c>
      <c r="N144" s="371">
        <v>0.7</v>
      </c>
      <c r="O144" s="371">
        <v>0.8</v>
      </c>
      <c r="P144" s="371">
        <v>0.9</v>
      </c>
      <c r="Q144" s="371">
        <v>1.1000000000000001</v>
      </c>
      <c r="R144" s="371">
        <v>1.2</v>
      </c>
      <c r="S144" s="371">
        <v>1.6</v>
      </c>
      <c r="T144" s="371">
        <v>1.7</v>
      </c>
      <c r="U144" s="371">
        <v>1.8</v>
      </c>
      <c r="V144" s="371">
        <v>1.9</v>
      </c>
      <c r="W144" s="371">
        <v>1.9999</v>
      </c>
      <c r="X144" s="371">
        <v>2</v>
      </c>
      <c r="Y144" s="381">
        <v>1000</v>
      </c>
    </row>
    <row r="145" spans="1:26" x14ac:dyDescent="0.2">
      <c r="A145" s="378" t="s">
        <v>34</v>
      </c>
      <c r="B145" s="372">
        <v>0</v>
      </c>
      <c r="C145" s="376">
        <v>15.2574001848975</v>
      </c>
      <c r="D145" s="376">
        <v>26.377954255522496</v>
      </c>
      <c r="E145" s="376">
        <v>21.484910464447498</v>
      </c>
      <c r="F145" s="376">
        <v>24.020396792549999</v>
      </c>
      <c r="G145" s="376">
        <v>28.11276069054</v>
      </c>
      <c r="H145" s="376">
        <v>28.691029502212498</v>
      </c>
      <c r="I145" s="376">
        <v>29.180333881319996</v>
      </c>
      <c r="J145" s="376">
        <v>31.493409128009997</v>
      </c>
      <c r="K145" s="376">
        <v>32.560982318789996</v>
      </c>
      <c r="L145" s="376">
        <v>32.827875616484995</v>
      </c>
      <c r="M145" s="376">
        <v>32.649946751354996</v>
      </c>
      <c r="N145" s="376">
        <v>32.383053453659997</v>
      </c>
      <c r="O145" s="376">
        <v>32.249606804812501</v>
      </c>
      <c r="P145" s="376">
        <v>31.804784641987499</v>
      </c>
      <c r="Q145" s="376">
        <v>30.559282586077497</v>
      </c>
      <c r="R145" s="376">
        <v>30.069978206969999</v>
      </c>
      <c r="S145" s="376">
        <v>26.377954255522496</v>
      </c>
      <c r="T145" s="376">
        <v>24.865558901917499</v>
      </c>
      <c r="U145" s="376">
        <v>18.4601197572375</v>
      </c>
      <c r="V145" s="376">
        <v>7.5174945517424998</v>
      </c>
      <c r="W145" s="376">
        <v>1.3789487047575</v>
      </c>
      <c r="X145" s="373">
        <v>0</v>
      </c>
      <c r="Y145" s="382">
        <v>0</v>
      </c>
    </row>
    <row r="146" spans="1:26" ht="13.5" thickBot="1" x14ac:dyDescent="0.25">
      <c r="A146" s="379" t="s">
        <v>116</v>
      </c>
      <c r="B146" s="374">
        <f t="shared" ref="B146:V146" si="32">(C145+B145)*(C144-B144)/2</f>
        <v>0.19071750231121876</v>
      </c>
      <c r="C146" s="375">
        <f t="shared" si="32"/>
        <v>0.52044193050525001</v>
      </c>
      <c r="D146" s="375">
        <f t="shared" si="32"/>
        <v>0.5982858089996248</v>
      </c>
      <c r="E146" s="375">
        <f t="shared" si="32"/>
        <v>0.56881634071246889</v>
      </c>
      <c r="F146" s="375">
        <f t="shared" si="32"/>
        <v>1.3033289370772498</v>
      </c>
      <c r="G146" s="375">
        <f t="shared" si="32"/>
        <v>0.71004737740940616</v>
      </c>
      <c r="H146" s="375">
        <f t="shared" si="32"/>
        <v>0.72339204229415688</v>
      </c>
      <c r="I146" s="375">
        <f t="shared" si="32"/>
        <v>3.0336871504664993</v>
      </c>
      <c r="J146" s="375">
        <f>(K145+J145)*(K144-J144)/2</f>
        <v>3.2027195723400008</v>
      </c>
      <c r="K146" s="375">
        <f t="shared" si="32"/>
        <v>3.2694428967637483</v>
      </c>
      <c r="L146" s="375">
        <f t="shared" si="32"/>
        <v>3.2738911183919988</v>
      </c>
      <c r="M146" s="375">
        <f t="shared" si="32"/>
        <v>3.2516500102507484</v>
      </c>
      <c r="N146" s="375">
        <f t="shared" si="32"/>
        <v>3.2316330129236279</v>
      </c>
      <c r="O146" s="375">
        <f t="shared" si="32"/>
        <v>3.202719572339999</v>
      </c>
      <c r="P146" s="375">
        <f t="shared" si="32"/>
        <v>6.2364067228065014</v>
      </c>
      <c r="Q146" s="375">
        <f t="shared" si="32"/>
        <v>3.0314630396523707</v>
      </c>
      <c r="R146" s="375">
        <f t="shared" si="32"/>
        <v>11.289586492498502</v>
      </c>
      <c r="S146" s="375">
        <f>(T145+S145)*(T144-S144)/2</f>
        <v>2.5621756578719963</v>
      </c>
      <c r="T146" s="375">
        <f t="shared" si="32"/>
        <v>2.1662839329577519</v>
      </c>
      <c r="U146" s="375">
        <f t="shared" si="32"/>
        <v>1.2988807154489983</v>
      </c>
      <c r="V146" s="375">
        <f t="shared" si="32"/>
        <v>0.44437734066217544</v>
      </c>
      <c r="W146" s="375">
        <f>(X145+W145)*(X144-W144)/2</f>
        <v>6.894743523786741E-5</v>
      </c>
      <c r="X146" s="375">
        <f>(Y145+X145)*(Y144-X144)/2</f>
        <v>0</v>
      </c>
      <c r="Y146" s="369"/>
    </row>
    <row r="147" spans="1:26" ht="13.5" thickBot="1" x14ac:dyDescent="0.25">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row>
    <row r="148" spans="1:26" ht="13.5" thickBot="1" x14ac:dyDescent="0.25">
      <c r="A148" s="361" t="s">
        <v>544</v>
      </c>
      <c r="B148" s="359">
        <f>ROW(A148)</f>
        <v>148</v>
      </c>
      <c r="C148" s="363" t="s">
        <v>115</v>
      </c>
      <c r="D148" s="353">
        <f>SUM(B151:Y151)</f>
        <v>55.589492</v>
      </c>
      <c r="E148" s="363" t="s">
        <v>114</v>
      </c>
      <c r="F148" s="354">
        <f>D148/g/J148</f>
        <v>177.08171508664634</v>
      </c>
      <c r="G148" s="363" t="s">
        <v>56</v>
      </c>
      <c r="H148" s="64">
        <v>0.10199999999999999</v>
      </c>
      <c r="I148" s="363" t="s">
        <v>271</v>
      </c>
      <c r="J148" s="355">
        <f>H148-L148</f>
        <v>3.1999999999999987E-2</v>
      </c>
      <c r="K148" s="363" t="s">
        <v>272</v>
      </c>
      <c r="L148" s="64">
        <v>7.0000000000000007E-2</v>
      </c>
      <c r="M148" s="363" t="s">
        <v>57</v>
      </c>
      <c r="N148" s="65">
        <v>49</v>
      </c>
      <c r="O148" s="363" t="s">
        <v>59</v>
      </c>
      <c r="P148" s="65">
        <v>49</v>
      </c>
      <c r="Q148" s="363" t="s">
        <v>60</v>
      </c>
      <c r="R148" s="65">
        <v>98</v>
      </c>
      <c r="S148" s="363" t="s">
        <v>61</v>
      </c>
      <c r="T148" s="65">
        <v>29</v>
      </c>
      <c r="U148" s="363" t="s">
        <v>54</v>
      </c>
      <c r="V148" s="66" t="s">
        <v>400</v>
      </c>
      <c r="W148" s="463" t="s">
        <v>394</v>
      </c>
      <c r="X148" s="465">
        <v>0.45</v>
      </c>
      <c r="Y148" s="463" t="s">
        <v>393</v>
      </c>
      <c r="Z148" s="358">
        <v>12</v>
      </c>
    </row>
    <row r="149" spans="1:26" x14ac:dyDescent="0.2">
      <c r="A149" s="362" t="s">
        <v>33</v>
      </c>
      <c r="B149" s="370">
        <v>0</v>
      </c>
      <c r="C149" s="371">
        <v>1E-3</v>
      </c>
      <c r="D149" s="371">
        <v>2.3E-2</v>
      </c>
      <c r="E149" s="371">
        <v>0.05</v>
      </c>
      <c r="F149" s="371">
        <v>5.8999999999999997E-2</v>
      </c>
      <c r="G149" s="371">
        <v>9.5000000000000001E-2</v>
      </c>
      <c r="H149" s="371">
        <v>0.21199999999999999</v>
      </c>
      <c r="I149" s="371">
        <v>0.34399999999999997</v>
      </c>
      <c r="J149" s="371">
        <v>1.5669999999999999</v>
      </c>
      <c r="K149" s="371">
        <v>1.631</v>
      </c>
      <c r="L149" s="371">
        <v>1.663</v>
      </c>
      <c r="M149" s="371">
        <v>1.7849999999999999</v>
      </c>
      <c r="N149" s="371">
        <v>1.8280000000000001</v>
      </c>
      <c r="O149" s="371">
        <v>2</v>
      </c>
      <c r="P149" s="371">
        <v>2</v>
      </c>
      <c r="Q149" s="371">
        <v>2</v>
      </c>
      <c r="R149" s="371">
        <v>2</v>
      </c>
      <c r="S149" s="371">
        <v>2</v>
      </c>
      <c r="T149" s="371">
        <v>2</v>
      </c>
      <c r="U149" s="371">
        <v>2</v>
      </c>
      <c r="V149" s="371">
        <v>2</v>
      </c>
      <c r="W149" s="371">
        <v>2</v>
      </c>
      <c r="X149" s="371">
        <v>2</v>
      </c>
      <c r="Y149" s="381">
        <v>1000</v>
      </c>
    </row>
    <row r="150" spans="1:26" x14ac:dyDescent="0.2">
      <c r="A150" s="378" t="s">
        <v>34</v>
      </c>
      <c r="B150" s="372">
        <v>0</v>
      </c>
      <c r="C150" s="373">
        <v>3.4830000000000001</v>
      </c>
      <c r="D150" s="373">
        <v>64.052999999999997</v>
      </c>
      <c r="E150" s="373">
        <v>31.347000000000001</v>
      </c>
      <c r="F150" s="373">
        <v>28.459</v>
      </c>
      <c r="G150" s="373">
        <v>32.027000000000001</v>
      </c>
      <c r="H150" s="373">
        <v>36.189</v>
      </c>
      <c r="I150" s="373">
        <v>37.548999999999999</v>
      </c>
      <c r="J150" s="373">
        <v>26.164999999999999</v>
      </c>
      <c r="K150" s="373">
        <v>26.93</v>
      </c>
      <c r="L150" s="373">
        <v>25.315999999999999</v>
      </c>
      <c r="M150" s="373">
        <v>3.653</v>
      </c>
      <c r="N150" s="373">
        <v>0</v>
      </c>
      <c r="O150" s="373">
        <v>0</v>
      </c>
      <c r="P150" s="373">
        <v>0</v>
      </c>
      <c r="Q150" s="373">
        <v>0</v>
      </c>
      <c r="R150" s="373">
        <v>0</v>
      </c>
      <c r="S150" s="373">
        <v>0</v>
      </c>
      <c r="T150" s="373">
        <v>0</v>
      </c>
      <c r="U150" s="373">
        <v>0</v>
      </c>
      <c r="V150" s="373">
        <v>0</v>
      </c>
      <c r="W150" s="373">
        <v>0</v>
      </c>
      <c r="X150" s="373">
        <v>0</v>
      </c>
      <c r="Y150" s="382">
        <v>0</v>
      </c>
    </row>
    <row r="151" spans="1:26" ht="13.5" thickBot="1" x14ac:dyDescent="0.25">
      <c r="A151" s="379" t="s">
        <v>116</v>
      </c>
      <c r="B151" s="374">
        <f t="shared" ref="B151" si="33">(C150+B150)*(C149-B149)/2</f>
        <v>1.7415E-3</v>
      </c>
      <c r="C151" s="375">
        <f t="shared" ref="C151" si="34">(D150+C150)*(D149-C149)/2</f>
        <v>0.742896</v>
      </c>
      <c r="D151" s="375">
        <f t="shared" ref="D151" si="35">(E150+D150)*(E149-D149)/2</f>
        <v>1.2879000000000003</v>
      </c>
      <c r="E151" s="375">
        <f t="shared" ref="E151" si="36">(F150+E150)*(F149-E149)/2</f>
        <v>0.26912699999999984</v>
      </c>
      <c r="F151" s="375">
        <f t="shared" ref="F151" si="37">(G150+F150)*(G149-F149)/2</f>
        <v>1.0887480000000003</v>
      </c>
      <c r="G151" s="375">
        <f t="shared" ref="G151" si="38">(H150+G150)*(H149-G149)/2</f>
        <v>3.9906360000000003</v>
      </c>
      <c r="H151" s="375">
        <f t="shared" ref="H151" si="39">(I150+H150)*(I149-H149)/2</f>
        <v>4.8667079999999991</v>
      </c>
      <c r="I151" s="375">
        <f t="shared" ref="I151" si="40">(J150+I150)*(J149-I149)/2</f>
        <v>38.961110999999995</v>
      </c>
      <c r="J151" s="375">
        <f t="shared" ref="J151" si="41">(K150+J150)*(K149-J149)/2</f>
        <v>1.6990400000000014</v>
      </c>
      <c r="K151" s="375">
        <f t="shared" ref="K151" si="42">(L150+K150)*(L149-K149)/2</f>
        <v>0.83593600000000068</v>
      </c>
      <c r="L151" s="375">
        <f t="shared" ref="L151" si="43">(M150+L150)*(M149-L149)/2</f>
        <v>1.7671089999999983</v>
      </c>
      <c r="M151" s="375">
        <f t="shared" ref="M151" si="44">(N150+M150)*(N149-M149)/2</f>
        <v>7.8539500000000276E-2</v>
      </c>
      <c r="N151" s="375">
        <f t="shared" ref="N151" si="45">(O150+N150)*(O149-N149)/2</f>
        <v>0</v>
      </c>
      <c r="O151" s="375">
        <f t="shared" ref="O151" si="46">(P150+O150)*(P149-O149)/2</f>
        <v>0</v>
      </c>
      <c r="P151" s="375">
        <f t="shared" ref="P151" si="47">(Q150+P150)*(Q149-P149)/2</f>
        <v>0</v>
      </c>
      <c r="Q151" s="375">
        <f t="shared" ref="Q151" si="48">(R150+Q150)*(R149-Q149)/2</f>
        <v>0</v>
      </c>
      <c r="R151" s="375">
        <f t="shared" ref="R151" si="49">(S150+R150)*(S149-R149)/2</f>
        <v>0</v>
      </c>
      <c r="S151" s="375">
        <f t="shared" ref="S151" si="50">(T150+S150)*(T149-S149)/2</f>
        <v>0</v>
      </c>
      <c r="T151" s="375">
        <f t="shared" ref="T151" si="51">(U150+T150)*(U149-T149)/2</f>
        <v>0</v>
      </c>
      <c r="U151" s="375">
        <f t="shared" ref="U151" si="52">(V150+U150)*(V149-U149)/2</f>
        <v>0</v>
      </c>
      <c r="V151" s="375">
        <f t="shared" ref="V151" si="53">(W150+V150)*(W149-V149)/2</f>
        <v>0</v>
      </c>
      <c r="W151" s="375">
        <f t="shared" ref="W151" si="54">(X150+W150)*(X149-W149)/2</f>
        <v>0</v>
      </c>
      <c r="X151" s="375">
        <f t="shared" ref="X151" si="55">(Y150+X150)*(Y149-X149)/2</f>
        <v>0</v>
      </c>
      <c r="Y151" s="369"/>
    </row>
    <row r="152" spans="1:26" ht="13.5" thickBot="1" x14ac:dyDescent="0.25">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row>
    <row r="153" spans="1:26" ht="13.5" thickBot="1" x14ac:dyDescent="0.25">
      <c r="A153" s="361" t="s">
        <v>384</v>
      </c>
      <c r="B153" s="359">
        <f>ROW(A153)</f>
        <v>153</v>
      </c>
      <c r="C153" s="363" t="s">
        <v>115</v>
      </c>
      <c r="D153" s="353">
        <f>SUM(B156:Y156)</f>
        <v>55.705884500000003</v>
      </c>
      <c r="E153" s="363" t="s">
        <v>114</v>
      </c>
      <c r="F153" s="354">
        <f>D153/g/J153</f>
        <v>180.84329814241278</v>
      </c>
      <c r="G153" s="363" t="s">
        <v>56</v>
      </c>
      <c r="H153" s="64">
        <v>0.1062</v>
      </c>
      <c r="I153" s="363" t="s">
        <v>271</v>
      </c>
      <c r="J153" s="355">
        <f>H153-L153</f>
        <v>3.1400000000000011E-2</v>
      </c>
      <c r="K153" s="363" t="s">
        <v>272</v>
      </c>
      <c r="L153" s="64">
        <v>7.4799999999999991E-2</v>
      </c>
      <c r="M153" s="363" t="s">
        <v>57</v>
      </c>
      <c r="N153" s="65">
        <v>49</v>
      </c>
      <c r="O153" s="363" t="s">
        <v>59</v>
      </c>
      <c r="P153" s="65">
        <v>49</v>
      </c>
      <c r="Q153" s="363" t="s">
        <v>60</v>
      </c>
      <c r="R153" s="65">
        <v>98</v>
      </c>
      <c r="S153" s="363" t="s">
        <v>61</v>
      </c>
      <c r="T153" s="65">
        <v>29</v>
      </c>
      <c r="U153" s="363" t="s">
        <v>54</v>
      </c>
      <c r="V153" s="66" t="s">
        <v>400</v>
      </c>
      <c r="W153" s="463" t="s">
        <v>394</v>
      </c>
      <c r="X153" s="465">
        <v>0.45</v>
      </c>
      <c r="Y153" s="463" t="s">
        <v>393</v>
      </c>
      <c r="Z153" s="358">
        <v>14</v>
      </c>
    </row>
    <row r="154" spans="1:26" x14ac:dyDescent="0.2">
      <c r="A154" s="362" t="s">
        <v>33</v>
      </c>
      <c r="B154" s="370">
        <v>0</v>
      </c>
      <c r="C154" s="371">
        <v>1.2999999999999999E-2</v>
      </c>
      <c r="D154" s="371">
        <v>1.7000000000000001E-2</v>
      </c>
      <c r="E154" s="371">
        <v>0.04</v>
      </c>
      <c r="F154" s="371">
        <v>0.125</v>
      </c>
      <c r="G154" s="371">
        <v>0.17899999999999999</v>
      </c>
      <c r="H154" s="371">
        <v>0.222</v>
      </c>
      <c r="I154" s="371">
        <v>0.28899999999999998</v>
      </c>
      <c r="J154" s="371">
        <v>0.35399999999999998</v>
      </c>
      <c r="K154" s="371">
        <v>0.39400000000000002</v>
      </c>
      <c r="L154" s="371">
        <v>0.40600000000000003</v>
      </c>
      <c r="M154" s="371">
        <v>0.41599999999999998</v>
      </c>
      <c r="N154" s="371">
        <v>0.42299999999999999</v>
      </c>
      <c r="O154" s="371">
        <v>0.43099999999999999</v>
      </c>
      <c r="P154" s="371">
        <v>0.44700000000000001</v>
      </c>
      <c r="Q154" s="371">
        <v>0.45300000000000001</v>
      </c>
      <c r="R154" s="371">
        <v>0.45500000000000002</v>
      </c>
      <c r="S154" s="371">
        <v>0.45500000000000002</v>
      </c>
      <c r="T154" s="371">
        <v>0.45500000000000002</v>
      </c>
      <c r="U154" s="371">
        <v>0.45500000000000002</v>
      </c>
      <c r="V154" s="371">
        <v>0.45500000000000002</v>
      </c>
      <c r="W154" s="371">
        <v>0.45500000000000002</v>
      </c>
      <c r="X154" s="371">
        <v>2</v>
      </c>
      <c r="Y154" s="381">
        <v>1000</v>
      </c>
    </row>
    <row r="155" spans="1:26" x14ac:dyDescent="0.2">
      <c r="A155" s="378" t="s">
        <v>34</v>
      </c>
      <c r="B155" s="372">
        <v>0</v>
      </c>
      <c r="C155" s="373">
        <v>79.242000000000004</v>
      </c>
      <c r="D155" s="373">
        <v>90.427000000000007</v>
      </c>
      <c r="E155" s="373">
        <v>101.422</v>
      </c>
      <c r="F155" s="373">
        <v>127.583</v>
      </c>
      <c r="G155" s="373">
        <v>136.114</v>
      </c>
      <c r="H155" s="373">
        <v>139.905</v>
      </c>
      <c r="I155" s="373">
        <v>143.50700000000001</v>
      </c>
      <c r="J155" s="373">
        <v>138.578</v>
      </c>
      <c r="K155" s="373">
        <v>125.498</v>
      </c>
      <c r="L155" s="373">
        <v>123.602</v>
      </c>
      <c r="M155" s="373">
        <v>125.11799999999999</v>
      </c>
      <c r="N155" s="373">
        <v>130.047</v>
      </c>
      <c r="O155" s="373">
        <v>120.569</v>
      </c>
      <c r="P155" s="373">
        <v>25.591999999999999</v>
      </c>
      <c r="Q155" s="373">
        <v>8.7200000000000006</v>
      </c>
      <c r="R155" s="373">
        <v>0</v>
      </c>
      <c r="S155" s="373">
        <v>0</v>
      </c>
      <c r="T155" s="373">
        <v>0</v>
      </c>
      <c r="U155" s="373">
        <v>0</v>
      </c>
      <c r="V155" s="373">
        <v>0</v>
      </c>
      <c r="W155" s="373">
        <v>0</v>
      </c>
      <c r="X155" s="373">
        <v>0</v>
      </c>
      <c r="Y155" s="382">
        <v>0</v>
      </c>
    </row>
    <row r="156" spans="1:26" ht="13.5" thickBot="1" x14ac:dyDescent="0.25">
      <c r="A156" s="379" t="s">
        <v>116</v>
      </c>
      <c r="B156" s="374">
        <f t="shared" ref="B156:X156" si="56">(C155+B155)*(C154-B154)/2</f>
        <v>0.515073</v>
      </c>
      <c r="C156" s="375">
        <f t="shared" si="56"/>
        <v>0.3393380000000002</v>
      </c>
      <c r="D156" s="375">
        <f t="shared" si="56"/>
        <v>2.2062634999999999</v>
      </c>
      <c r="E156" s="375">
        <f t="shared" si="56"/>
        <v>9.7327124999999981</v>
      </c>
      <c r="F156" s="375">
        <f t="shared" si="56"/>
        <v>7.1198189999999988</v>
      </c>
      <c r="G156" s="375">
        <f t="shared" si="56"/>
        <v>5.9344085000000018</v>
      </c>
      <c r="H156" s="375">
        <f t="shared" si="56"/>
        <v>9.4943019999999976</v>
      </c>
      <c r="I156" s="375">
        <f t="shared" si="56"/>
        <v>9.167762500000002</v>
      </c>
      <c r="J156" s="375">
        <f t="shared" si="56"/>
        <v>5.2815200000000049</v>
      </c>
      <c r="K156" s="375">
        <f t="shared" si="56"/>
        <v>1.4946000000000015</v>
      </c>
      <c r="L156" s="375">
        <f t="shared" si="56"/>
        <v>1.2435999999999943</v>
      </c>
      <c r="M156" s="375">
        <f t="shared" si="56"/>
        <v>0.89307750000000075</v>
      </c>
      <c r="N156" s="375">
        <f t="shared" si="56"/>
        <v>1.0024640000000009</v>
      </c>
      <c r="O156" s="375">
        <f t="shared" si="56"/>
        <v>1.169288000000001</v>
      </c>
      <c r="P156" s="375">
        <f t="shared" si="56"/>
        <v>0.10293600000000008</v>
      </c>
      <c r="Q156" s="375">
        <f t="shared" si="56"/>
        <v>8.720000000000009E-3</v>
      </c>
      <c r="R156" s="375">
        <f t="shared" si="56"/>
        <v>0</v>
      </c>
      <c r="S156" s="375">
        <f t="shared" si="56"/>
        <v>0</v>
      </c>
      <c r="T156" s="375">
        <f t="shared" si="56"/>
        <v>0</v>
      </c>
      <c r="U156" s="375">
        <f t="shared" si="56"/>
        <v>0</v>
      </c>
      <c r="V156" s="375">
        <f t="shared" si="56"/>
        <v>0</v>
      </c>
      <c r="W156" s="375">
        <f t="shared" si="56"/>
        <v>0</v>
      </c>
      <c r="X156" s="375">
        <f t="shared" si="56"/>
        <v>0</v>
      </c>
      <c r="Y156" s="369"/>
    </row>
    <row r="157" spans="1:26" ht="13.5" thickBot="1" x14ac:dyDescent="0.25">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row>
    <row r="158" spans="1:26" ht="13.5" thickBot="1" x14ac:dyDescent="0.25">
      <c r="A158" s="361" t="s">
        <v>385</v>
      </c>
      <c r="B158" s="359">
        <f>ROW(A158)</f>
        <v>158</v>
      </c>
      <c r="C158" s="363" t="s">
        <v>115</v>
      </c>
      <c r="D158" s="353">
        <f>SUM(B161:Y161)</f>
        <v>57.190000000000005</v>
      </c>
      <c r="E158" s="363" t="s">
        <v>114</v>
      </c>
      <c r="F158" s="354">
        <f>D158/g/J158</f>
        <v>188.05695307618953</v>
      </c>
      <c r="G158" s="363" t="s">
        <v>56</v>
      </c>
      <c r="H158" s="64">
        <v>9.9000000000000005E-2</v>
      </c>
      <c r="I158" s="363" t="s">
        <v>271</v>
      </c>
      <c r="J158" s="355">
        <f>H158-L158</f>
        <v>3.1E-2</v>
      </c>
      <c r="K158" s="363" t="s">
        <v>272</v>
      </c>
      <c r="L158" s="64">
        <v>6.8000000000000005E-2</v>
      </c>
      <c r="M158" s="363" t="s">
        <v>57</v>
      </c>
      <c r="N158" s="65">
        <v>49</v>
      </c>
      <c r="O158" s="363" t="s">
        <v>59</v>
      </c>
      <c r="P158" s="65">
        <v>49</v>
      </c>
      <c r="Q158" s="363" t="s">
        <v>60</v>
      </c>
      <c r="R158" s="65">
        <v>98</v>
      </c>
      <c r="S158" s="363" t="s">
        <v>61</v>
      </c>
      <c r="T158" s="65">
        <v>29</v>
      </c>
      <c r="U158" s="363" t="s">
        <v>54</v>
      </c>
      <c r="V158" s="66" t="s">
        <v>400</v>
      </c>
      <c r="W158" s="463" t="s">
        <v>394</v>
      </c>
      <c r="X158" s="465">
        <v>0.96</v>
      </c>
      <c r="Y158" s="463" t="s">
        <v>393</v>
      </c>
      <c r="Z158" s="358">
        <v>12</v>
      </c>
    </row>
    <row r="159" spans="1:26" x14ac:dyDescent="0.2">
      <c r="A159" s="362" t="s">
        <v>33</v>
      </c>
      <c r="B159" s="370">
        <v>0</v>
      </c>
      <c r="C159" s="371">
        <v>0.01</v>
      </c>
      <c r="D159" s="371">
        <v>0.02</v>
      </c>
      <c r="E159" s="371">
        <v>0.03</v>
      </c>
      <c r="F159" s="371">
        <v>0.04</v>
      </c>
      <c r="G159" s="371">
        <v>7.0000000000000007E-2</v>
      </c>
      <c r="H159" s="371">
        <v>0.1</v>
      </c>
      <c r="I159" s="371">
        <v>0.2</v>
      </c>
      <c r="J159" s="371">
        <v>0.3</v>
      </c>
      <c r="K159" s="371">
        <v>0.4</v>
      </c>
      <c r="L159" s="371">
        <v>0.5</v>
      </c>
      <c r="M159" s="371">
        <v>0.6</v>
      </c>
      <c r="N159" s="371">
        <v>0.7</v>
      </c>
      <c r="O159" s="371">
        <v>0.87</v>
      </c>
      <c r="P159" s="371">
        <v>0.9</v>
      </c>
      <c r="Q159" s="371">
        <v>0.97</v>
      </c>
      <c r="R159" s="371">
        <v>0.97</v>
      </c>
      <c r="S159" s="371">
        <v>0.97</v>
      </c>
      <c r="T159" s="371">
        <v>0.97</v>
      </c>
      <c r="U159" s="371">
        <v>0.97</v>
      </c>
      <c r="V159" s="371">
        <v>0.97</v>
      </c>
      <c r="W159" s="371">
        <v>0.97</v>
      </c>
      <c r="X159" s="371">
        <v>2</v>
      </c>
      <c r="Y159" s="381">
        <v>1000</v>
      </c>
    </row>
    <row r="160" spans="1:26" x14ac:dyDescent="0.2">
      <c r="A160" s="378" t="s">
        <v>34</v>
      </c>
      <c r="B160" s="372">
        <v>0</v>
      </c>
      <c r="C160" s="373">
        <v>16</v>
      </c>
      <c r="D160" s="373">
        <v>62</v>
      </c>
      <c r="E160" s="373">
        <v>67</v>
      </c>
      <c r="F160" s="373">
        <v>71</v>
      </c>
      <c r="G160" s="373">
        <v>58</v>
      </c>
      <c r="H160" s="373">
        <v>63</v>
      </c>
      <c r="I160" s="373">
        <v>67</v>
      </c>
      <c r="J160" s="373">
        <v>69</v>
      </c>
      <c r="K160" s="373">
        <v>67</v>
      </c>
      <c r="L160" s="373">
        <v>65</v>
      </c>
      <c r="M160" s="373">
        <v>63</v>
      </c>
      <c r="N160" s="373">
        <v>61</v>
      </c>
      <c r="O160" s="373">
        <v>60</v>
      </c>
      <c r="P160" s="373">
        <v>23</v>
      </c>
      <c r="Q160" s="373">
        <v>0</v>
      </c>
      <c r="R160" s="373">
        <v>0</v>
      </c>
      <c r="S160" s="373">
        <v>0</v>
      </c>
      <c r="T160" s="373">
        <v>0</v>
      </c>
      <c r="U160" s="373">
        <v>0</v>
      </c>
      <c r="V160" s="373">
        <v>0</v>
      </c>
      <c r="W160" s="373">
        <v>0</v>
      </c>
      <c r="X160" s="373">
        <v>0</v>
      </c>
      <c r="Y160" s="382">
        <v>0</v>
      </c>
    </row>
    <row r="161" spans="1:26" ht="13.5" thickBot="1" x14ac:dyDescent="0.25">
      <c r="A161" s="379" t="s">
        <v>116</v>
      </c>
      <c r="B161" s="374">
        <f t="shared" ref="B161:X161" si="57">(C160+B160)*(C159-B159)/2</f>
        <v>0.08</v>
      </c>
      <c r="C161" s="375">
        <f t="shared" si="57"/>
        <v>0.39</v>
      </c>
      <c r="D161" s="375">
        <f t="shared" si="57"/>
        <v>0.64499999999999991</v>
      </c>
      <c r="E161" s="375">
        <f t="shared" si="57"/>
        <v>0.69000000000000017</v>
      </c>
      <c r="F161" s="375">
        <f t="shared" si="57"/>
        <v>1.9350000000000003</v>
      </c>
      <c r="G161" s="375">
        <f t="shared" si="57"/>
        <v>1.8149999999999999</v>
      </c>
      <c r="H161" s="375">
        <f t="shared" si="57"/>
        <v>6.5</v>
      </c>
      <c r="I161" s="375">
        <f t="shared" si="57"/>
        <v>6.7999999999999989</v>
      </c>
      <c r="J161" s="375">
        <f t="shared" si="57"/>
        <v>6.8000000000000025</v>
      </c>
      <c r="K161" s="375">
        <f t="shared" si="57"/>
        <v>6.5999999999999988</v>
      </c>
      <c r="L161" s="375">
        <f t="shared" si="57"/>
        <v>6.3999999999999986</v>
      </c>
      <c r="M161" s="375">
        <f t="shared" si="57"/>
        <v>6.1999999999999984</v>
      </c>
      <c r="N161" s="375">
        <f t="shared" si="57"/>
        <v>10.285000000000002</v>
      </c>
      <c r="O161" s="375">
        <f t="shared" si="57"/>
        <v>1.245000000000001</v>
      </c>
      <c r="P161" s="375">
        <f t="shared" si="57"/>
        <v>0.80499999999999949</v>
      </c>
      <c r="Q161" s="375">
        <f t="shared" si="57"/>
        <v>0</v>
      </c>
      <c r="R161" s="375">
        <f t="shared" si="57"/>
        <v>0</v>
      </c>
      <c r="S161" s="375">
        <f t="shared" si="57"/>
        <v>0</v>
      </c>
      <c r="T161" s="375">
        <f t="shared" si="57"/>
        <v>0</v>
      </c>
      <c r="U161" s="375">
        <f t="shared" si="57"/>
        <v>0</v>
      </c>
      <c r="V161" s="375">
        <f t="shared" si="57"/>
        <v>0</v>
      </c>
      <c r="W161" s="375">
        <f t="shared" si="57"/>
        <v>0</v>
      </c>
      <c r="X161" s="375">
        <f t="shared" si="57"/>
        <v>0</v>
      </c>
      <c r="Y161" s="369"/>
    </row>
    <row r="162" spans="1:26" ht="13.5" thickBot="1" x14ac:dyDescent="0.25">
      <c r="A162" s="6" t="s">
        <v>315</v>
      </c>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row>
    <row r="163" spans="1:26" ht="13.5" thickBot="1" x14ac:dyDescent="0.25">
      <c r="A163" s="361" t="s">
        <v>321</v>
      </c>
      <c r="B163" s="359">
        <f>ROW(A163)</f>
        <v>163</v>
      </c>
      <c r="C163" s="363" t="s">
        <v>115</v>
      </c>
      <c r="D163" s="353">
        <f>SUM(B166:Y166)</f>
        <v>59.702267000000006</v>
      </c>
      <c r="E163" s="363" t="s">
        <v>114</v>
      </c>
      <c r="F163" s="354">
        <f>D163/g/J163</f>
        <v>190.77924771281306</v>
      </c>
      <c r="G163" s="363" t="s">
        <v>56</v>
      </c>
      <c r="H163" s="64">
        <v>9.3899999999999997E-2</v>
      </c>
      <c r="I163" s="363" t="s">
        <v>271</v>
      </c>
      <c r="J163" s="355">
        <f>H163-L163</f>
        <v>3.1899999999999998E-2</v>
      </c>
      <c r="K163" s="363" t="s">
        <v>272</v>
      </c>
      <c r="L163" s="64">
        <f>0.095-0.033</f>
        <v>6.2E-2</v>
      </c>
      <c r="M163" s="363" t="s">
        <v>57</v>
      </c>
      <c r="N163" s="396">
        <v>66.5</v>
      </c>
      <c r="O163" s="363" t="s">
        <v>59</v>
      </c>
      <c r="P163" s="396">
        <v>66.5</v>
      </c>
      <c r="Q163" s="363" t="s">
        <v>60</v>
      </c>
      <c r="R163" s="65">
        <v>133</v>
      </c>
      <c r="S163" s="363" t="s">
        <v>61</v>
      </c>
      <c r="T163" s="65">
        <v>24</v>
      </c>
      <c r="U163" s="363" t="s">
        <v>54</v>
      </c>
      <c r="V163" s="66" t="s">
        <v>399</v>
      </c>
      <c r="W163" s="463" t="s">
        <v>394</v>
      </c>
      <c r="X163" s="465">
        <v>1.2</v>
      </c>
      <c r="Y163" s="463" t="s">
        <v>393</v>
      </c>
      <c r="Z163" s="358">
        <v>13</v>
      </c>
    </row>
    <row r="164" spans="1:26" x14ac:dyDescent="0.2">
      <c r="A164" s="362" t="s">
        <v>33</v>
      </c>
      <c r="B164" s="370">
        <v>0</v>
      </c>
      <c r="C164" s="371">
        <v>1.4999999999999999E-2</v>
      </c>
      <c r="D164" s="371">
        <v>2.1999999999999999E-2</v>
      </c>
      <c r="E164" s="371">
        <v>6.4000000000000001E-2</v>
      </c>
      <c r="F164" s="371">
        <v>0.11799999999999999</v>
      </c>
      <c r="G164" s="371">
        <v>0.34200000000000003</v>
      </c>
      <c r="H164" s="371">
        <v>0.53600000000000003</v>
      </c>
      <c r="I164" s="371">
        <v>0.74299999999999999</v>
      </c>
      <c r="J164" s="371">
        <v>0.88400000000000001</v>
      </c>
      <c r="K164" s="371">
        <v>0.97599999999999998</v>
      </c>
      <c r="L164" s="371">
        <v>1.0960000000000001</v>
      </c>
      <c r="M164" s="371">
        <v>1.246</v>
      </c>
      <c r="N164" s="371">
        <v>1.298</v>
      </c>
      <c r="O164" s="371">
        <v>2</v>
      </c>
      <c r="P164" s="371">
        <v>2</v>
      </c>
      <c r="Q164" s="371">
        <v>2</v>
      </c>
      <c r="R164" s="371">
        <v>2</v>
      </c>
      <c r="S164" s="371">
        <v>2</v>
      </c>
      <c r="T164" s="371">
        <v>2</v>
      </c>
      <c r="U164" s="371">
        <v>2</v>
      </c>
      <c r="V164" s="371">
        <v>2</v>
      </c>
      <c r="W164" s="371">
        <v>2</v>
      </c>
      <c r="X164" s="371">
        <f t="shared" ref="T164:X165" si="58">W164</f>
        <v>2</v>
      </c>
      <c r="Y164" s="381">
        <v>1000</v>
      </c>
    </row>
    <row r="165" spans="1:26" x14ac:dyDescent="0.2">
      <c r="A165" s="378" t="s">
        <v>34</v>
      </c>
      <c r="B165" s="372">
        <v>0</v>
      </c>
      <c r="C165" s="373">
        <v>64.981999999999999</v>
      </c>
      <c r="D165" s="373">
        <v>69.516000000000005</v>
      </c>
      <c r="E165" s="373">
        <v>55.536999999999999</v>
      </c>
      <c r="F165" s="373">
        <v>62.81</v>
      </c>
      <c r="G165" s="373">
        <v>62.149000000000001</v>
      </c>
      <c r="H165" s="373">
        <v>59.41</v>
      </c>
      <c r="I165" s="373">
        <v>53.837000000000003</v>
      </c>
      <c r="J165" s="373">
        <v>46.942</v>
      </c>
      <c r="K165" s="373">
        <v>40.046999999999997</v>
      </c>
      <c r="L165" s="373">
        <v>12.561999999999999</v>
      </c>
      <c r="M165" s="373">
        <v>2.0779999999999998</v>
      </c>
      <c r="N165" s="373">
        <v>0</v>
      </c>
      <c r="O165" s="373">
        <v>0</v>
      </c>
      <c r="P165" s="373">
        <v>0</v>
      </c>
      <c r="Q165" s="373">
        <v>0</v>
      </c>
      <c r="R165" s="373">
        <v>0</v>
      </c>
      <c r="S165" s="373">
        <v>0</v>
      </c>
      <c r="T165" s="373">
        <f t="shared" si="58"/>
        <v>0</v>
      </c>
      <c r="U165" s="373">
        <f t="shared" si="58"/>
        <v>0</v>
      </c>
      <c r="V165" s="373">
        <f t="shared" si="58"/>
        <v>0</v>
      </c>
      <c r="W165" s="373">
        <f t="shared" si="58"/>
        <v>0</v>
      </c>
      <c r="X165" s="373">
        <f t="shared" si="58"/>
        <v>0</v>
      </c>
      <c r="Y165" s="382">
        <v>0</v>
      </c>
    </row>
    <row r="166" spans="1:26" ht="13.5" thickBot="1" x14ac:dyDescent="0.25">
      <c r="A166" s="379" t="s">
        <v>116</v>
      </c>
      <c r="B166" s="374">
        <f t="shared" ref="B166:V166" si="59">(C165+B165)*(C164-B164)/2</f>
        <v>0.48736499999999999</v>
      </c>
      <c r="C166" s="375">
        <f t="shared" si="59"/>
        <v>0.47074299999999991</v>
      </c>
      <c r="D166" s="375">
        <f t="shared" si="59"/>
        <v>2.6261130000000001</v>
      </c>
      <c r="E166" s="375">
        <f t="shared" si="59"/>
        <v>3.1953689999999999</v>
      </c>
      <c r="F166" s="375">
        <f t="shared" si="59"/>
        <v>13.995408000000003</v>
      </c>
      <c r="G166" s="375">
        <f t="shared" si="59"/>
        <v>11.791223</v>
      </c>
      <c r="H166" s="375">
        <f t="shared" si="59"/>
        <v>11.721064499999997</v>
      </c>
      <c r="I166" s="375">
        <f t="shared" si="59"/>
        <v>7.1049195000000003</v>
      </c>
      <c r="J166" s="375">
        <f>(K165+J165)*(K164-J164)/2</f>
        <v>4.0014939999999992</v>
      </c>
      <c r="K166" s="375">
        <f t="shared" si="59"/>
        <v>3.1565400000000023</v>
      </c>
      <c r="L166" s="375">
        <f t="shared" si="59"/>
        <v>1.0979999999999992</v>
      </c>
      <c r="M166" s="375">
        <f t="shared" si="59"/>
        <v>5.4028000000000041E-2</v>
      </c>
      <c r="N166" s="375">
        <f t="shared" si="59"/>
        <v>0</v>
      </c>
      <c r="O166" s="375">
        <f t="shared" si="59"/>
        <v>0</v>
      </c>
      <c r="P166" s="375">
        <f t="shared" si="59"/>
        <v>0</v>
      </c>
      <c r="Q166" s="375">
        <f t="shared" si="59"/>
        <v>0</v>
      </c>
      <c r="R166" s="375">
        <f t="shared" si="59"/>
        <v>0</v>
      </c>
      <c r="S166" s="375">
        <f>(T165+S165)*(T164-S164)/2</f>
        <v>0</v>
      </c>
      <c r="T166" s="375">
        <f t="shared" si="59"/>
        <v>0</v>
      </c>
      <c r="U166" s="375">
        <f t="shared" si="59"/>
        <v>0</v>
      </c>
      <c r="V166" s="375">
        <f t="shared" si="59"/>
        <v>0</v>
      </c>
      <c r="W166" s="375">
        <f>(X165+W165)*(X164-W164)/2</f>
        <v>0</v>
      </c>
      <c r="X166" s="375">
        <f>(Y165+X165)*(Y164-X164)/2</f>
        <v>0</v>
      </c>
      <c r="Y166" s="369"/>
    </row>
    <row r="167" spans="1:26" ht="13.5" thickBot="1" x14ac:dyDescent="0.25"/>
    <row r="168" spans="1:26" ht="13.5" thickBot="1" x14ac:dyDescent="0.25">
      <c r="A168" s="361" t="s">
        <v>322</v>
      </c>
      <c r="B168" s="359">
        <f>ROW(A168)</f>
        <v>168</v>
      </c>
      <c r="C168" s="363" t="s">
        <v>115</v>
      </c>
      <c r="D168" s="353">
        <f>SUM(B171:Y171)</f>
        <v>68.380602999999994</v>
      </c>
      <c r="E168" s="363" t="s">
        <v>114</v>
      </c>
      <c r="F168" s="354">
        <f>D168/g/J168</f>
        <v>134.04807300243078</v>
      </c>
      <c r="G168" s="363" t="s">
        <v>56</v>
      </c>
      <c r="H168" s="64">
        <v>0.1075</v>
      </c>
      <c r="I168" s="363" t="s">
        <v>271</v>
      </c>
      <c r="J168" s="355">
        <f>H168-L168</f>
        <v>5.1999999999999998E-2</v>
      </c>
      <c r="K168" s="363" t="s">
        <v>272</v>
      </c>
      <c r="L168" s="64">
        <v>5.5500000000000001E-2</v>
      </c>
      <c r="M168" s="363" t="s">
        <v>57</v>
      </c>
      <c r="N168" s="396">
        <v>66.5</v>
      </c>
      <c r="O168" s="363" t="s">
        <v>59</v>
      </c>
      <c r="P168" s="396">
        <v>66.5</v>
      </c>
      <c r="Q168" s="363" t="s">
        <v>60</v>
      </c>
      <c r="R168" s="65">
        <v>133</v>
      </c>
      <c r="S168" s="363" t="s">
        <v>61</v>
      </c>
      <c r="T168" s="65">
        <v>24</v>
      </c>
      <c r="U168" s="363" t="s">
        <v>54</v>
      </c>
      <c r="V168" s="66" t="s">
        <v>399</v>
      </c>
      <c r="W168" s="463" t="s">
        <v>394</v>
      </c>
      <c r="X168" s="465">
        <v>0.86</v>
      </c>
      <c r="Y168" s="463" t="s">
        <v>393</v>
      </c>
      <c r="Z168" s="358">
        <v>13</v>
      </c>
    </row>
    <row r="169" spans="1:26" x14ac:dyDescent="0.2">
      <c r="A169" s="362" t="s">
        <v>33</v>
      </c>
      <c r="B169" s="370">
        <v>0</v>
      </c>
      <c r="C169" s="371">
        <v>5.0000000000000001E-3</v>
      </c>
      <c r="D169" s="371">
        <v>1.2999999999999999E-2</v>
      </c>
      <c r="E169" s="371">
        <v>2.1999999999999999E-2</v>
      </c>
      <c r="F169" s="371">
        <v>4.2999999999999997E-2</v>
      </c>
      <c r="G169" s="371">
        <v>0.11899999999999999</v>
      </c>
      <c r="H169" s="371">
        <v>0.19800000000000001</v>
      </c>
      <c r="I169" s="371">
        <v>0.26700000000000002</v>
      </c>
      <c r="J169" s="371">
        <v>0.34300000000000003</v>
      </c>
      <c r="K169" s="371">
        <v>0.40400000000000003</v>
      </c>
      <c r="L169" s="371">
        <v>0.498</v>
      </c>
      <c r="M169" s="371">
        <v>0.55500000000000005</v>
      </c>
      <c r="N169" s="371">
        <v>0.622</v>
      </c>
      <c r="O169" s="371">
        <v>0.66300000000000003</v>
      </c>
      <c r="P169" s="371">
        <v>0.70399999999999996</v>
      </c>
      <c r="Q169" s="371">
        <v>0.72899999999999998</v>
      </c>
      <c r="R169" s="371">
        <v>0.747</v>
      </c>
      <c r="S169" s="371">
        <v>0.76800000000000002</v>
      </c>
      <c r="T169" s="371">
        <v>0.82099999999999995</v>
      </c>
      <c r="U169" s="371">
        <v>0.85199999999999998</v>
      </c>
      <c r="V169" s="371">
        <v>0.89200000000000002</v>
      </c>
      <c r="W169" s="371">
        <v>1</v>
      </c>
      <c r="X169" s="371">
        <v>2</v>
      </c>
      <c r="Y169" s="381">
        <v>1000</v>
      </c>
    </row>
    <row r="170" spans="1:26" x14ac:dyDescent="0.2">
      <c r="A170" s="378" t="s">
        <v>34</v>
      </c>
      <c r="B170" s="372">
        <v>0</v>
      </c>
      <c r="C170" s="373">
        <v>60</v>
      </c>
      <c r="D170" s="373">
        <v>89.007000000000005</v>
      </c>
      <c r="E170" s="373">
        <v>96.290999999999997</v>
      </c>
      <c r="F170" s="373">
        <v>81.721999999999994</v>
      </c>
      <c r="G170" s="373">
        <v>85.563000000000002</v>
      </c>
      <c r="H170" s="373">
        <v>87.947000000000003</v>
      </c>
      <c r="I170" s="373">
        <v>89.272000000000006</v>
      </c>
      <c r="J170" s="373">
        <v>89.933999999999997</v>
      </c>
      <c r="K170" s="373">
        <v>90.861000000000004</v>
      </c>
      <c r="L170" s="373">
        <v>91.522999999999996</v>
      </c>
      <c r="M170" s="373">
        <v>89.668999999999997</v>
      </c>
      <c r="N170" s="373">
        <v>83.974000000000004</v>
      </c>
      <c r="O170" s="373">
        <v>80.53</v>
      </c>
      <c r="P170" s="373">
        <v>78.94</v>
      </c>
      <c r="Q170" s="373">
        <v>74.171999999999997</v>
      </c>
      <c r="R170" s="373">
        <v>66.887</v>
      </c>
      <c r="S170" s="373">
        <v>53.774999999999999</v>
      </c>
      <c r="T170" s="373">
        <v>18.542999999999999</v>
      </c>
      <c r="U170" s="373">
        <v>7.8150000000000004</v>
      </c>
      <c r="V170" s="373">
        <v>2.1190000000000002</v>
      </c>
      <c r="W170" s="373">
        <v>0</v>
      </c>
      <c r="X170" s="373">
        <v>0</v>
      </c>
      <c r="Y170" s="382">
        <v>0</v>
      </c>
    </row>
    <row r="171" spans="1:26" ht="13.5" thickBot="1" x14ac:dyDescent="0.25">
      <c r="A171" s="379" t="s">
        <v>116</v>
      </c>
      <c r="B171" s="374">
        <f t="shared" ref="B171:X171" si="60">(C170+B170)*(C169-B169)/2</f>
        <v>0.15</v>
      </c>
      <c r="C171" s="375">
        <f t="shared" si="60"/>
        <v>0.596028</v>
      </c>
      <c r="D171" s="375">
        <f t="shared" si="60"/>
        <v>0.83384099999999994</v>
      </c>
      <c r="E171" s="375">
        <f t="shared" si="60"/>
        <v>1.8691364999999995</v>
      </c>
      <c r="F171" s="375">
        <f t="shared" si="60"/>
        <v>6.3568299999999995</v>
      </c>
      <c r="G171" s="375">
        <f t="shared" si="60"/>
        <v>6.8536450000000011</v>
      </c>
      <c r="H171" s="375">
        <f t="shared" si="60"/>
        <v>6.1140555000000001</v>
      </c>
      <c r="I171" s="375">
        <f t="shared" si="60"/>
        <v>6.8098280000000013</v>
      </c>
      <c r="J171" s="375">
        <f t="shared" si="60"/>
        <v>5.5142475000000006</v>
      </c>
      <c r="K171" s="375">
        <f t="shared" si="60"/>
        <v>8.5720479999999988</v>
      </c>
      <c r="L171" s="375">
        <f t="shared" si="60"/>
        <v>5.1639720000000047</v>
      </c>
      <c r="M171" s="375">
        <f t="shared" si="60"/>
        <v>5.8170404999999956</v>
      </c>
      <c r="N171" s="375">
        <f t="shared" si="60"/>
        <v>3.3723320000000032</v>
      </c>
      <c r="O171" s="375">
        <f t="shared" si="60"/>
        <v>3.2691349999999941</v>
      </c>
      <c r="P171" s="375">
        <f t="shared" si="60"/>
        <v>1.9139000000000017</v>
      </c>
      <c r="Q171" s="375">
        <f t="shared" si="60"/>
        <v>1.2695310000000011</v>
      </c>
      <c r="R171" s="375">
        <f t="shared" si="60"/>
        <v>1.2669510000000013</v>
      </c>
      <c r="S171" s="375">
        <f t="shared" si="60"/>
        <v>1.9164269999999977</v>
      </c>
      <c r="T171" s="375">
        <f t="shared" si="60"/>
        <v>0.40854900000000038</v>
      </c>
      <c r="U171" s="375">
        <f t="shared" si="60"/>
        <v>0.19868000000000019</v>
      </c>
      <c r="V171" s="375">
        <f t="shared" si="60"/>
        <v>0.114426</v>
      </c>
      <c r="W171" s="375">
        <f t="shared" si="60"/>
        <v>0</v>
      </c>
      <c r="X171" s="375">
        <f t="shared" si="60"/>
        <v>0</v>
      </c>
      <c r="Y171" s="369"/>
    </row>
    <row r="172" spans="1:26" ht="13.5" thickBot="1" x14ac:dyDescent="0.25">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row>
    <row r="173" spans="1:26" ht="13.5" thickBot="1" x14ac:dyDescent="0.25">
      <c r="A173" s="361" t="s">
        <v>323</v>
      </c>
      <c r="B173" s="359">
        <f>ROW(A173)</f>
        <v>173</v>
      </c>
      <c r="C173" s="363" t="s">
        <v>115</v>
      </c>
      <c r="D173" s="353">
        <f>SUM(B176:Y176)</f>
        <v>67.985428500000012</v>
      </c>
      <c r="E173" s="363" t="s">
        <v>114</v>
      </c>
      <c r="F173" s="354">
        <f>D173/g/J173</f>
        <v>181.89545859519862</v>
      </c>
      <c r="G173" s="363" t="s">
        <v>56</v>
      </c>
      <c r="H173" s="64">
        <v>9.1799999999999993E-2</v>
      </c>
      <c r="I173" s="363" t="s">
        <v>271</v>
      </c>
      <c r="J173" s="355">
        <f>H173-L173</f>
        <v>3.8099999999999988E-2</v>
      </c>
      <c r="K173" s="363" t="s">
        <v>272</v>
      </c>
      <c r="L173" s="64">
        <v>5.3700000000000005E-2</v>
      </c>
      <c r="M173" s="363" t="s">
        <v>57</v>
      </c>
      <c r="N173" s="396">
        <v>66.5</v>
      </c>
      <c r="O173" s="363" t="s">
        <v>59</v>
      </c>
      <c r="P173" s="396">
        <v>66.5</v>
      </c>
      <c r="Q173" s="363" t="s">
        <v>60</v>
      </c>
      <c r="R173" s="65">
        <v>133</v>
      </c>
      <c r="S173" s="363" t="s">
        <v>61</v>
      </c>
      <c r="T173" s="65">
        <v>24</v>
      </c>
      <c r="U173" s="363" t="s">
        <v>54</v>
      </c>
      <c r="V173" s="66" t="s">
        <v>399</v>
      </c>
      <c r="W173" s="463" t="s">
        <v>394</v>
      </c>
      <c r="X173" s="465">
        <v>0.33</v>
      </c>
      <c r="Y173" s="463" t="s">
        <v>393</v>
      </c>
      <c r="Z173" s="358">
        <v>15</v>
      </c>
    </row>
    <row r="174" spans="1:26" x14ac:dyDescent="0.2">
      <c r="A174" s="362" t="s">
        <v>33</v>
      </c>
      <c r="B174" s="370">
        <v>0</v>
      </c>
      <c r="C174" s="371">
        <v>4.0000000000000001E-3</v>
      </c>
      <c r="D174" s="371">
        <v>7.0000000000000001E-3</v>
      </c>
      <c r="E174" s="371">
        <v>0.01</v>
      </c>
      <c r="F174" s="371">
        <v>2.1999999999999999E-2</v>
      </c>
      <c r="G174" s="371">
        <v>2.8000000000000001E-2</v>
      </c>
      <c r="H174" s="371">
        <v>4.1000000000000002E-2</v>
      </c>
      <c r="I174" s="371">
        <v>5.8000000000000003E-2</v>
      </c>
      <c r="J174" s="371">
        <v>7.6999999999999999E-2</v>
      </c>
      <c r="K174" s="371">
        <v>8.8999999999999996E-2</v>
      </c>
      <c r="L174" s="371">
        <v>9.7000000000000003E-2</v>
      </c>
      <c r="M174" s="371">
        <v>0.11899999999999999</v>
      </c>
      <c r="N174" s="371">
        <v>0.14699999999999999</v>
      </c>
      <c r="O174" s="371">
        <v>0.17699999999999999</v>
      </c>
      <c r="P174" s="371">
        <v>0.20699999999999999</v>
      </c>
      <c r="Q174" s="371">
        <v>0.253</v>
      </c>
      <c r="R174" s="371">
        <v>0.25900000000000001</v>
      </c>
      <c r="S174" s="371">
        <v>0.27200000000000002</v>
      </c>
      <c r="T174" s="371">
        <v>0.28000000000000003</v>
      </c>
      <c r="U174" s="371">
        <v>0.28599999999999998</v>
      </c>
      <c r="V174" s="371">
        <v>0.29399999999999998</v>
      </c>
      <c r="W174" s="371">
        <v>0.32800000000000001</v>
      </c>
      <c r="X174" s="371">
        <v>2</v>
      </c>
      <c r="Y174" s="381">
        <v>1000</v>
      </c>
    </row>
    <row r="175" spans="1:26" x14ac:dyDescent="0.2">
      <c r="A175" s="378" t="s">
        <v>34</v>
      </c>
      <c r="B175" s="372">
        <v>0</v>
      </c>
      <c r="C175" s="376">
        <v>100.52800000000001</v>
      </c>
      <c r="D175" s="376">
        <v>197.49299999999999</v>
      </c>
      <c r="E175" s="376">
        <v>222.03200000000001</v>
      </c>
      <c r="F175" s="376">
        <v>241.42500000000001</v>
      </c>
      <c r="G175" s="376">
        <v>237.863</v>
      </c>
      <c r="H175" s="376">
        <v>239.446</v>
      </c>
      <c r="I175" s="376">
        <v>252.50700000000001</v>
      </c>
      <c r="J175" s="376">
        <v>263.98399999999998</v>
      </c>
      <c r="K175" s="376">
        <v>275.46199999999999</v>
      </c>
      <c r="L175" s="376">
        <v>271.50400000000002</v>
      </c>
      <c r="M175" s="376">
        <v>278.62799999999999</v>
      </c>
      <c r="N175" s="376">
        <v>281.39800000000002</v>
      </c>
      <c r="O175" s="376">
        <v>272.29599999999999</v>
      </c>
      <c r="P175" s="376">
        <v>258.44299999999998</v>
      </c>
      <c r="Q175" s="376">
        <v>218.47</v>
      </c>
      <c r="R175" s="376">
        <v>188.786</v>
      </c>
      <c r="S175" s="376">
        <v>74.802000000000007</v>
      </c>
      <c r="T175" s="376">
        <v>31.265999999999998</v>
      </c>
      <c r="U175" s="376">
        <v>15.831</v>
      </c>
      <c r="V175" s="376">
        <v>8.7070000000000007</v>
      </c>
      <c r="W175" s="376">
        <v>0</v>
      </c>
      <c r="X175" s="373">
        <v>0</v>
      </c>
      <c r="Y175" s="382">
        <v>0</v>
      </c>
    </row>
    <row r="176" spans="1:26" ht="13.5" thickBot="1" x14ac:dyDescent="0.25">
      <c r="A176" s="379" t="s">
        <v>116</v>
      </c>
      <c r="B176" s="374">
        <f t="shared" ref="B176:X176" si="61">(C175+B175)*(C174-B174)/2</f>
        <v>0.20105600000000001</v>
      </c>
      <c r="C176" s="375">
        <f t="shared" si="61"/>
        <v>0.44703150000000003</v>
      </c>
      <c r="D176" s="375">
        <f t="shared" si="61"/>
        <v>0.6292875</v>
      </c>
      <c r="E176" s="375">
        <f t="shared" si="61"/>
        <v>2.7807419999999996</v>
      </c>
      <c r="F176" s="375">
        <f t="shared" si="61"/>
        <v>1.4378640000000005</v>
      </c>
      <c r="G176" s="375">
        <f t="shared" si="61"/>
        <v>3.1025084999999999</v>
      </c>
      <c r="H176" s="375">
        <f t="shared" si="61"/>
        <v>4.1816005000000001</v>
      </c>
      <c r="I176" s="375">
        <f t="shared" si="61"/>
        <v>4.9066644999999989</v>
      </c>
      <c r="J176" s="375">
        <f t="shared" si="61"/>
        <v>3.2366759999999988</v>
      </c>
      <c r="K176" s="375">
        <f t="shared" si="61"/>
        <v>2.187864000000002</v>
      </c>
      <c r="L176" s="375">
        <f t="shared" si="61"/>
        <v>6.0514519999999985</v>
      </c>
      <c r="M176" s="375">
        <f t="shared" si="61"/>
        <v>7.8403640000000001</v>
      </c>
      <c r="N176" s="375">
        <f t="shared" si="61"/>
        <v>8.3054099999999984</v>
      </c>
      <c r="O176" s="375">
        <f t="shared" si="61"/>
        <v>7.9610850000000006</v>
      </c>
      <c r="P176" s="375">
        <f t="shared" si="61"/>
        <v>10.968999000000004</v>
      </c>
      <c r="Q176" s="375">
        <f t="shared" si="61"/>
        <v>1.2217680000000011</v>
      </c>
      <c r="R176" s="375">
        <f t="shared" si="61"/>
        <v>1.7133220000000016</v>
      </c>
      <c r="S176" s="375">
        <f t="shared" si="61"/>
        <v>0.42427200000000043</v>
      </c>
      <c r="T176" s="375">
        <f t="shared" si="61"/>
        <v>0.14129099999999881</v>
      </c>
      <c r="U176" s="375">
        <f t="shared" si="61"/>
        <v>9.8152000000000086E-2</v>
      </c>
      <c r="V176" s="375">
        <f t="shared" si="61"/>
        <v>0.14801900000000015</v>
      </c>
      <c r="W176" s="375">
        <f t="shared" si="61"/>
        <v>0</v>
      </c>
      <c r="X176" s="375">
        <f t="shared" si="61"/>
        <v>0</v>
      </c>
      <c r="Y176" s="369"/>
    </row>
    <row r="177" spans="1:26" ht="13.5" thickBot="1" x14ac:dyDescent="0.25">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row>
    <row r="178" spans="1:26" ht="13.5" thickBot="1" x14ac:dyDescent="0.25">
      <c r="A178" s="361" t="s">
        <v>324</v>
      </c>
      <c r="B178" s="359">
        <f>ROW(A178)</f>
        <v>178</v>
      </c>
      <c r="C178" s="363" t="s">
        <v>115</v>
      </c>
      <c r="D178" s="353">
        <f>SUM(B181:Y181)</f>
        <v>73.557381500000005</v>
      </c>
      <c r="E178" s="363" t="s">
        <v>114</v>
      </c>
      <c r="F178" s="354">
        <f>D178/g/J178</f>
        <v>156.86619302308719</v>
      </c>
      <c r="G178" s="363" t="s">
        <v>56</v>
      </c>
      <c r="H178" s="64">
        <v>0.1022</v>
      </c>
      <c r="I178" s="363" t="s">
        <v>271</v>
      </c>
      <c r="J178" s="355">
        <f>H178-L178</f>
        <v>4.7800000000000002E-2</v>
      </c>
      <c r="K178" s="363" t="s">
        <v>272</v>
      </c>
      <c r="L178" s="64">
        <v>5.4399999999999997E-2</v>
      </c>
      <c r="M178" s="363" t="s">
        <v>57</v>
      </c>
      <c r="N178" s="396">
        <v>66.5</v>
      </c>
      <c r="O178" s="363" t="s">
        <v>59</v>
      </c>
      <c r="P178" s="396">
        <v>66.5</v>
      </c>
      <c r="Q178" s="363" t="s">
        <v>60</v>
      </c>
      <c r="R178" s="65">
        <v>133</v>
      </c>
      <c r="S178" s="363" t="s">
        <v>61</v>
      </c>
      <c r="T178" s="65">
        <v>24</v>
      </c>
      <c r="U178" s="363" t="s">
        <v>54</v>
      </c>
      <c r="V178" s="66" t="s">
        <v>399</v>
      </c>
      <c r="W178" s="463" t="s">
        <v>394</v>
      </c>
      <c r="X178" s="465">
        <v>2.36</v>
      </c>
      <c r="Y178" s="463" t="s">
        <v>393</v>
      </c>
      <c r="Z178" s="358">
        <v>6</v>
      </c>
    </row>
    <row r="179" spans="1:26" x14ac:dyDescent="0.2">
      <c r="A179" s="362" t="s">
        <v>33</v>
      </c>
      <c r="B179" s="370">
        <v>0</v>
      </c>
      <c r="C179" s="371">
        <v>1.4E-2</v>
      </c>
      <c r="D179" s="371">
        <v>5.6000000000000001E-2</v>
      </c>
      <c r="E179" s="371">
        <v>9.1999999999999998E-2</v>
      </c>
      <c r="F179" s="371">
        <v>0.16</v>
      </c>
      <c r="G179" s="371">
        <v>0.23200000000000001</v>
      </c>
      <c r="H179" s="371">
        <v>0.36299999999999999</v>
      </c>
      <c r="I179" s="371">
        <v>0.499</v>
      </c>
      <c r="J179" s="371">
        <v>0.65500000000000003</v>
      </c>
      <c r="K179" s="371">
        <v>0.84299999999999997</v>
      </c>
      <c r="L179" s="371">
        <v>1.216</v>
      </c>
      <c r="M179" s="371">
        <v>1.3680000000000001</v>
      </c>
      <c r="N179" s="371">
        <v>1.54</v>
      </c>
      <c r="O179" s="371">
        <v>1.675</v>
      </c>
      <c r="P179" s="371">
        <v>1.861</v>
      </c>
      <c r="Q179" s="371">
        <v>2.0129999999999999</v>
      </c>
      <c r="R179" s="371">
        <v>2.1589999999999998</v>
      </c>
      <c r="S179" s="371">
        <v>2.302</v>
      </c>
      <c r="T179" s="371">
        <v>2.4620000000000002</v>
      </c>
      <c r="U179" s="371">
        <v>2.5979999999999999</v>
      </c>
      <c r="V179" s="371">
        <v>2.5979999999999999</v>
      </c>
      <c r="W179" s="371">
        <v>2.5979999999999999</v>
      </c>
      <c r="X179" s="371">
        <v>2.5979999999999999</v>
      </c>
      <c r="Y179" s="381">
        <v>1000</v>
      </c>
    </row>
    <row r="180" spans="1:26" x14ac:dyDescent="0.2">
      <c r="A180" s="378" t="s">
        <v>34</v>
      </c>
      <c r="B180" s="372">
        <v>0</v>
      </c>
      <c r="C180" s="376">
        <v>54.222000000000001</v>
      </c>
      <c r="D180" s="376">
        <v>43.456000000000003</v>
      </c>
      <c r="E180" s="376">
        <v>50.185000000000002</v>
      </c>
      <c r="F180" s="376">
        <v>54.063000000000002</v>
      </c>
      <c r="G180" s="376">
        <v>48.363999999999997</v>
      </c>
      <c r="H180" s="376">
        <v>45.752000000000002</v>
      </c>
      <c r="I180" s="376">
        <v>43.14</v>
      </c>
      <c r="J180" s="376">
        <v>40.29</v>
      </c>
      <c r="K180" s="376">
        <v>37.835999999999999</v>
      </c>
      <c r="L180" s="376">
        <v>32.612000000000002</v>
      </c>
      <c r="M180" s="376">
        <v>30.317</v>
      </c>
      <c r="N180" s="376">
        <v>26.359000000000002</v>
      </c>
      <c r="O180" s="376">
        <v>23.509</v>
      </c>
      <c r="P180" s="376">
        <v>19.077000000000002</v>
      </c>
      <c r="Q180" s="376">
        <v>14.565</v>
      </c>
      <c r="R180" s="376">
        <v>10.053000000000001</v>
      </c>
      <c r="S180" s="376">
        <v>4.8280000000000003</v>
      </c>
      <c r="T180" s="376">
        <v>1.504</v>
      </c>
      <c r="U180" s="373">
        <v>0</v>
      </c>
      <c r="V180" s="373">
        <v>0</v>
      </c>
      <c r="W180" s="373">
        <v>0</v>
      </c>
      <c r="X180" s="373">
        <v>0</v>
      </c>
      <c r="Y180" s="382">
        <v>0</v>
      </c>
    </row>
    <row r="181" spans="1:26" ht="13.5" thickBot="1" x14ac:dyDescent="0.25">
      <c r="A181" s="379" t="s">
        <v>116</v>
      </c>
      <c r="B181" s="374">
        <f t="shared" ref="B181:X181" si="62">(C180+B180)*(C179-B179)/2</f>
        <v>0.379554</v>
      </c>
      <c r="C181" s="375">
        <f t="shared" si="62"/>
        <v>2.0512380000000001</v>
      </c>
      <c r="D181" s="375">
        <f t="shared" si="62"/>
        <v>1.685538</v>
      </c>
      <c r="E181" s="375">
        <f t="shared" si="62"/>
        <v>3.5444320000000005</v>
      </c>
      <c r="F181" s="375">
        <f t="shared" si="62"/>
        <v>3.6873720000000003</v>
      </c>
      <c r="G181" s="375">
        <f t="shared" si="62"/>
        <v>6.1645979999999989</v>
      </c>
      <c r="H181" s="375">
        <f t="shared" si="62"/>
        <v>6.0446559999999998</v>
      </c>
      <c r="I181" s="375">
        <f t="shared" si="62"/>
        <v>6.5075400000000014</v>
      </c>
      <c r="J181" s="375">
        <f t="shared" si="62"/>
        <v>7.343843999999998</v>
      </c>
      <c r="K181" s="375">
        <f t="shared" si="62"/>
        <v>13.138552000000001</v>
      </c>
      <c r="L181" s="375">
        <f t="shared" si="62"/>
        <v>4.7826040000000045</v>
      </c>
      <c r="M181" s="375">
        <f t="shared" si="62"/>
        <v>4.8741359999999982</v>
      </c>
      <c r="N181" s="375">
        <f t="shared" si="62"/>
        <v>3.3660900000000002</v>
      </c>
      <c r="O181" s="375">
        <f t="shared" si="62"/>
        <v>3.9604979999999985</v>
      </c>
      <c r="P181" s="375">
        <f t="shared" si="62"/>
        <v>2.5567919999999988</v>
      </c>
      <c r="Q181" s="375">
        <f t="shared" si="62"/>
        <v>1.797113999999999</v>
      </c>
      <c r="R181" s="375">
        <f t="shared" si="62"/>
        <v>1.0639915000000018</v>
      </c>
      <c r="S181" s="375">
        <f t="shared" si="62"/>
        <v>0.50656000000000045</v>
      </c>
      <c r="T181" s="375">
        <f t="shared" si="62"/>
        <v>0.10227199999999975</v>
      </c>
      <c r="U181" s="375">
        <f t="shared" si="62"/>
        <v>0</v>
      </c>
      <c r="V181" s="375">
        <f t="shared" si="62"/>
        <v>0</v>
      </c>
      <c r="W181" s="375">
        <f t="shared" si="62"/>
        <v>0</v>
      </c>
      <c r="X181" s="375">
        <f t="shared" si="62"/>
        <v>0</v>
      </c>
      <c r="Y181" s="369"/>
    </row>
    <row r="182" spans="1:26" ht="13.5" thickBot="1" x14ac:dyDescent="0.25">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row>
    <row r="183" spans="1:26" ht="13.5" thickBot="1" x14ac:dyDescent="0.25">
      <c r="A183" s="361" t="s">
        <v>325</v>
      </c>
      <c r="B183" s="359">
        <f>ROW(A183)</f>
        <v>183</v>
      </c>
      <c r="C183" s="363" t="s">
        <v>115</v>
      </c>
      <c r="D183" s="353">
        <f>SUM(B186:Y186)</f>
        <v>73.169517999999997</v>
      </c>
      <c r="E183" s="363" t="s">
        <v>114</v>
      </c>
      <c r="F183" s="354">
        <f>D183/g/J183</f>
        <v>177.58729673316827</v>
      </c>
      <c r="G183" s="363" t="s">
        <v>56</v>
      </c>
      <c r="H183" s="64">
        <v>9.6000000000000002E-2</v>
      </c>
      <c r="I183" s="363" t="s">
        <v>271</v>
      </c>
      <c r="J183" s="355">
        <f>H183-L183</f>
        <v>4.2000000000000003E-2</v>
      </c>
      <c r="K183" s="363" t="s">
        <v>272</v>
      </c>
      <c r="L183" s="64">
        <v>5.3999999999999999E-2</v>
      </c>
      <c r="M183" s="363" t="s">
        <v>57</v>
      </c>
      <c r="N183" s="396">
        <v>66.5</v>
      </c>
      <c r="O183" s="363" t="s">
        <v>59</v>
      </c>
      <c r="P183" s="396">
        <v>66.5</v>
      </c>
      <c r="Q183" s="363" t="s">
        <v>60</v>
      </c>
      <c r="R183" s="65">
        <v>133</v>
      </c>
      <c r="S183" s="363" t="s">
        <v>61</v>
      </c>
      <c r="T183" s="65">
        <v>24</v>
      </c>
      <c r="U183" s="363" t="s">
        <v>54</v>
      </c>
      <c r="V183" s="66" t="s">
        <v>400</v>
      </c>
      <c r="W183" s="463" t="s">
        <v>394</v>
      </c>
      <c r="X183" s="465">
        <v>0.87</v>
      </c>
      <c r="Y183" s="463" t="s">
        <v>393</v>
      </c>
      <c r="Z183" s="358">
        <v>15</v>
      </c>
    </row>
    <row r="184" spans="1:26" x14ac:dyDescent="0.2">
      <c r="A184" s="362" t="s">
        <v>33</v>
      </c>
      <c r="B184" s="370">
        <v>0</v>
      </c>
      <c r="C184" s="371">
        <v>0.01</v>
      </c>
      <c r="D184" s="371">
        <v>2.3E-2</v>
      </c>
      <c r="E184" s="371">
        <v>0.04</v>
      </c>
      <c r="F184" s="371">
        <v>0.11799999999999999</v>
      </c>
      <c r="G184" s="371">
        <v>0.28299999999999997</v>
      </c>
      <c r="H184" s="371">
        <v>0.51</v>
      </c>
      <c r="I184" s="371">
        <v>0.68799999999999994</v>
      </c>
      <c r="J184" s="371">
        <v>0.78700000000000003</v>
      </c>
      <c r="K184" s="371">
        <v>0.85199999999999998</v>
      </c>
      <c r="L184" s="371">
        <v>0.873</v>
      </c>
      <c r="M184" s="371">
        <v>0.873</v>
      </c>
      <c r="N184" s="371">
        <v>0.873</v>
      </c>
      <c r="O184" s="371">
        <v>0.873</v>
      </c>
      <c r="P184" s="371">
        <v>0.873</v>
      </c>
      <c r="Q184" s="371">
        <v>0.873</v>
      </c>
      <c r="R184" s="371">
        <v>0.873</v>
      </c>
      <c r="S184" s="371">
        <v>0.873</v>
      </c>
      <c r="T184" s="371">
        <v>0.873</v>
      </c>
      <c r="U184" s="371">
        <v>0.873</v>
      </c>
      <c r="V184" s="371">
        <v>0.873</v>
      </c>
      <c r="W184" s="371">
        <v>0.873</v>
      </c>
      <c r="X184" s="371">
        <v>2</v>
      </c>
      <c r="Y184" s="381">
        <v>1000</v>
      </c>
    </row>
    <row r="185" spans="1:26" x14ac:dyDescent="0.2">
      <c r="A185" s="378" t="s">
        <v>34</v>
      </c>
      <c r="B185" s="372">
        <v>0</v>
      </c>
      <c r="C185" s="376">
        <v>76.073999999999998</v>
      </c>
      <c r="D185" s="376">
        <v>100.185</v>
      </c>
      <c r="E185" s="376">
        <v>92.424999999999997</v>
      </c>
      <c r="F185" s="376">
        <v>100.878</v>
      </c>
      <c r="G185" s="376">
        <v>102.402</v>
      </c>
      <c r="H185" s="376">
        <v>96.442999999999998</v>
      </c>
      <c r="I185" s="376">
        <v>87.436000000000007</v>
      </c>
      <c r="J185" s="376">
        <v>25.911999999999999</v>
      </c>
      <c r="K185" s="376">
        <v>7.2060000000000004</v>
      </c>
      <c r="L185" s="373">
        <v>0</v>
      </c>
      <c r="M185" s="373">
        <v>0</v>
      </c>
      <c r="N185" s="373">
        <v>0</v>
      </c>
      <c r="O185" s="373">
        <v>0</v>
      </c>
      <c r="P185" s="373">
        <v>0</v>
      </c>
      <c r="Q185" s="373">
        <v>0</v>
      </c>
      <c r="R185" s="373">
        <v>0</v>
      </c>
      <c r="S185" s="373">
        <v>0</v>
      </c>
      <c r="T185" s="373">
        <v>0</v>
      </c>
      <c r="U185" s="373">
        <v>0</v>
      </c>
      <c r="V185" s="373">
        <v>0</v>
      </c>
      <c r="W185" s="373">
        <v>0</v>
      </c>
      <c r="X185" s="373">
        <v>0</v>
      </c>
      <c r="Y185" s="382">
        <v>0</v>
      </c>
    </row>
    <row r="186" spans="1:26" ht="13.5" thickBot="1" x14ac:dyDescent="0.25">
      <c r="A186" s="379" t="s">
        <v>116</v>
      </c>
      <c r="B186" s="374">
        <f t="shared" ref="B186:X186" si="63">(C185+B185)*(C184-B184)/2</f>
        <v>0.38036999999999999</v>
      </c>
      <c r="C186" s="375">
        <f t="shared" si="63"/>
        <v>1.1456835000000001</v>
      </c>
      <c r="D186" s="375">
        <f t="shared" si="63"/>
        <v>1.6371850000000003</v>
      </c>
      <c r="E186" s="375">
        <f t="shared" si="63"/>
        <v>7.5388169999999981</v>
      </c>
      <c r="F186" s="375">
        <f t="shared" si="63"/>
        <v>16.770599999999998</v>
      </c>
      <c r="G186" s="375">
        <f t="shared" si="63"/>
        <v>22.568907500000002</v>
      </c>
      <c r="H186" s="375">
        <f t="shared" si="63"/>
        <v>16.365230999999994</v>
      </c>
      <c r="I186" s="375">
        <f t="shared" si="63"/>
        <v>5.6107260000000059</v>
      </c>
      <c r="J186" s="375">
        <f t="shared" si="63"/>
        <v>1.0763349999999992</v>
      </c>
      <c r="K186" s="375">
        <f t="shared" si="63"/>
        <v>7.5663000000000077E-2</v>
      </c>
      <c r="L186" s="375">
        <f t="shared" si="63"/>
        <v>0</v>
      </c>
      <c r="M186" s="375">
        <f t="shared" si="63"/>
        <v>0</v>
      </c>
      <c r="N186" s="375">
        <f t="shared" si="63"/>
        <v>0</v>
      </c>
      <c r="O186" s="375">
        <f t="shared" si="63"/>
        <v>0</v>
      </c>
      <c r="P186" s="375">
        <f t="shared" si="63"/>
        <v>0</v>
      </c>
      <c r="Q186" s="375">
        <f t="shared" si="63"/>
        <v>0</v>
      </c>
      <c r="R186" s="375">
        <f t="shared" si="63"/>
        <v>0</v>
      </c>
      <c r="S186" s="375">
        <f t="shared" si="63"/>
        <v>0</v>
      </c>
      <c r="T186" s="375">
        <f t="shared" si="63"/>
        <v>0</v>
      </c>
      <c r="U186" s="375">
        <f t="shared" si="63"/>
        <v>0</v>
      </c>
      <c r="V186" s="375">
        <f t="shared" si="63"/>
        <v>0</v>
      </c>
      <c r="W186" s="375">
        <f t="shared" si="63"/>
        <v>0</v>
      </c>
      <c r="X186" s="375">
        <f t="shared" si="63"/>
        <v>0</v>
      </c>
      <c r="Y186" s="369"/>
    </row>
    <row r="187" spans="1:26" ht="13.5" thickBot="1" x14ac:dyDescent="0.25">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row>
    <row r="188" spans="1:26" ht="13.5" thickBot="1" x14ac:dyDescent="0.25">
      <c r="A188" s="361" t="s">
        <v>326</v>
      </c>
      <c r="B188" s="359">
        <f>ROW(A188)</f>
        <v>188</v>
      </c>
      <c r="C188" s="363" t="s">
        <v>115</v>
      </c>
      <c r="D188" s="353">
        <f>SUM(B191:Y191)</f>
        <v>75.254384000000016</v>
      </c>
      <c r="E188" s="363" t="s">
        <v>114</v>
      </c>
      <c r="F188" s="354">
        <f>D188/g/J188</f>
        <v>232.46033422914161</v>
      </c>
      <c r="G188" s="363" t="s">
        <v>56</v>
      </c>
      <c r="H188" s="64">
        <v>9.5000000000000001E-2</v>
      </c>
      <c r="I188" s="363" t="s">
        <v>271</v>
      </c>
      <c r="J188" s="355">
        <f>H188-L188</f>
        <v>3.3000000000000002E-2</v>
      </c>
      <c r="K188" s="363" t="s">
        <v>272</v>
      </c>
      <c r="L188" s="64">
        <f>0.095-0.033</f>
        <v>6.2E-2</v>
      </c>
      <c r="M188" s="363" t="s">
        <v>57</v>
      </c>
      <c r="N188" s="396">
        <v>66.5</v>
      </c>
      <c r="O188" s="363" t="s">
        <v>59</v>
      </c>
      <c r="P188" s="396">
        <v>66.5</v>
      </c>
      <c r="Q188" s="363" t="s">
        <v>60</v>
      </c>
      <c r="R188" s="65">
        <v>133</v>
      </c>
      <c r="S188" s="363" t="s">
        <v>61</v>
      </c>
      <c r="T188" s="65">
        <v>24</v>
      </c>
      <c r="U188" s="363" t="s">
        <v>54</v>
      </c>
      <c r="V188" s="66" t="s">
        <v>400</v>
      </c>
      <c r="W188" s="463" t="s">
        <v>394</v>
      </c>
      <c r="X188" s="465">
        <v>1.5</v>
      </c>
      <c r="Y188" s="463" t="s">
        <v>393</v>
      </c>
      <c r="Z188" s="358">
        <v>12</v>
      </c>
    </row>
    <row r="189" spans="1:26" x14ac:dyDescent="0.2">
      <c r="A189" s="362" t="s">
        <v>33</v>
      </c>
      <c r="B189" s="370">
        <v>0</v>
      </c>
      <c r="C189" s="371">
        <v>0.02</v>
      </c>
      <c r="D189" s="371">
        <v>3.1E-2</v>
      </c>
      <c r="E189" s="371">
        <v>6.2E-2</v>
      </c>
      <c r="F189" s="371">
        <v>0.11700000000000001</v>
      </c>
      <c r="G189" s="371">
        <v>1.2110000000000001</v>
      </c>
      <c r="H189" s="371">
        <v>1.3759999999999999</v>
      </c>
      <c r="I189" s="371">
        <v>1.456</v>
      </c>
      <c r="J189" s="371">
        <v>1.532</v>
      </c>
      <c r="K189" s="371">
        <v>1.577</v>
      </c>
      <c r="L189" s="371">
        <v>2</v>
      </c>
      <c r="M189" s="371">
        <v>2</v>
      </c>
      <c r="N189" s="371">
        <v>2</v>
      </c>
      <c r="O189" s="371">
        <v>2</v>
      </c>
      <c r="P189" s="371">
        <v>2</v>
      </c>
      <c r="Q189" s="371">
        <v>2</v>
      </c>
      <c r="R189" s="371">
        <v>2</v>
      </c>
      <c r="S189" s="371">
        <v>2</v>
      </c>
      <c r="T189" s="371">
        <v>2</v>
      </c>
      <c r="U189" s="371">
        <v>2</v>
      </c>
      <c r="V189" s="371">
        <v>2</v>
      </c>
      <c r="W189" s="371">
        <v>2</v>
      </c>
      <c r="X189" s="371">
        <f t="shared" ref="T189:X190" si="64">W189</f>
        <v>2</v>
      </c>
      <c r="Y189" s="381">
        <v>1000</v>
      </c>
    </row>
    <row r="190" spans="1:26" x14ac:dyDescent="0.2">
      <c r="A190" s="378" t="s">
        <v>34</v>
      </c>
      <c r="B190" s="372">
        <v>0</v>
      </c>
      <c r="C190" s="373">
        <v>75.924000000000007</v>
      </c>
      <c r="D190" s="373">
        <v>84.147999999999996</v>
      </c>
      <c r="E190" s="373">
        <v>70.441000000000003</v>
      </c>
      <c r="F190" s="373">
        <v>73.659000000000006</v>
      </c>
      <c r="G190" s="373">
        <v>38.737000000000002</v>
      </c>
      <c r="H190" s="373">
        <v>14.779</v>
      </c>
      <c r="I190" s="373">
        <v>7.2709999999999999</v>
      </c>
      <c r="J190" s="373">
        <v>3.3370000000000002</v>
      </c>
      <c r="K190" s="373">
        <v>0</v>
      </c>
      <c r="L190" s="373">
        <v>0</v>
      </c>
      <c r="M190" s="373">
        <v>0</v>
      </c>
      <c r="N190" s="373">
        <v>0</v>
      </c>
      <c r="O190" s="373">
        <v>0</v>
      </c>
      <c r="P190" s="373">
        <v>0</v>
      </c>
      <c r="Q190" s="373">
        <v>0</v>
      </c>
      <c r="R190" s="373">
        <v>0</v>
      </c>
      <c r="S190" s="373">
        <v>0</v>
      </c>
      <c r="T190" s="373">
        <f t="shared" si="64"/>
        <v>0</v>
      </c>
      <c r="U190" s="373">
        <f t="shared" si="64"/>
        <v>0</v>
      </c>
      <c r="V190" s="373">
        <f t="shared" si="64"/>
        <v>0</v>
      </c>
      <c r="W190" s="373">
        <f t="shared" si="64"/>
        <v>0</v>
      </c>
      <c r="X190" s="373">
        <f t="shared" si="64"/>
        <v>0</v>
      </c>
      <c r="Y190" s="382">
        <v>0</v>
      </c>
    </row>
    <row r="191" spans="1:26" ht="13.5" thickBot="1" x14ac:dyDescent="0.25">
      <c r="A191" s="379" t="s">
        <v>116</v>
      </c>
      <c r="B191" s="374">
        <f t="shared" ref="B191:V191" si="65">(C190+B190)*(C189-B189)/2</f>
        <v>0.75924000000000014</v>
      </c>
      <c r="C191" s="375">
        <f t="shared" si="65"/>
        <v>0.88039599999999996</v>
      </c>
      <c r="D191" s="375">
        <f t="shared" si="65"/>
        <v>2.3961294999999998</v>
      </c>
      <c r="E191" s="375">
        <f t="shared" si="65"/>
        <v>3.9627500000000011</v>
      </c>
      <c r="F191" s="375">
        <f t="shared" si="65"/>
        <v>61.480612000000015</v>
      </c>
      <c r="G191" s="375">
        <f t="shared" si="65"/>
        <v>4.4150699999999956</v>
      </c>
      <c r="H191" s="375">
        <f t="shared" si="65"/>
        <v>0.88200000000000078</v>
      </c>
      <c r="I191" s="375">
        <f t="shared" si="65"/>
        <v>0.40310400000000035</v>
      </c>
      <c r="J191" s="375">
        <f>(K190+J190)*(K189-J189)/2</f>
        <v>7.5082499999999885E-2</v>
      </c>
      <c r="K191" s="375">
        <f t="shared" si="65"/>
        <v>0</v>
      </c>
      <c r="L191" s="375">
        <f t="shared" si="65"/>
        <v>0</v>
      </c>
      <c r="M191" s="375">
        <f t="shared" si="65"/>
        <v>0</v>
      </c>
      <c r="N191" s="375">
        <f t="shared" si="65"/>
        <v>0</v>
      </c>
      <c r="O191" s="375">
        <f t="shared" si="65"/>
        <v>0</v>
      </c>
      <c r="P191" s="375">
        <f t="shared" si="65"/>
        <v>0</v>
      </c>
      <c r="Q191" s="375">
        <f t="shared" si="65"/>
        <v>0</v>
      </c>
      <c r="R191" s="375">
        <f t="shared" si="65"/>
        <v>0</v>
      </c>
      <c r="S191" s="375">
        <f>(T190+S190)*(T189-S189)/2</f>
        <v>0</v>
      </c>
      <c r="T191" s="375">
        <f t="shared" si="65"/>
        <v>0</v>
      </c>
      <c r="U191" s="375">
        <f t="shared" si="65"/>
        <v>0</v>
      </c>
      <c r="V191" s="375">
        <f t="shared" si="65"/>
        <v>0</v>
      </c>
      <c r="W191" s="375">
        <f>(X190+W190)*(X189-W189)/2</f>
        <v>0</v>
      </c>
      <c r="X191" s="375">
        <f>(Y190+X190)*(Y189-X189)/2</f>
        <v>0</v>
      </c>
      <c r="Y191" s="369"/>
    </row>
    <row r="192" spans="1:26" ht="13.5" thickBot="1" x14ac:dyDescent="0.25">
      <c r="A192" s="6" t="s">
        <v>373</v>
      </c>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row>
    <row r="193" spans="1:26" ht="13.5" thickBot="1" x14ac:dyDescent="0.25">
      <c r="A193" s="361" t="s">
        <v>536</v>
      </c>
      <c r="B193" s="359">
        <f>ROW(A193)</f>
        <v>193</v>
      </c>
      <c r="C193" s="363" t="s">
        <v>115</v>
      </c>
      <c r="D193" s="353">
        <f>SUM(B196:Y196)</f>
        <v>141.04999999999998</v>
      </c>
      <c r="E193" s="363" t="s">
        <v>114</v>
      </c>
      <c r="F193" s="354">
        <f>D193/g/J193</f>
        <v>186.24592648930721</v>
      </c>
      <c r="G193" s="363" t="s">
        <v>56</v>
      </c>
      <c r="H193" s="64">
        <v>0.16189999999999999</v>
      </c>
      <c r="I193" s="363" t="s">
        <v>271</v>
      </c>
      <c r="J193" s="355">
        <f>H193-L193</f>
        <v>7.7199999999999991E-2</v>
      </c>
      <c r="K193" s="363" t="s">
        <v>272</v>
      </c>
      <c r="L193" s="64">
        <v>8.4699999999999998E-2</v>
      </c>
      <c r="M193" s="363" t="s">
        <v>57</v>
      </c>
      <c r="N193" s="65">
        <v>114</v>
      </c>
      <c r="O193" s="363" t="s">
        <v>59</v>
      </c>
      <c r="P193" s="65">
        <v>114</v>
      </c>
      <c r="Q193" s="363" t="s">
        <v>60</v>
      </c>
      <c r="R193" s="65">
        <v>228</v>
      </c>
      <c r="S193" s="363" t="s">
        <v>61</v>
      </c>
      <c r="T193" s="65">
        <v>24</v>
      </c>
      <c r="U193" s="363" t="s">
        <v>54</v>
      </c>
      <c r="V193" s="66" t="s">
        <v>119</v>
      </c>
      <c r="W193" s="463" t="s">
        <v>394</v>
      </c>
      <c r="X193" s="465">
        <v>0.96</v>
      </c>
      <c r="Y193" s="463" t="s">
        <v>393</v>
      </c>
      <c r="Z193" s="358">
        <v>15</v>
      </c>
    </row>
    <row r="194" spans="1:26" x14ac:dyDescent="0.2">
      <c r="A194" s="362" t="s">
        <v>33</v>
      </c>
      <c r="B194" s="370">
        <v>0</v>
      </c>
      <c r="C194" s="371">
        <v>0.02</v>
      </c>
      <c r="D194" s="371">
        <v>0.03</v>
      </c>
      <c r="E194" s="371">
        <v>0.05</v>
      </c>
      <c r="F194" s="371">
        <v>0.6</v>
      </c>
      <c r="G194" s="371">
        <v>0.67</v>
      </c>
      <c r="H194" s="371">
        <v>0.7</v>
      </c>
      <c r="I194" s="371">
        <v>0.8</v>
      </c>
      <c r="J194" s="371">
        <v>0.9</v>
      </c>
      <c r="K194" s="371">
        <v>1.05</v>
      </c>
      <c r="L194" s="371">
        <f t="shared" ref="L194:W194" si="66">K194</f>
        <v>1.05</v>
      </c>
      <c r="M194" s="371">
        <f t="shared" si="66"/>
        <v>1.05</v>
      </c>
      <c r="N194" s="371">
        <f t="shared" si="66"/>
        <v>1.05</v>
      </c>
      <c r="O194" s="371">
        <f t="shared" si="66"/>
        <v>1.05</v>
      </c>
      <c r="P194" s="371">
        <f t="shared" si="66"/>
        <v>1.05</v>
      </c>
      <c r="Q194" s="371">
        <f t="shared" si="66"/>
        <v>1.05</v>
      </c>
      <c r="R194" s="371">
        <f t="shared" si="66"/>
        <v>1.05</v>
      </c>
      <c r="S194" s="371">
        <f t="shared" si="66"/>
        <v>1.05</v>
      </c>
      <c r="T194" s="371">
        <f t="shared" si="66"/>
        <v>1.05</v>
      </c>
      <c r="U194" s="371">
        <f t="shared" si="66"/>
        <v>1.05</v>
      </c>
      <c r="V194" s="371">
        <f t="shared" si="66"/>
        <v>1.05</v>
      </c>
      <c r="W194" s="371">
        <f t="shared" si="66"/>
        <v>1.05</v>
      </c>
      <c r="X194" s="371">
        <v>2</v>
      </c>
      <c r="Y194" s="381">
        <v>1000</v>
      </c>
    </row>
    <row r="195" spans="1:26" x14ac:dyDescent="0.2">
      <c r="A195" s="378" t="s">
        <v>34</v>
      </c>
      <c r="B195" s="372">
        <v>0</v>
      </c>
      <c r="C195" s="373">
        <v>350</v>
      </c>
      <c r="D195" s="373">
        <v>250</v>
      </c>
      <c r="E195" s="373">
        <v>210</v>
      </c>
      <c r="F195" s="373">
        <v>150</v>
      </c>
      <c r="G195" s="373">
        <v>140</v>
      </c>
      <c r="H195" s="373">
        <v>130</v>
      </c>
      <c r="I195" s="373">
        <v>65</v>
      </c>
      <c r="J195" s="373">
        <v>30</v>
      </c>
      <c r="K195" s="373">
        <v>0</v>
      </c>
      <c r="L195" s="373">
        <v>0</v>
      </c>
      <c r="M195" s="373">
        <v>0</v>
      </c>
      <c r="N195" s="373">
        <v>0</v>
      </c>
      <c r="O195" s="373">
        <v>0</v>
      </c>
      <c r="P195" s="373">
        <v>0</v>
      </c>
      <c r="Q195" s="373">
        <v>0</v>
      </c>
      <c r="R195" s="373">
        <v>0</v>
      </c>
      <c r="S195" s="373">
        <f t="shared" ref="S195:X195" si="67">R195</f>
        <v>0</v>
      </c>
      <c r="T195" s="373">
        <f t="shared" si="67"/>
        <v>0</v>
      </c>
      <c r="U195" s="373">
        <f t="shared" si="67"/>
        <v>0</v>
      </c>
      <c r="V195" s="373">
        <f t="shared" si="67"/>
        <v>0</v>
      </c>
      <c r="W195" s="373">
        <f t="shared" si="67"/>
        <v>0</v>
      </c>
      <c r="X195" s="373">
        <f t="shared" si="67"/>
        <v>0</v>
      </c>
      <c r="Y195" s="382">
        <v>0</v>
      </c>
    </row>
    <row r="196" spans="1:26" ht="13.5" thickBot="1" x14ac:dyDescent="0.25">
      <c r="A196" s="379" t="s">
        <v>116</v>
      </c>
      <c r="B196" s="374">
        <f t="shared" ref="B196:X196" si="68">(C195+B195)*(C194-B194)/2</f>
        <v>3.5</v>
      </c>
      <c r="C196" s="375">
        <f t="shared" si="68"/>
        <v>2.9999999999999996</v>
      </c>
      <c r="D196" s="375">
        <f t="shared" si="68"/>
        <v>4.6000000000000005</v>
      </c>
      <c r="E196" s="375">
        <f t="shared" si="68"/>
        <v>98.999999999999986</v>
      </c>
      <c r="F196" s="375">
        <f t="shared" si="68"/>
        <v>10.150000000000009</v>
      </c>
      <c r="G196" s="375">
        <f t="shared" si="68"/>
        <v>4.0499999999999883</v>
      </c>
      <c r="H196" s="375">
        <f t="shared" si="68"/>
        <v>9.7500000000000089</v>
      </c>
      <c r="I196" s="375">
        <f t="shared" si="68"/>
        <v>4.7499999999999991</v>
      </c>
      <c r="J196" s="375">
        <f t="shared" si="68"/>
        <v>2.2500000000000004</v>
      </c>
      <c r="K196" s="375">
        <f t="shared" si="68"/>
        <v>0</v>
      </c>
      <c r="L196" s="375">
        <f t="shared" si="68"/>
        <v>0</v>
      </c>
      <c r="M196" s="375">
        <f t="shared" si="68"/>
        <v>0</v>
      </c>
      <c r="N196" s="375">
        <f t="shared" si="68"/>
        <v>0</v>
      </c>
      <c r="O196" s="375">
        <f t="shared" si="68"/>
        <v>0</v>
      </c>
      <c r="P196" s="375">
        <f t="shared" si="68"/>
        <v>0</v>
      </c>
      <c r="Q196" s="375">
        <f t="shared" si="68"/>
        <v>0</v>
      </c>
      <c r="R196" s="375">
        <f t="shared" si="68"/>
        <v>0</v>
      </c>
      <c r="S196" s="375">
        <f t="shared" si="68"/>
        <v>0</v>
      </c>
      <c r="T196" s="375">
        <f t="shared" si="68"/>
        <v>0</v>
      </c>
      <c r="U196" s="375">
        <f t="shared" si="68"/>
        <v>0</v>
      </c>
      <c r="V196" s="375">
        <f t="shared" si="68"/>
        <v>0</v>
      </c>
      <c r="W196" s="375">
        <f t="shared" si="68"/>
        <v>0</v>
      </c>
      <c r="X196" s="375">
        <f t="shared" si="68"/>
        <v>0</v>
      </c>
      <c r="Y196" s="369"/>
    </row>
    <row r="197" spans="1:26" ht="13.5" thickBot="1" x14ac:dyDescent="0.25">
      <c r="A197" s="12" t="s">
        <v>545</v>
      </c>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row>
    <row r="198" spans="1:26" ht="13.5" thickBot="1" x14ac:dyDescent="0.25">
      <c r="A198" s="361" t="s">
        <v>548</v>
      </c>
      <c r="B198" s="359">
        <f>ROW(A198)</f>
        <v>198</v>
      </c>
      <c r="C198" s="363" t="s">
        <v>115</v>
      </c>
      <c r="D198" s="353">
        <f>SUM(B201:Y201)</f>
        <v>142.44</v>
      </c>
      <c r="E198" s="363" t="s">
        <v>114</v>
      </c>
      <c r="F198" s="354">
        <f>D198/g/J198</f>
        <v>192.06187401906058</v>
      </c>
      <c r="G198" s="363" t="s">
        <v>56</v>
      </c>
      <c r="H198" s="64">
        <v>0.15989999999999999</v>
      </c>
      <c r="I198" s="363" t="s">
        <v>271</v>
      </c>
      <c r="J198" s="355">
        <f>H198-L198</f>
        <v>7.5599999999999987E-2</v>
      </c>
      <c r="K198" s="363" t="s">
        <v>272</v>
      </c>
      <c r="L198" s="64">
        <v>8.43E-2</v>
      </c>
      <c r="M198" s="363" t="s">
        <v>57</v>
      </c>
      <c r="N198" s="65">
        <v>114</v>
      </c>
      <c r="O198" s="363" t="s">
        <v>59</v>
      </c>
      <c r="P198" s="65">
        <v>114</v>
      </c>
      <c r="Q198" s="363" t="s">
        <v>60</v>
      </c>
      <c r="R198" s="65">
        <v>228</v>
      </c>
      <c r="S198" s="363" t="s">
        <v>61</v>
      </c>
      <c r="T198" s="65">
        <v>24</v>
      </c>
      <c r="U198" s="363" t="s">
        <v>54</v>
      </c>
      <c r="V198" s="66" t="s">
        <v>401</v>
      </c>
      <c r="W198" s="463" t="s">
        <v>394</v>
      </c>
      <c r="X198" s="465">
        <v>0.97</v>
      </c>
      <c r="Y198" s="463" t="s">
        <v>393</v>
      </c>
      <c r="Z198" s="358">
        <v>13</v>
      </c>
    </row>
    <row r="199" spans="1:26" x14ac:dyDescent="0.2">
      <c r="A199" s="362" t="s">
        <v>33</v>
      </c>
      <c r="B199" s="370">
        <v>0</v>
      </c>
      <c r="C199" s="371">
        <v>0.02</v>
      </c>
      <c r="D199" s="371">
        <v>0.04</v>
      </c>
      <c r="E199" s="371">
        <v>0.62</v>
      </c>
      <c r="F199" s="371">
        <v>0.66</v>
      </c>
      <c r="G199" s="371">
        <v>0.68</v>
      </c>
      <c r="H199" s="371">
        <v>0.8</v>
      </c>
      <c r="I199" s="371">
        <v>0.84</v>
      </c>
      <c r="J199" s="371">
        <v>0.88</v>
      </c>
      <c r="K199" s="371">
        <v>0.92</v>
      </c>
      <c r="L199" s="371">
        <v>0.96</v>
      </c>
      <c r="M199" s="371">
        <v>1</v>
      </c>
      <c r="N199" s="371">
        <v>1.08</v>
      </c>
      <c r="O199" s="371">
        <v>2</v>
      </c>
      <c r="P199" s="371">
        <v>2</v>
      </c>
      <c r="Q199" s="371">
        <v>2</v>
      </c>
      <c r="R199" s="371">
        <v>2</v>
      </c>
      <c r="S199" s="371">
        <f t="shared" ref="S199:X200" si="69">R199</f>
        <v>2</v>
      </c>
      <c r="T199" s="371">
        <f t="shared" si="69"/>
        <v>2</v>
      </c>
      <c r="U199" s="371">
        <f t="shared" si="69"/>
        <v>2</v>
      </c>
      <c r="V199" s="371">
        <f t="shared" si="69"/>
        <v>2</v>
      </c>
      <c r="W199" s="371">
        <f t="shared" si="69"/>
        <v>2</v>
      </c>
      <c r="X199" s="371">
        <f t="shared" si="69"/>
        <v>2</v>
      </c>
      <c r="Y199" s="381">
        <v>1000</v>
      </c>
    </row>
    <row r="200" spans="1:26" x14ac:dyDescent="0.2">
      <c r="A200" s="378" t="s">
        <v>34</v>
      </c>
      <c r="B200" s="372">
        <v>0</v>
      </c>
      <c r="C200" s="373">
        <v>250</v>
      </c>
      <c r="D200" s="373">
        <v>210</v>
      </c>
      <c r="E200" s="373">
        <v>160</v>
      </c>
      <c r="F200" s="373">
        <v>150</v>
      </c>
      <c r="G200" s="373">
        <v>142</v>
      </c>
      <c r="H200" s="373">
        <v>62</v>
      </c>
      <c r="I200" s="373">
        <v>48</v>
      </c>
      <c r="J200" s="373">
        <v>34</v>
      </c>
      <c r="K200" s="373">
        <v>24</v>
      </c>
      <c r="L200" s="373">
        <v>15</v>
      </c>
      <c r="M200" s="373">
        <v>10</v>
      </c>
      <c r="N200" s="373">
        <v>0</v>
      </c>
      <c r="O200" s="373">
        <v>0</v>
      </c>
      <c r="P200" s="373">
        <v>0</v>
      </c>
      <c r="Q200" s="373">
        <v>0</v>
      </c>
      <c r="R200" s="373">
        <v>0</v>
      </c>
      <c r="S200" s="373">
        <f t="shared" si="69"/>
        <v>0</v>
      </c>
      <c r="T200" s="373">
        <f t="shared" si="69"/>
        <v>0</v>
      </c>
      <c r="U200" s="373">
        <f t="shared" si="69"/>
        <v>0</v>
      </c>
      <c r="V200" s="373">
        <f t="shared" si="69"/>
        <v>0</v>
      </c>
      <c r="W200" s="373">
        <f t="shared" si="69"/>
        <v>0</v>
      </c>
      <c r="X200" s="373">
        <f t="shared" si="69"/>
        <v>0</v>
      </c>
      <c r="Y200" s="382">
        <v>0</v>
      </c>
    </row>
    <row r="201" spans="1:26" ht="13.5" thickBot="1" x14ac:dyDescent="0.25">
      <c r="A201" s="379" t="s">
        <v>116</v>
      </c>
      <c r="B201" s="374">
        <f t="shared" ref="B201:X201" si="70">(C200+B200)*(C199-B199)/2</f>
        <v>2.5</v>
      </c>
      <c r="C201" s="375">
        <f t="shared" si="70"/>
        <v>4.6000000000000005</v>
      </c>
      <c r="D201" s="375">
        <f t="shared" si="70"/>
        <v>107.3</v>
      </c>
      <c r="E201" s="375">
        <f t="shared" si="70"/>
        <v>6.2000000000000055</v>
      </c>
      <c r="F201" s="375">
        <f t="shared" si="70"/>
        <v>2.9200000000000026</v>
      </c>
      <c r="G201" s="375">
        <f t="shared" si="70"/>
        <v>12.24</v>
      </c>
      <c r="H201" s="375">
        <f t="shared" si="70"/>
        <v>2.1999999999999957</v>
      </c>
      <c r="I201" s="375">
        <f t="shared" si="70"/>
        <v>1.6400000000000015</v>
      </c>
      <c r="J201" s="375">
        <f t="shared" si="70"/>
        <v>1.160000000000001</v>
      </c>
      <c r="K201" s="375">
        <f t="shared" si="70"/>
        <v>0.77999999999999847</v>
      </c>
      <c r="L201" s="375">
        <f t="shared" si="70"/>
        <v>0.50000000000000044</v>
      </c>
      <c r="M201" s="375">
        <f t="shared" si="70"/>
        <v>0.40000000000000036</v>
      </c>
      <c r="N201" s="375">
        <f t="shared" si="70"/>
        <v>0</v>
      </c>
      <c r="O201" s="375">
        <f t="shared" si="70"/>
        <v>0</v>
      </c>
      <c r="P201" s="375">
        <f t="shared" si="70"/>
        <v>0</v>
      </c>
      <c r="Q201" s="375">
        <f t="shared" si="70"/>
        <v>0</v>
      </c>
      <c r="R201" s="375">
        <f t="shared" si="70"/>
        <v>0</v>
      </c>
      <c r="S201" s="375">
        <f t="shared" si="70"/>
        <v>0</v>
      </c>
      <c r="T201" s="375">
        <f t="shared" si="70"/>
        <v>0</v>
      </c>
      <c r="U201" s="375">
        <f t="shared" si="70"/>
        <v>0</v>
      </c>
      <c r="V201" s="375">
        <f t="shared" si="70"/>
        <v>0</v>
      </c>
      <c r="W201" s="375">
        <f t="shared" si="70"/>
        <v>0</v>
      </c>
      <c r="X201" s="375">
        <f t="shared" si="70"/>
        <v>0</v>
      </c>
      <c r="Y201" s="369"/>
    </row>
    <row r="202" spans="1:26" ht="13.5" thickBot="1" x14ac:dyDescent="0.25">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row>
    <row r="203" spans="1:26" ht="13.5" thickBot="1" x14ac:dyDescent="0.25">
      <c r="A203" s="361" t="s">
        <v>538</v>
      </c>
      <c r="B203" s="359">
        <f>ROW(A203)</f>
        <v>203</v>
      </c>
      <c r="C203" s="363" t="s">
        <v>115</v>
      </c>
      <c r="D203" s="353">
        <f>SUM(B206:Y206)</f>
        <v>143.08845000000002</v>
      </c>
      <c r="E203" s="363" t="s">
        <v>114</v>
      </c>
      <c r="F203" s="354">
        <f>D203/g/J203</f>
        <v>168.23504721190514</v>
      </c>
      <c r="G203" s="363" t="s">
        <v>56</v>
      </c>
      <c r="H203" s="64">
        <v>0.17249999999999999</v>
      </c>
      <c r="I203" s="363" t="s">
        <v>271</v>
      </c>
      <c r="J203" s="355">
        <f>H203-L203</f>
        <v>8.6699999999999985E-2</v>
      </c>
      <c r="K203" s="363" t="s">
        <v>272</v>
      </c>
      <c r="L203" s="64">
        <v>8.5800000000000001E-2</v>
      </c>
      <c r="M203" s="363" t="s">
        <v>57</v>
      </c>
      <c r="N203" s="65">
        <v>114</v>
      </c>
      <c r="O203" s="363" t="s">
        <v>59</v>
      </c>
      <c r="P203" s="65">
        <v>114</v>
      </c>
      <c r="Q203" s="363" t="s">
        <v>60</v>
      </c>
      <c r="R203" s="65">
        <v>228</v>
      </c>
      <c r="S203" s="363" t="s">
        <v>61</v>
      </c>
      <c r="T203" s="65">
        <v>24</v>
      </c>
      <c r="U203" s="363" t="s">
        <v>54</v>
      </c>
      <c r="V203" s="66" t="s">
        <v>119</v>
      </c>
      <c r="W203" s="463" t="s">
        <v>394</v>
      </c>
      <c r="X203" s="465">
        <v>0.97</v>
      </c>
      <c r="Y203" s="463" t="s">
        <v>393</v>
      </c>
      <c r="Z203" s="358">
        <v>11</v>
      </c>
    </row>
    <row r="204" spans="1:26" x14ac:dyDescent="0.2">
      <c r="A204" s="362" t="s">
        <v>33</v>
      </c>
      <c r="B204" s="370">
        <v>0</v>
      </c>
      <c r="C204" s="371">
        <v>8.0000000000000002E-3</v>
      </c>
      <c r="D204" s="371">
        <v>1.2999999999999999E-2</v>
      </c>
      <c r="E204" s="371">
        <v>2.1999999999999999E-2</v>
      </c>
      <c r="F204" s="371">
        <v>3.5000000000000003E-2</v>
      </c>
      <c r="G204" s="371">
        <v>6.3E-2</v>
      </c>
      <c r="H204" s="371">
        <v>0.10299999999999999</v>
      </c>
      <c r="I204" s="371">
        <v>0.19600000000000001</v>
      </c>
      <c r="J204" s="371">
        <v>0.311</v>
      </c>
      <c r="K204" s="371">
        <v>0.47399999999999998</v>
      </c>
      <c r="L204" s="371">
        <v>0.56399999999999995</v>
      </c>
      <c r="M204" s="371">
        <v>0.76200000000000001</v>
      </c>
      <c r="N204" s="371">
        <v>0.85799999999999998</v>
      </c>
      <c r="O204" s="371">
        <v>0.92800000000000005</v>
      </c>
      <c r="P204" s="371">
        <v>1.038</v>
      </c>
      <c r="Q204" s="371">
        <v>1.08</v>
      </c>
      <c r="R204" s="371">
        <v>1.131</v>
      </c>
      <c r="S204" s="371">
        <v>1.1850000000000001</v>
      </c>
      <c r="T204" s="371">
        <v>1.224</v>
      </c>
      <c r="U204" s="371">
        <v>1.258</v>
      </c>
      <c r="V204" s="371">
        <v>1.4</v>
      </c>
      <c r="W204" s="371">
        <v>1.4410000000000001</v>
      </c>
      <c r="X204" s="371">
        <v>2</v>
      </c>
      <c r="Y204" s="381">
        <v>1000</v>
      </c>
    </row>
    <row r="205" spans="1:26" x14ac:dyDescent="0.2">
      <c r="A205" s="378" t="s">
        <v>34</v>
      </c>
      <c r="B205" s="372">
        <v>0</v>
      </c>
      <c r="C205" s="373">
        <v>168.643</v>
      </c>
      <c r="D205" s="373">
        <v>177.339</v>
      </c>
      <c r="E205" s="373">
        <v>177.86600000000001</v>
      </c>
      <c r="F205" s="373">
        <v>171.27799999999999</v>
      </c>
      <c r="G205" s="373">
        <v>157.839</v>
      </c>
      <c r="H205" s="373">
        <v>154.941</v>
      </c>
      <c r="I205" s="373">
        <v>148.88</v>
      </c>
      <c r="J205" s="373">
        <v>144.137</v>
      </c>
      <c r="K205" s="373">
        <v>138.07599999999999</v>
      </c>
      <c r="L205" s="373">
        <v>135.70500000000001</v>
      </c>
      <c r="M205" s="373">
        <v>125.955</v>
      </c>
      <c r="N205" s="373">
        <v>116.733</v>
      </c>
      <c r="O205" s="373">
        <v>101.71299999999999</v>
      </c>
      <c r="P205" s="373">
        <v>57.444000000000003</v>
      </c>
      <c r="Q205" s="373">
        <v>42.688000000000002</v>
      </c>
      <c r="R205" s="373">
        <v>31.884</v>
      </c>
      <c r="S205" s="373">
        <v>17.655000000000001</v>
      </c>
      <c r="T205" s="373">
        <v>9.4860000000000007</v>
      </c>
      <c r="U205" s="373">
        <v>5.27</v>
      </c>
      <c r="V205" s="373">
        <v>0.79100000000000004</v>
      </c>
      <c r="W205" s="373">
        <v>0</v>
      </c>
      <c r="X205" s="373">
        <f>W205</f>
        <v>0</v>
      </c>
      <c r="Y205" s="382">
        <v>0</v>
      </c>
    </row>
    <row r="206" spans="1:26" ht="13.5" thickBot="1" x14ac:dyDescent="0.25">
      <c r="A206" s="379" t="s">
        <v>116</v>
      </c>
      <c r="B206" s="374">
        <f t="shared" ref="B206:X206" si="71">(C205+B205)*(C204-B204)/2</f>
        <v>0.67457200000000006</v>
      </c>
      <c r="C206" s="375">
        <f t="shared" si="71"/>
        <v>0.86495499999999981</v>
      </c>
      <c r="D206" s="375">
        <f t="shared" si="71"/>
        <v>1.5984225000000001</v>
      </c>
      <c r="E206" s="375">
        <f t="shared" si="71"/>
        <v>2.2694360000000007</v>
      </c>
      <c r="F206" s="375">
        <f t="shared" si="71"/>
        <v>4.6076379999999988</v>
      </c>
      <c r="G206" s="375">
        <f t="shared" si="71"/>
        <v>6.2555999999999985</v>
      </c>
      <c r="H206" s="375">
        <f t="shared" si="71"/>
        <v>14.127676500000003</v>
      </c>
      <c r="I206" s="375">
        <f t="shared" si="71"/>
        <v>16.848477499999998</v>
      </c>
      <c r="J206" s="375">
        <f t="shared" si="71"/>
        <v>23.000359499999995</v>
      </c>
      <c r="K206" s="375">
        <f t="shared" si="71"/>
        <v>12.320144999999997</v>
      </c>
      <c r="L206" s="375">
        <f t="shared" si="71"/>
        <v>25.904340000000012</v>
      </c>
      <c r="M206" s="375">
        <f t="shared" si="71"/>
        <v>11.649023999999997</v>
      </c>
      <c r="N206" s="375">
        <f t="shared" si="71"/>
        <v>7.6456100000000067</v>
      </c>
      <c r="O206" s="375">
        <f t="shared" si="71"/>
        <v>8.7536349999999974</v>
      </c>
      <c r="P206" s="375">
        <f t="shared" si="71"/>
        <v>2.1027720000000021</v>
      </c>
      <c r="Q206" s="375">
        <f t="shared" si="71"/>
        <v>1.9015859999999976</v>
      </c>
      <c r="R206" s="375">
        <f t="shared" si="71"/>
        <v>1.3375530000000013</v>
      </c>
      <c r="S206" s="375">
        <f t="shared" si="71"/>
        <v>0.52924949999999904</v>
      </c>
      <c r="T206" s="375">
        <f t="shared" si="71"/>
        <v>0.25085200000000024</v>
      </c>
      <c r="U206" s="375">
        <f t="shared" si="71"/>
        <v>0.43033099999999969</v>
      </c>
      <c r="V206" s="375">
        <f t="shared" si="71"/>
        <v>1.621550000000006E-2</v>
      </c>
      <c r="W206" s="375">
        <f t="shared" si="71"/>
        <v>0</v>
      </c>
      <c r="X206" s="375">
        <f t="shared" si="71"/>
        <v>0</v>
      </c>
      <c r="Y206" s="369"/>
    </row>
    <row r="207" spans="1:26" ht="13.5" thickBot="1" x14ac:dyDescent="0.25">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row>
    <row r="208" spans="1:26" ht="13.5" thickBot="1" x14ac:dyDescent="0.25">
      <c r="A208" s="361" t="s">
        <v>537</v>
      </c>
      <c r="B208" s="359">
        <f>ROW(A208)</f>
        <v>208</v>
      </c>
      <c r="C208" s="363" t="s">
        <v>115</v>
      </c>
      <c r="D208" s="353">
        <f>SUM(B211:Y211)</f>
        <v>139.423417</v>
      </c>
      <c r="E208" s="363" t="s">
        <v>114</v>
      </c>
      <c r="F208" s="354">
        <f>D208/g/J208</f>
        <v>158.62027745922524</v>
      </c>
      <c r="G208" s="363" t="s">
        <v>56</v>
      </c>
      <c r="H208" s="64">
        <v>0.19450000000000001</v>
      </c>
      <c r="I208" s="363" t="s">
        <v>271</v>
      </c>
      <c r="J208" s="355">
        <f>H208-L208</f>
        <v>8.9600000000000013E-2</v>
      </c>
      <c r="K208" s="363" t="s">
        <v>272</v>
      </c>
      <c r="L208" s="64">
        <v>0.10489999999999999</v>
      </c>
      <c r="M208" s="363" t="s">
        <v>57</v>
      </c>
      <c r="N208" s="65">
        <v>114</v>
      </c>
      <c r="O208" s="363" t="s">
        <v>59</v>
      </c>
      <c r="P208" s="65">
        <v>144</v>
      </c>
      <c r="Q208" s="363" t="s">
        <v>60</v>
      </c>
      <c r="R208" s="65">
        <v>228</v>
      </c>
      <c r="S208" s="363" t="s">
        <v>61</v>
      </c>
      <c r="T208" s="65">
        <v>24</v>
      </c>
      <c r="U208" s="363" t="s">
        <v>54</v>
      </c>
      <c r="V208" s="66" t="s">
        <v>119</v>
      </c>
      <c r="W208" s="463" t="s">
        <v>394</v>
      </c>
      <c r="X208" s="465">
        <v>1.3</v>
      </c>
      <c r="Y208" s="463" t="s">
        <v>393</v>
      </c>
      <c r="Z208" s="358">
        <v>12</v>
      </c>
    </row>
    <row r="209" spans="1:26" x14ac:dyDescent="0.2">
      <c r="A209" s="362" t="s">
        <v>33</v>
      </c>
      <c r="B209" s="370">
        <v>0</v>
      </c>
      <c r="C209" s="371">
        <v>1.0999999999999999E-2</v>
      </c>
      <c r="D209" s="371">
        <v>2.1999999999999999E-2</v>
      </c>
      <c r="E209" s="371">
        <v>4.5999999999999999E-2</v>
      </c>
      <c r="F209" s="371">
        <v>8.1000000000000003E-2</v>
      </c>
      <c r="G209" s="371">
        <v>0.219</v>
      </c>
      <c r="H209" s="371">
        <v>0.253</v>
      </c>
      <c r="I209" s="371">
        <v>0.27400000000000002</v>
      </c>
      <c r="J209" s="371">
        <v>0.30499999999999999</v>
      </c>
      <c r="K209" s="371">
        <v>0.41199999999999998</v>
      </c>
      <c r="L209" s="371">
        <v>0.78900000000000003</v>
      </c>
      <c r="M209" s="371">
        <v>0.89900000000000002</v>
      </c>
      <c r="N209" s="371">
        <v>0.95299999999999996</v>
      </c>
      <c r="O209" s="371">
        <v>0.999</v>
      </c>
      <c r="P209" s="371">
        <v>1.03</v>
      </c>
      <c r="Q209" s="371">
        <v>1.0569999999999999</v>
      </c>
      <c r="R209" s="371">
        <v>1.1020000000000001</v>
      </c>
      <c r="S209" s="371">
        <v>1.1539999999999999</v>
      </c>
      <c r="T209" s="371">
        <v>1.1970000000000001</v>
      </c>
      <c r="U209" s="371">
        <v>1.2769999999999999</v>
      </c>
      <c r="V209" s="371">
        <v>1.335</v>
      </c>
      <c r="W209" s="371">
        <v>1.4510000000000001</v>
      </c>
      <c r="X209" s="371">
        <v>2</v>
      </c>
      <c r="Y209" s="381">
        <v>1000</v>
      </c>
    </row>
    <row r="210" spans="1:26" x14ac:dyDescent="0.2">
      <c r="A210" s="378" t="s">
        <v>34</v>
      </c>
      <c r="B210" s="372">
        <v>0</v>
      </c>
      <c r="C210" s="373">
        <v>198.41800000000001</v>
      </c>
      <c r="D210" s="373">
        <v>221.83500000000001</v>
      </c>
      <c r="E210" s="373">
        <v>212.65799999999999</v>
      </c>
      <c r="F210" s="373">
        <v>218.35400000000001</v>
      </c>
      <c r="G210" s="373">
        <v>204.43</v>
      </c>
      <c r="H210" s="373">
        <v>195.886</v>
      </c>
      <c r="I210" s="373">
        <v>183.54400000000001</v>
      </c>
      <c r="J210" s="373">
        <v>88.290999999999997</v>
      </c>
      <c r="K210" s="373">
        <v>93.671000000000006</v>
      </c>
      <c r="L210" s="373">
        <v>93.986999999999995</v>
      </c>
      <c r="M210" s="373">
        <v>91.138999999999996</v>
      </c>
      <c r="N210" s="373">
        <v>89.873000000000005</v>
      </c>
      <c r="O210" s="373">
        <v>87.025000000000006</v>
      </c>
      <c r="P210" s="373">
        <v>81.328999999999994</v>
      </c>
      <c r="Q210" s="373">
        <v>69.936999999999998</v>
      </c>
      <c r="R210" s="373">
        <v>54.113999999999997</v>
      </c>
      <c r="S210" s="373">
        <v>42.405000000000001</v>
      </c>
      <c r="T210" s="373">
        <v>31.646000000000001</v>
      </c>
      <c r="U210" s="373">
        <v>17.088999999999999</v>
      </c>
      <c r="V210" s="373">
        <v>9.81</v>
      </c>
      <c r="W210" s="373">
        <v>0</v>
      </c>
      <c r="X210" s="373">
        <v>0</v>
      </c>
      <c r="Y210" s="382">
        <v>0</v>
      </c>
    </row>
    <row r="211" spans="1:26" ht="13.5" thickBot="1" x14ac:dyDescent="0.25">
      <c r="A211" s="379" t="s">
        <v>116</v>
      </c>
      <c r="B211" s="374">
        <f t="shared" ref="B211:X211" si="72">(C210+B210)*(C209-B209)/2</f>
        <v>1.091299</v>
      </c>
      <c r="C211" s="375">
        <f t="shared" si="72"/>
        <v>2.3113915</v>
      </c>
      <c r="D211" s="375">
        <f t="shared" si="72"/>
        <v>5.2139160000000002</v>
      </c>
      <c r="E211" s="375">
        <f t="shared" si="72"/>
        <v>7.5427100000000005</v>
      </c>
      <c r="F211" s="375">
        <f t="shared" si="72"/>
        <v>29.172096000000003</v>
      </c>
      <c r="G211" s="375">
        <f t="shared" si="72"/>
        <v>6.8053720000000011</v>
      </c>
      <c r="H211" s="375">
        <f t="shared" si="72"/>
        <v>3.9840150000000034</v>
      </c>
      <c r="I211" s="375">
        <f t="shared" si="72"/>
        <v>4.2134424999999966</v>
      </c>
      <c r="J211" s="375">
        <f t="shared" si="72"/>
        <v>9.7349669999999975</v>
      </c>
      <c r="K211" s="375">
        <f t="shared" si="72"/>
        <v>35.373533000000009</v>
      </c>
      <c r="L211" s="375">
        <f t="shared" si="72"/>
        <v>10.181929999999998</v>
      </c>
      <c r="M211" s="375">
        <f t="shared" si="72"/>
        <v>4.8873239999999942</v>
      </c>
      <c r="N211" s="375">
        <f t="shared" si="72"/>
        <v>4.068654000000004</v>
      </c>
      <c r="O211" s="375">
        <f t="shared" si="72"/>
        <v>2.6094870000000019</v>
      </c>
      <c r="P211" s="375">
        <f t="shared" si="72"/>
        <v>2.0420909999999934</v>
      </c>
      <c r="Q211" s="375">
        <f t="shared" si="72"/>
        <v>2.791147500000009</v>
      </c>
      <c r="R211" s="375">
        <f t="shared" si="72"/>
        <v>2.5094939999999917</v>
      </c>
      <c r="S211" s="375">
        <f t="shared" si="72"/>
        <v>1.5920965000000056</v>
      </c>
      <c r="T211" s="375">
        <f t="shared" si="72"/>
        <v>1.9493999999999962</v>
      </c>
      <c r="U211" s="375">
        <f t="shared" si="72"/>
        <v>0.78007100000000074</v>
      </c>
      <c r="V211" s="375">
        <f t="shared" si="72"/>
        <v>0.56898000000000049</v>
      </c>
      <c r="W211" s="375">
        <f t="shared" si="72"/>
        <v>0</v>
      </c>
      <c r="X211" s="375">
        <f t="shared" si="72"/>
        <v>0</v>
      </c>
      <c r="Y211" s="369"/>
    </row>
    <row r="212" spans="1:26" ht="13.5" thickBot="1" x14ac:dyDescent="0.25">
      <c r="A212" s="6" t="s">
        <v>316</v>
      </c>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row>
    <row r="213" spans="1:26" ht="13.5" thickBot="1" x14ac:dyDescent="0.25">
      <c r="A213" s="361" t="s">
        <v>375</v>
      </c>
      <c r="B213" s="359">
        <f>ROW(A213)</f>
        <v>213</v>
      </c>
      <c r="C213" s="363" t="s">
        <v>115</v>
      </c>
      <c r="D213" s="353">
        <f>SUM(B216:Y216)</f>
        <v>82.798500000000018</v>
      </c>
      <c r="E213" s="363" t="s">
        <v>114</v>
      </c>
      <c r="F213" s="354">
        <f>D213/g/J213</f>
        <v>131.87834480122325</v>
      </c>
      <c r="G213" s="363" t="s">
        <v>56</v>
      </c>
      <c r="H213" s="64">
        <v>0.152</v>
      </c>
      <c r="I213" s="363" t="s">
        <v>271</v>
      </c>
      <c r="J213" s="355">
        <f>H213-L213</f>
        <v>6.4000000000000001E-2</v>
      </c>
      <c r="K213" s="363" t="s">
        <v>272</v>
      </c>
      <c r="L213" s="64">
        <v>8.7999999999999995E-2</v>
      </c>
      <c r="M213" s="363" t="s">
        <v>57</v>
      </c>
      <c r="N213" s="65">
        <v>71</v>
      </c>
      <c r="O213" s="363" t="s">
        <v>59</v>
      </c>
      <c r="P213" s="65">
        <v>71</v>
      </c>
      <c r="Q213" s="363" t="s">
        <v>60</v>
      </c>
      <c r="R213" s="65">
        <v>142</v>
      </c>
      <c r="S213" s="363" t="s">
        <v>61</v>
      </c>
      <c r="T213" s="65">
        <v>29</v>
      </c>
      <c r="U213" s="363" t="s">
        <v>54</v>
      </c>
      <c r="V213" s="66" t="s">
        <v>119</v>
      </c>
      <c r="W213" s="463" t="s">
        <v>394</v>
      </c>
      <c r="X213" s="465">
        <v>0.96</v>
      </c>
      <c r="Y213" s="463" t="s">
        <v>393</v>
      </c>
      <c r="Z213" s="358">
        <v>11</v>
      </c>
    </row>
    <row r="214" spans="1:26" x14ac:dyDescent="0.2">
      <c r="A214" s="362" t="s">
        <v>33</v>
      </c>
      <c r="B214" s="370">
        <v>0</v>
      </c>
      <c r="C214" s="371">
        <v>0.02</v>
      </c>
      <c r="D214" s="371">
        <v>0.03</v>
      </c>
      <c r="E214" s="371">
        <v>0.04</v>
      </c>
      <c r="F214" s="371">
        <v>0.06</v>
      </c>
      <c r="G214" s="371">
        <v>0.08</v>
      </c>
      <c r="H214" s="371">
        <v>0.15</v>
      </c>
      <c r="I214" s="371">
        <v>0.18</v>
      </c>
      <c r="J214" s="371">
        <v>0.2</v>
      </c>
      <c r="K214" s="371">
        <v>0.3</v>
      </c>
      <c r="L214" s="371">
        <v>0.4</v>
      </c>
      <c r="M214" s="371">
        <v>0.5</v>
      </c>
      <c r="N214" s="371">
        <v>0.6</v>
      </c>
      <c r="O214" s="371">
        <v>0.7</v>
      </c>
      <c r="P214" s="371">
        <v>0.82</v>
      </c>
      <c r="Q214" s="371">
        <v>0.93</v>
      </c>
      <c r="R214" s="371">
        <v>1</v>
      </c>
      <c r="S214" s="371">
        <f t="shared" ref="S214:X215" si="73">R214</f>
        <v>1</v>
      </c>
      <c r="T214" s="371">
        <f t="shared" si="73"/>
        <v>1</v>
      </c>
      <c r="U214" s="371">
        <f t="shared" si="73"/>
        <v>1</v>
      </c>
      <c r="V214" s="371">
        <f t="shared" si="73"/>
        <v>1</v>
      </c>
      <c r="W214" s="371">
        <f t="shared" si="73"/>
        <v>1</v>
      </c>
      <c r="X214" s="371">
        <v>2</v>
      </c>
      <c r="Y214" s="381">
        <v>1000</v>
      </c>
    </row>
    <row r="215" spans="1:26" x14ac:dyDescent="0.2">
      <c r="A215" s="378" t="s">
        <v>34</v>
      </c>
      <c r="B215" s="372">
        <v>0</v>
      </c>
      <c r="C215" s="373">
        <v>41.9</v>
      </c>
      <c r="D215" s="373">
        <v>92.1</v>
      </c>
      <c r="E215" s="373">
        <v>116.7</v>
      </c>
      <c r="F215" s="373">
        <v>112.7</v>
      </c>
      <c r="G215" s="373">
        <v>82.7</v>
      </c>
      <c r="H215" s="373">
        <v>84.7</v>
      </c>
      <c r="I215" s="373">
        <v>86.2</v>
      </c>
      <c r="J215" s="373">
        <v>87.9</v>
      </c>
      <c r="K215" s="373">
        <v>90.9</v>
      </c>
      <c r="L215" s="373">
        <v>93.9</v>
      </c>
      <c r="M215" s="373">
        <v>95.3</v>
      </c>
      <c r="N215" s="373">
        <v>96.8</v>
      </c>
      <c r="O215" s="373">
        <v>97.6</v>
      </c>
      <c r="P215" s="373">
        <v>108.2</v>
      </c>
      <c r="Q215" s="373">
        <v>11</v>
      </c>
      <c r="R215" s="373">
        <v>0</v>
      </c>
      <c r="S215" s="373">
        <f t="shared" si="73"/>
        <v>0</v>
      </c>
      <c r="T215" s="373">
        <f t="shared" si="73"/>
        <v>0</v>
      </c>
      <c r="U215" s="373">
        <f t="shared" si="73"/>
        <v>0</v>
      </c>
      <c r="V215" s="373">
        <f t="shared" si="73"/>
        <v>0</v>
      </c>
      <c r="W215" s="373">
        <f t="shared" si="73"/>
        <v>0</v>
      </c>
      <c r="X215" s="373">
        <f t="shared" si="73"/>
        <v>0</v>
      </c>
      <c r="Y215" s="382">
        <v>0</v>
      </c>
    </row>
    <row r="216" spans="1:26" ht="13.5" thickBot="1" x14ac:dyDescent="0.25">
      <c r="A216" s="379" t="s">
        <v>116</v>
      </c>
      <c r="B216" s="374">
        <f t="shared" ref="B216:V216" si="74">(C215+B215)*(C214-B214)/2</f>
        <v>0.41899999999999998</v>
      </c>
      <c r="C216" s="375">
        <f t="shared" si="74"/>
        <v>0.66999999999999993</v>
      </c>
      <c r="D216" s="375">
        <f t="shared" si="74"/>
        <v>1.0440000000000003</v>
      </c>
      <c r="E216" s="375">
        <f t="shared" si="74"/>
        <v>2.2939999999999996</v>
      </c>
      <c r="F216" s="375">
        <f t="shared" si="74"/>
        <v>1.9540000000000004</v>
      </c>
      <c r="G216" s="375">
        <f t="shared" si="74"/>
        <v>5.859</v>
      </c>
      <c r="H216" s="375">
        <f t="shared" si="74"/>
        <v>2.5634999999999999</v>
      </c>
      <c r="I216" s="375">
        <f t="shared" si="74"/>
        <v>1.7410000000000019</v>
      </c>
      <c r="J216" s="375">
        <f>(K215+J215)*(K214-J214)/2</f>
        <v>8.9399999999999977</v>
      </c>
      <c r="K216" s="375">
        <f t="shared" si="74"/>
        <v>9.2400000000000038</v>
      </c>
      <c r="L216" s="375">
        <f t="shared" si="74"/>
        <v>9.4599999999999973</v>
      </c>
      <c r="M216" s="375">
        <f t="shared" si="74"/>
        <v>9.6049999999999969</v>
      </c>
      <c r="N216" s="375">
        <f t="shared" si="74"/>
        <v>9.7199999999999971</v>
      </c>
      <c r="O216" s="375">
        <f t="shared" si="74"/>
        <v>12.348000000000001</v>
      </c>
      <c r="P216" s="375">
        <f t="shared" si="74"/>
        <v>6.5560000000000063</v>
      </c>
      <c r="Q216" s="375">
        <f t="shared" si="74"/>
        <v>0.38499999999999973</v>
      </c>
      <c r="R216" s="375">
        <f t="shared" si="74"/>
        <v>0</v>
      </c>
      <c r="S216" s="375">
        <f>(T215+S215)*(T214-S214)/2</f>
        <v>0</v>
      </c>
      <c r="T216" s="375">
        <f t="shared" si="74"/>
        <v>0</v>
      </c>
      <c r="U216" s="375">
        <f t="shared" si="74"/>
        <v>0</v>
      </c>
      <c r="V216" s="375">
        <f t="shared" si="74"/>
        <v>0</v>
      </c>
      <c r="W216" s="375">
        <f>(X215+W215)*(X214-W214)/2</f>
        <v>0</v>
      </c>
      <c r="X216" s="375">
        <f>(Y215+X215)*(Y214-X214)/2</f>
        <v>0</v>
      </c>
      <c r="Y216" s="369"/>
    </row>
    <row r="217" spans="1:26" ht="13.5" thickBot="1" x14ac:dyDescent="0.25">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row>
    <row r="218" spans="1:26" ht="13.5" thickBot="1" x14ac:dyDescent="0.25">
      <c r="A218" s="361" t="s">
        <v>376</v>
      </c>
      <c r="B218" s="359">
        <f>ROW(A218)</f>
        <v>218</v>
      </c>
      <c r="C218" s="363" t="s">
        <v>115</v>
      </c>
      <c r="D218" s="353">
        <f>SUM(B221:Y221)</f>
        <v>98.257101163036367</v>
      </c>
      <c r="E218" s="363" t="s">
        <v>114</v>
      </c>
      <c r="F218" s="354">
        <f>D218/g/J218</f>
        <v>177.58890761893778</v>
      </c>
      <c r="G218" s="363" t="s">
        <v>56</v>
      </c>
      <c r="H218" s="64">
        <v>0.14319999999999999</v>
      </c>
      <c r="I218" s="363" t="s">
        <v>271</v>
      </c>
      <c r="J218" s="355">
        <f>H218-L218</f>
        <v>5.6399999999999992E-2</v>
      </c>
      <c r="K218" s="363" t="s">
        <v>272</v>
      </c>
      <c r="L218" s="64">
        <v>8.6800000000000002E-2</v>
      </c>
      <c r="M218" s="363" t="s">
        <v>57</v>
      </c>
      <c r="N218" s="65">
        <v>71</v>
      </c>
      <c r="O218" s="363" t="s">
        <v>59</v>
      </c>
      <c r="P218" s="65">
        <v>71</v>
      </c>
      <c r="Q218" s="363" t="s">
        <v>60</v>
      </c>
      <c r="R218" s="65">
        <v>142</v>
      </c>
      <c r="S218" s="363" t="s">
        <v>61</v>
      </c>
      <c r="T218" s="65">
        <v>29</v>
      </c>
      <c r="U218" s="363" t="s">
        <v>54</v>
      </c>
      <c r="V218" s="66" t="s">
        <v>119</v>
      </c>
      <c r="W218" s="463" t="s">
        <v>394</v>
      </c>
      <c r="X218" s="465">
        <v>1.1499999999999999</v>
      </c>
      <c r="Y218" s="463" t="s">
        <v>393</v>
      </c>
      <c r="Z218" s="358">
        <v>14</v>
      </c>
    </row>
    <row r="219" spans="1:26" x14ac:dyDescent="0.2">
      <c r="A219" s="362" t="s">
        <v>33</v>
      </c>
      <c r="B219" s="370">
        <v>0</v>
      </c>
      <c r="C219" s="371">
        <v>1.4999999999999999E-2</v>
      </c>
      <c r="D219" s="371">
        <v>0.03</v>
      </c>
      <c r="E219" s="371">
        <v>4.4999999999999998E-2</v>
      </c>
      <c r="F219" s="371">
        <v>0.06</v>
      </c>
      <c r="G219" s="371">
        <v>7.4999999999999997E-2</v>
      </c>
      <c r="H219" s="371">
        <v>0.09</v>
      </c>
      <c r="I219" s="371">
        <v>0.105</v>
      </c>
      <c r="J219" s="371">
        <v>0.12</v>
      </c>
      <c r="K219" s="371">
        <v>0.18</v>
      </c>
      <c r="L219" s="371">
        <v>0.24</v>
      </c>
      <c r="M219" s="371">
        <v>0.3</v>
      </c>
      <c r="N219" s="371">
        <v>0.48</v>
      </c>
      <c r="O219" s="371">
        <v>0.6</v>
      </c>
      <c r="P219" s="371">
        <v>0.66</v>
      </c>
      <c r="Q219" s="371">
        <v>0.72</v>
      </c>
      <c r="R219" s="371">
        <v>0.78</v>
      </c>
      <c r="S219" s="371">
        <v>0.84</v>
      </c>
      <c r="T219" s="371">
        <v>0.9</v>
      </c>
      <c r="U219" s="371">
        <v>0.96</v>
      </c>
      <c r="V219" s="371">
        <v>1.0349999999999999</v>
      </c>
      <c r="W219" s="371">
        <v>1.2</v>
      </c>
      <c r="X219" s="371">
        <v>2</v>
      </c>
      <c r="Y219" s="381">
        <v>1000</v>
      </c>
    </row>
    <row r="220" spans="1:26" x14ac:dyDescent="0.2">
      <c r="A220" s="378" t="s">
        <v>34</v>
      </c>
      <c r="B220" s="372">
        <v>0</v>
      </c>
      <c r="C220" s="376">
        <v>99.328788958822486</v>
      </c>
      <c r="D220" s="376">
        <v>109.07039432469</v>
      </c>
      <c r="E220" s="376">
        <v>65.255411286427503</v>
      </c>
      <c r="F220" s="376">
        <v>67.568486533117493</v>
      </c>
      <c r="G220" s="376">
        <v>73.929443461515007</v>
      </c>
      <c r="H220" s="376">
        <v>74.329783408057494</v>
      </c>
      <c r="I220" s="376">
        <v>78.1552540083525</v>
      </c>
      <c r="J220" s="376">
        <v>78.600076171177506</v>
      </c>
      <c r="K220" s="376">
        <v>82.203135690059995</v>
      </c>
      <c r="L220" s="376">
        <v>84.516210936749999</v>
      </c>
      <c r="M220" s="376">
        <v>88.51961040217499</v>
      </c>
      <c r="N220" s="376">
        <v>95.102978411984992</v>
      </c>
      <c r="O220" s="376">
        <v>95.547800574809997</v>
      </c>
      <c r="P220" s="376">
        <v>94.480227384029988</v>
      </c>
      <c r="Q220" s="376">
        <v>92.122669921057494</v>
      </c>
      <c r="R220" s="376">
        <v>90.743721216299988</v>
      </c>
      <c r="S220" s="376">
        <v>88.964432564999996</v>
      </c>
      <c r="T220" s="376">
        <v>85.405855262399996</v>
      </c>
      <c r="U220" s="376">
        <v>83.448637745970004</v>
      </c>
      <c r="V220" s="376">
        <v>88.074788239349999</v>
      </c>
      <c r="W220" s="376">
        <v>0</v>
      </c>
      <c r="X220" s="373">
        <v>0</v>
      </c>
      <c r="Y220" s="382">
        <v>0</v>
      </c>
    </row>
    <row r="221" spans="1:26" ht="13.5" thickBot="1" x14ac:dyDescent="0.25">
      <c r="A221" s="379" t="s">
        <v>116</v>
      </c>
      <c r="B221" s="374">
        <f t="shared" ref="B221:V221" si="75">(C220+B220)*(C219-B219)/2</f>
        <v>0.74496591719116867</v>
      </c>
      <c r="C221" s="375">
        <f t="shared" si="75"/>
        <v>1.5629938746263436</v>
      </c>
      <c r="D221" s="375">
        <f t="shared" si="75"/>
        <v>1.3074435420833814</v>
      </c>
      <c r="E221" s="375">
        <f t="shared" si="75"/>
        <v>0.99617923364658734</v>
      </c>
      <c r="F221" s="375">
        <f t="shared" si="75"/>
        <v>1.0612344749597438</v>
      </c>
      <c r="G221" s="375">
        <f t="shared" si="75"/>
        <v>1.1119442015217937</v>
      </c>
      <c r="H221" s="375">
        <f t="shared" si="75"/>
        <v>1.1436377806230749</v>
      </c>
      <c r="I221" s="375">
        <f t="shared" si="75"/>
        <v>1.175664976346475</v>
      </c>
      <c r="J221" s="375">
        <f>(K220+J220)*(K219-J219)/2</f>
        <v>4.824096355837125</v>
      </c>
      <c r="K221" s="375">
        <f t="shared" si="75"/>
        <v>5.0015803988042995</v>
      </c>
      <c r="L221" s="375">
        <f t="shared" si="75"/>
        <v>5.1910746401677494</v>
      </c>
      <c r="M221" s="375">
        <f t="shared" si="75"/>
        <v>16.526032993274399</v>
      </c>
      <c r="N221" s="375">
        <f t="shared" si="75"/>
        <v>11.439046739207699</v>
      </c>
      <c r="O221" s="375">
        <f t="shared" si="75"/>
        <v>5.7008408387652043</v>
      </c>
      <c r="P221" s="375">
        <f t="shared" si="75"/>
        <v>5.5980869191526192</v>
      </c>
      <c r="Q221" s="375">
        <f t="shared" si="75"/>
        <v>5.4859917341207289</v>
      </c>
      <c r="R221" s="375">
        <f t="shared" si="75"/>
        <v>5.3912446134389942</v>
      </c>
      <c r="S221" s="375">
        <f>(T220+S220)*(T219-S219)/2</f>
        <v>5.2311086348220037</v>
      </c>
      <c r="T221" s="375">
        <f t="shared" si="75"/>
        <v>5.0656347902510959</v>
      </c>
      <c r="U221" s="375">
        <f t="shared" si="75"/>
        <v>6.4321284744494962</v>
      </c>
      <c r="V221" s="375">
        <f t="shared" si="75"/>
        <v>7.2661700297463767</v>
      </c>
      <c r="W221" s="375">
        <f>(X220+W220)*(X219-W219)/2</f>
        <v>0</v>
      </c>
      <c r="X221" s="375">
        <f>(Y220+X220)*(Y219-X219)/2</f>
        <v>0</v>
      </c>
      <c r="Y221" s="369"/>
    </row>
    <row r="222" spans="1:26" ht="13.5" thickBot="1" x14ac:dyDescent="0.25">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row>
    <row r="223" spans="1:26" ht="13.5" thickBot="1" x14ac:dyDescent="0.25">
      <c r="A223" s="361" t="s">
        <v>377</v>
      </c>
      <c r="B223" s="359">
        <f>ROW(A223)</f>
        <v>223</v>
      </c>
      <c r="C223" s="363" t="s">
        <v>115</v>
      </c>
      <c r="D223" s="353">
        <f>SUM(B226:Y226)</f>
        <v>109.60639850000001</v>
      </c>
      <c r="E223" s="363" t="s">
        <v>114</v>
      </c>
      <c r="F223" s="354">
        <f>D223/g/J223</f>
        <v>194.31174666489383</v>
      </c>
      <c r="G223" s="363" t="s">
        <v>56</v>
      </c>
      <c r="H223" s="64">
        <v>0.14130000000000001</v>
      </c>
      <c r="I223" s="363" t="s">
        <v>271</v>
      </c>
      <c r="J223" s="355">
        <f>H223-L223</f>
        <v>5.7500000000000009E-2</v>
      </c>
      <c r="K223" s="363" t="s">
        <v>272</v>
      </c>
      <c r="L223" s="64">
        <v>8.3799999999999999E-2</v>
      </c>
      <c r="M223" s="363" t="s">
        <v>57</v>
      </c>
      <c r="N223" s="65">
        <v>71</v>
      </c>
      <c r="O223" s="363" t="s">
        <v>59</v>
      </c>
      <c r="P223" s="65">
        <v>71</v>
      </c>
      <c r="Q223" s="363" t="s">
        <v>60</v>
      </c>
      <c r="R223" s="65">
        <v>142</v>
      </c>
      <c r="S223" s="363" t="s">
        <v>61</v>
      </c>
      <c r="T223" s="65">
        <v>29</v>
      </c>
      <c r="U223" s="363" t="s">
        <v>54</v>
      </c>
      <c r="V223" s="66" t="s">
        <v>401</v>
      </c>
      <c r="W223" s="463" t="s">
        <v>394</v>
      </c>
      <c r="X223" s="465">
        <v>0.45</v>
      </c>
      <c r="Y223" s="463" t="s">
        <v>393</v>
      </c>
      <c r="Z223" s="358">
        <v>14</v>
      </c>
    </row>
    <row r="224" spans="1:26" x14ac:dyDescent="0.2">
      <c r="A224" s="362" t="s">
        <v>33</v>
      </c>
      <c r="B224" s="370">
        <v>0</v>
      </c>
      <c r="C224" s="371">
        <v>6.0000000000000001E-3</v>
      </c>
      <c r="D224" s="371">
        <v>1.0999999999999999E-2</v>
      </c>
      <c r="E224" s="371">
        <v>1.6E-2</v>
      </c>
      <c r="F224" s="371">
        <v>3.1E-2</v>
      </c>
      <c r="G224" s="371">
        <v>7.4999999999999997E-2</v>
      </c>
      <c r="H224" s="371">
        <v>0.122</v>
      </c>
      <c r="I224" s="371">
        <v>0.216</v>
      </c>
      <c r="J224" s="371">
        <v>0.25</v>
      </c>
      <c r="K224" s="371">
        <v>0.28699999999999998</v>
      </c>
      <c r="L224" s="371">
        <v>0.35399999999999998</v>
      </c>
      <c r="M224" s="371">
        <v>0.374</v>
      </c>
      <c r="N224" s="371">
        <v>0.4</v>
      </c>
      <c r="O224" s="371">
        <v>0.41299999999999998</v>
      </c>
      <c r="P224" s="371">
        <v>0.42</v>
      </c>
      <c r="Q224" s="371">
        <v>0.433</v>
      </c>
      <c r="R224" s="371">
        <v>0.44500000000000001</v>
      </c>
      <c r="S224" s="371">
        <v>0.45400000000000001</v>
      </c>
      <c r="T224" s="371">
        <f t="shared" ref="T224:X225" si="76">S224</f>
        <v>0.45400000000000001</v>
      </c>
      <c r="U224" s="371">
        <f t="shared" si="76"/>
        <v>0.45400000000000001</v>
      </c>
      <c r="V224" s="371">
        <f t="shared" si="76"/>
        <v>0.45400000000000001</v>
      </c>
      <c r="W224" s="371">
        <f t="shared" si="76"/>
        <v>0.45400000000000001</v>
      </c>
      <c r="X224" s="371">
        <v>2</v>
      </c>
      <c r="Y224" s="381">
        <v>1000</v>
      </c>
    </row>
    <row r="225" spans="1:26" x14ac:dyDescent="0.2">
      <c r="A225" s="378" t="s">
        <v>34</v>
      </c>
      <c r="B225" s="372">
        <v>0</v>
      </c>
      <c r="C225" s="373">
        <v>151.62100000000001</v>
      </c>
      <c r="D225" s="373">
        <v>198.07900000000001</v>
      </c>
      <c r="E225" s="373">
        <v>203.12100000000001</v>
      </c>
      <c r="F225" s="373">
        <v>201.68100000000001</v>
      </c>
      <c r="G225" s="373">
        <v>226.17</v>
      </c>
      <c r="H225" s="373">
        <v>250.3</v>
      </c>
      <c r="I225" s="373">
        <v>280.19200000000001</v>
      </c>
      <c r="J225" s="373">
        <v>287.03500000000003</v>
      </c>
      <c r="K225" s="373">
        <v>284.87400000000002</v>
      </c>
      <c r="L225" s="373">
        <v>269.74799999999999</v>
      </c>
      <c r="M225" s="373">
        <v>258.58300000000003</v>
      </c>
      <c r="N225" s="373">
        <v>233.37299999999999</v>
      </c>
      <c r="O225" s="373">
        <v>234.09399999999999</v>
      </c>
      <c r="P225" s="373">
        <v>227.61099999999999</v>
      </c>
      <c r="Q225" s="373">
        <v>137.935</v>
      </c>
      <c r="R225" s="373">
        <v>33.853999999999999</v>
      </c>
      <c r="S225" s="373">
        <v>0</v>
      </c>
      <c r="T225" s="373">
        <f t="shared" si="76"/>
        <v>0</v>
      </c>
      <c r="U225" s="373">
        <f t="shared" si="76"/>
        <v>0</v>
      </c>
      <c r="V225" s="373">
        <f t="shared" si="76"/>
        <v>0</v>
      </c>
      <c r="W225" s="373">
        <f t="shared" si="76"/>
        <v>0</v>
      </c>
      <c r="X225" s="373">
        <f t="shared" si="76"/>
        <v>0</v>
      </c>
      <c r="Y225" s="382">
        <v>0</v>
      </c>
    </row>
    <row r="226" spans="1:26" ht="13.5" thickBot="1" x14ac:dyDescent="0.25">
      <c r="A226" s="379" t="s">
        <v>116</v>
      </c>
      <c r="B226" s="374">
        <f t="shared" ref="B226:X226" si="77">(C225+B225)*(C224-B224)/2</f>
        <v>0.45486300000000002</v>
      </c>
      <c r="C226" s="375">
        <f t="shared" si="77"/>
        <v>0.87424999999999997</v>
      </c>
      <c r="D226" s="375">
        <f t="shared" si="77"/>
        <v>1.0030000000000003</v>
      </c>
      <c r="E226" s="375">
        <f t="shared" si="77"/>
        <v>3.0360149999999999</v>
      </c>
      <c r="F226" s="375">
        <f t="shared" si="77"/>
        <v>9.4127219999999987</v>
      </c>
      <c r="G226" s="375">
        <f t="shared" si="77"/>
        <v>11.197045000000001</v>
      </c>
      <c r="H226" s="375">
        <f t="shared" si="77"/>
        <v>24.933123999999999</v>
      </c>
      <c r="I226" s="375">
        <f t="shared" si="77"/>
        <v>9.6428590000000014</v>
      </c>
      <c r="J226" s="375">
        <f t="shared" si="77"/>
        <v>10.580316499999995</v>
      </c>
      <c r="K226" s="375">
        <f t="shared" si="77"/>
        <v>18.579837000000005</v>
      </c>
      <c r="L226" s="375">
        <f t="shared" si="77"/>
        <v>5.2833100000000046</v>
      </c>
      <c r="M226" s="375">
        <f t="shared" si="77"/>
        <v>6.3954280000000061</v>
      </c>
      <c r="N226" s="375">
        <f t="shared" si="77"/>
        <v>3.0385354999999898</v>
      </c>
      <c r="O226" s="375">
        <f t="shared" si="77"/>
        <v>1.6159675000000013</v>
      </c>
      <c r="P226" s="375">
        <f t="shared" si="77"/>
        <v>2.3760490000000019</v>
      </c>
      <c r="Q226" s="375">
        <f t="shared" si="77"/>
        <v>1.0307340000000009</v>
      </c>
      <c r="R226" s="375">
        <f t="shared" si="77"/>
        <v>0.15234300000000014</v>
      </c>
      <c r="S226" s="375">
        <f t="shared" si="77"/>
        <v>0</v>
      </c>
      <c r="T226" s="375">
        <f t="shared" si="77"/>
        <v>0</v>
      </c>
      <c r="U226" s="375">
        <f t="shared" si="77"/>
        <v>0</v>
      </c>
      <c r="V226" s="375">
        <f t="shared" si="77"/>
        <v>0</v>
      </c>
      <c r="W226" s="375">
        <f t="shared" si="77"/>
        <v>0</v>
      </c>
      <c r="X226" s="375">
        <f t="shared" si="77"/>
        <v>0</v>
      </c>
      <c r="Y226" s="369"/>
    </row>
    <row r="227" spans="1:26" ht="13.5" thickBot="1" x14ac:dyDescent="0.25">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row>
    <row r="228" spans="1:26" ht="13.5" thickBot="1" x14ac:dyDescent="0.25">
      <c r="A228" s="361" t="s">
        <v>378</v>
      </c>
      <c r="B228" s="359">
        <f>ROW(A228)</f>
        <v>228</v>
      </c>
      <c r="C228" s="363" t="s">
        <v>115</v>
      </c>
      <c r="D228" s="353">
        <f>SUM(B231:Y231)</f>
        <v>115.63</v>
      </c>
      <c r="E228" s="363" t="s">
        <v>114</v>
      </c>
      <c r="F228" s="354">
        <f>D228/g/J228</f>
        <v>199.77884897804037</v>
      </c>
      <c r="G228" s="363" t="s">
        <v>56</v>
      </c>
      <c r="H228" s="64">
        <v>0.14499999999999999</v>
      </c>
      <c r="I228" s="363" t="s">
        <v>271</v>
      </c>
      <c r="J228" s="355">
        <f>H228-L228</f>
        <v>5.8999999999999997E-2</v>
      </c>
      <c r="K228" s="363" t="s">
        <v>272</v>
      </c>
      <c r="L228" s="64">
        <v>8.5999999999999993E-2</v>
      </c>
      <c r="M228" s="363" t="s">
        <v>57</v>
      </c>
      <c r="N228" s="65">
        <v>71</v>
      </c>
      <c r="O228" s="363" t="s">
        <v>59</v>
      </c>
      <c r="P228" s="65">
        <v>71</v>
      </c>
      <c r="Q228" s="363" t="s">
        <v>60</v>
      </c>
      <c r="R228" s="65">
        <v>142</v>
      </c>
      <c r="S228" s="363" t="s">
        <v>61</v>
      </c>
      <c r="T228" s="65">
        <v>29</v>
      </c>
      <c r="U228" s="363" t="s">
        <v>54</v>
      </c>
      <c r="V228" s="66" t="s">
        <v>400</v>
      </c>
      <c r="W228" s="463" t="s">
        <v>394</v>
      </c>
      <c r="X228" s="465">
        <v>0.93</v>
      </c>
      <c r="Y228" s="463" t="s">
        <v>393</v>
      </c>
      <c r="Z228" s="358">
        <v>13</v>
      </c>
    </row>
    <row r="229" spans="1:26" x14ac:dyDescent="0.2">
      <c r="A229" s="362" t="s">
        <v>33</v>
      </c>
      <c r="B229" s="370">
        <v>0</v>
      </c>
      <c r="C229" s="371">
        <v>0.01</v>
      </c>
      <c r="D229" s="371">
        <v>0.02</v>
      </c>
      <c r="E229" s="371">
        <v>0.03</v>
      </c>
      <c r="F229" s="371">
        <v>0.04</v>
      </c>
      <c r="G229" s="371">
        <v>0.05</v>
      </c>
      <c r="H229" s="371">
        <v>0.1</v>
      </c>
      <c r="I229" s="371">
        <v>0.2</v>
      </c>
      <c r="J229" s="371">
        <v>0.3</v>
      </c>
      <c r="K229" s="371">
        <v>0.4</v>
      </c>
      <c r="L229" s="371">
        <v>0.6</v>
      </c>
      <c r="M229" s="371">
        <v>0.75</v>
      </c>
      <c r="N229" s="371">
        <v>0.81</v>
      </c>
      <c r="O229" s="371">
        <v>0.86</v>
      </c>
      <c r="P229" s="371">
        <v>0.9</v>
      </c>
      <c r="Q229" s="371">
        <v>0.95</v>
      </c>
      <c r="R229" s="371">
        <v>1</v>
      </c>
      <c r="S229" s="371">
        <v>1</v>
      </c>
      <c r="T229" s="371">
        <v>1</v>
      </c>
      <c r="U229" s="371">
        <v>1</v>
      </c>
      <c r="V229" s="371">
        <v>1</v>
      </c>
      <c r="W229" s="371">
        <v>1</v>
      </c>
      <c r="X229" s="371">
        <v>2</v>
      </c>
      <c r="Y229" s="381">
        <v>1000</v>
      </c>
    </row>
    <row r="230" spans="1:26" x14ac:dyDescent="0.2">
      <c r="A230" s="378" t="s">
        <v>34</v>
      </c>
      <c r="B230" s="372">
        <v>0</v>
      </c>
      <c r="C230" s="376">
        <v>55</v>
      </c>
      <c r="D230" s="376">
        <v>168</v>
      </c>
      <c r="E230" s="376">
        <v>157</v>
      </c>
      <c r="F230" s="376">
        <v>148</v>
      </c>
      <c r="G230" s="376">
        <v>125</v>
      </c>
      <c r="H230" s="376">
        <v>135</v>
      </c>
      <c r="I230" s="376">
        <v>141</v>
      </c>
      <c r="J230" s="376">
        <v>142</v>
      </c>
      <c r="K230" s="376">
        <v>141</v>
      </c>
      <c r="L230" s="376">
        <v>133</v>
      </c>
      <c r="M230" s="376">
        <v>127</v>
      </c>
      <c r="N230" s="376">
        <v>128</v>
      </c>
      <c r="O230" s="376">
        <v>60</v>
      </c>
      <c r="P230" s="376">
        <v>15</v>
      </c>
      <c r="Q230" s="376">
        <v>0</v>
      </c>
      <c r="R230" s="376">
        <v>0</v>
      </c>
      <c r="S230" s="376">
        <v>0</v>
      </c>
      <c r="T230" s="376">
        <v>0</v>
      </c>
      <c r="U230" s="376">
        <v>0</v>
      </c>
      <c r="V230" s="376">
        <v>0</v>
      </c>
      <c r="W230" s="376">
        <v>0</v>
      </c>
      <c r="X230" s="373">
        <v>0</v>
      </c>
      <c r="Y230" s="382">
        <v>0</v>
      </c>
    </row>
    <row r="231" spans="1:26" ht="13.5" thickBot="1" x14ac:dyDescent="0.25">
      <c r="A231" s="379" t="s">
        <v>116</v>
      </c>
      <c r="B231" s="374">
        <f t="shared" ref="B231:X231" si="78">(C230+B230)*(C229-B229)/2</f>
        <v>0.27500000000000002</v>
      </c>
      <c r="C231" s="375">
        <f t="shared" si="78"/>
        <v>1.115</v>
      </c>
      <c r="D231" s="375">
        <f t="shared" si="78"/>
        <v>1.6249999999999998</v>
      </c>
      <c r="E231" s="375">
        <f t="shared" si="78"/>
        <v>1.5250000000000004</v>
      </c>
      <c r="F231" s="375">
        <f t="shared" si="78"/>
        <v>1.3650000000000002</v>
      </c>
      <c r="G231" s="375">
        <f t="shared" si="78"/>
        <v>6.5</v>
      </c>
      <c r="H231" s="375">
        <f t="shared" si="78"/>
        <v>13.8</v>
      </c>
      <c r="I231" s="375">
        <f t="shared" si="78"/>
        <v>14.149999999999997</v>
      </c>
      <c r="J231" s="375">
        <f t="shared" si="78"/>
        <v>14.150000000000004</v>
      </c>
      <c r="K231" s="375">
        <f t="shared" si="78"/>
        <v>27.399999999999995</v>
      </c>
      <c r="L231" s="375">
        <f t="shared" si="78"/>
        <v>19.500000000000004</v>
      </c>
      <c r="M231" s="375">
        <f t="shared" si="78"/>
        <v>7.6500000000000066</v>
      </c>
      <c r="N231" s="375">
        <f t="shared" si="78"/>
        <v>4.699999999999994</v>
      </c>
      <c r="O231" s="375">
        <f t="shared" si="78"/>
        <v>1.5000000000000013</v>
      </c>
      <c r="P231" s="375">
        <f t="shared" si="78"/>
        <v>0.3749999999999995</v>
      </c>
      <c r="Q231" s="375">
        <f t="shared" si="78"/>
        <v>0</v>
      </c>
      <c r="R231" s="375">
        <f t="shared" si="78"/>
        <v>0</v>
      </c>
      <c r="S231" s="375">
        <f t="shared" si="78"/>
        <v>0</v>
      </c>
      <c r="T231" s="375">
        <f t="shared" si="78"/>
        <v>0</v>
      </c>
      <c r="U231" s="375">
        <f t="shared" si="78"/>
        <v>0</v>
      </c>
      <c r="V231" s="375">
        <f t="shared" si="78"/>
        <v>0</v>
      </c>
      <c r="W231" s="375">
        <f t="shared" si="78"/>
        <v>0</v>
      </c>
      <c r="X231" s="375">
        <f t="shared" si="78"/>
        <v>0</v>
      </c>
      <c r="Y231" s="369"/>
    </row>
    <row r="232" spans="1:26" ht="13.5" thickBot="1" x14ac:dyDescent="0.25">
      <c r="A232" s="6" t="s">
        <v>386</v>
      </c>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row>
    <row r="233" spans="1:26" ht="13.5" thickBot="1" x14ac:dyDescent="0.25">
      <c r="A233" s="361" t="s">
        <v>387</v>
      </c>
      <c r="B233" s="359">
        <f>ROW(A233)</f>
        <v>233</v>
      </c>
      <c r="C233" s="363" t="s">
        <v>115</v>
      </c>
      <c r="D233" s="353">
        <f>SUM(B236:Y236)</f>
        <v>115.63</v>
      </c>
      <c r="E233" s="363" t="s">
        <v>114</v>
      </c>
      <c r="F233" s="354">
        <f>D233/g/J233</f>
        <v>125.39310733728064</v>
      </c>
      <c r="G233" s="363" t="s">
        <v>56</v>
      </c>
      <c r="H233" s="64">
        <v>0.2</v>
      </c>
      <c r="I233" s="363" t="s">
        <v>271</v>
      </c>
      <c r="J233" s="355">
        <f>H233-L233</f>
        <v>9.4000000000000014E-2</v>
      </c>
      <c r="K233" s="363" t="s">
        <v>272</v>
      </c>
      <c r="L233" s="64">
        <v>0.106</v>
      </c>
      <c r="M233" s="363" t="s">
        <v>57</v>
      </c>
      <c r="N233" s="65">
        <v>93</v>
      </c>
      <c r="O233" s="363" t="s">
        <v>59</v>
      </c>
      <c r="P233" s="65">
        <v>93</v>
      </c>
      <c r="Q233" s="363" t="s">
        <v>60</v>
      </c>
      <c r="R233" s="65">
        <v>187</v>
      </c>
      <c r="S233" s="363" t="s">
        <v>61</v>
      </c>
      <c r="T233" s="65">
        <v>29</v>
      </c>
      <c r="U233" s="363" t="s">
        <v>54</v>
      </c>
      <c r="V233" s="66" t="s">
        <v>119</v>
      </c>
      <c r="W233" s="463" t="s">
        <v>394</v>
      </c>
      <c r="X233" s="465">
        <v>0.96</v>
      </c>
      <c r="Y233" s="463" t="s">
        <v>393</v>
      </c>
      <c r="Z233" s="358">
        <v>14</v>
      </c>
    </row>
    <row r="234" spans="1:26" x14ac:dyDescent="0.2">
      <c r="A234" s="362" t="s">
        <v>33</v>
      </c>
      <c r="B234" s="370">
        <v>0</v>
      </c>
      <c r="C234" s="371">
        <v>0.01</v>
      </c>
      <c r="D234" s="371">
        <v>0.02</v>
      </c>
      <c r="E234" s="371">
        <v>0.03</v>
      </c>
      <c r="F234" s="371">
        <v>0.04</v>
      </c>
      <c r="G234" s="371">
        <v>0.05</v>
      </c>
      <c r="H234" s="371">
        <v>0.1</v>
      </c>
      <c r="I234" s="371">
        <v>0.2</v>
      </c>
      <c r="J234" s="371">
        <v>0.3</v>
      </c>
      <c r="K234" s="371">
        <v>0.4</v>
      </c>
      <c r="L234" s="371">
        <v>0.6</v>
      </c>
      <c r="M234" s="371">
        <v>0.75</v>
      </c>
      <c r="N234" s="371">
        <v>0.81</v>
      </c>
      <c r="O234" s="371">
        <v>0.86</v>
      </c>
      <c r="P234" s="371">
        <v>0.9</v>
      </c>
      <c r="Q234" s="371">
        <v>0.95</v>
      </c>
      <c r="R234" s="371">
        <v>1</v>
      </c>
      <c r="S234" s="371">
        <f t="shared" ref="S234:X235" si="79">R234</f>
        <v>1</v>
      </c>
      <c r="T234" s="371">
        <f t="shared" si="79"/>
        <v>1</v>
      </c>
      <c r="U234" s="371">
        <f t="shared" si="79"/>
        <v>1</v>
      </c>
      <c r="V234" s="371">
        <f t="shared" si="79"/>
        <v>1</v>
      </c>
      <c r="W234" s="371">
        <f t="shared" si="79"/>
        <v>1</v>
      </c>
      <c r="X234" s="371">
        <v>2</v>
      </c>
      <c r="Y234" s="381">
        <v>1000</v>
      </c>
    </row>
    <row r="235" spans="1:26" x14ac:dyDescent="0.2">
      <c r="A235" s="378" t="s">
        <v>34</v>
      </c>
      <c r="B235" s="372">
        <v>0</v>
      </c>
      <c r="C235" s="373">
        <v>55</v>
      </c>
      <c r="D235" s="373">
        <v>168</v>
      </c>
      <c r="E235" s="373">
        <v>157</v>
      </c>
      <c r="F235" s="373">
        <v>148</v>
      </c>
      <c r="G235" s="373">
        <v>125</v>
      </c>
      <c r="H235" s="373">
        <v>135</v>
      </c>
      <c r="I235" s="373">
        <v>141</v>
      </c>
      <c r="J235" s="373">
        <v>142</v>
      </c>
      <c r="K235" s="373">
        <v>141</v>
      </c>
      <c r="L235" s="373">
        <v>133</v>
      </c>
      <c r="M235" s="373">
        <v>127</v>
      </c>
      <c r="N235" s="373">
        <v>128</v>
      </c>
      <c r="O235" s="373">
        <v>60</v>
      </c>
      <c r="P235" s="373">
        <v>15</v>
      </c>
      <c r="Q235" s="373">
        <v>0</v>
      </c>
      <c r="R235" s="373">
        <v>0</v>
      </c>
      <c r="S235" s="373">
        <f t="shared" si="79"/>
        <v>0</v>
      </c>
      <c r="T235" s="373">
        <f t="shared" si="79"/>
        <v>0</v>
      </c>
      <c r="U235" s="373">
        <f t="shared" si="79"/>
        <v>0</v>
      </c>
      <c r="V235" s="373">
        <f t="shared" si="79"/>
        <v>0</v>
      </c>
      <c r="W235" s="373">
        <f t="shared" si="79"/>
        <v>0</v>
      </c>
      <c r="X235" s="373">
        <f t="shared" si="79"/>
        <v>0</v>
      </c>
      <c r="Y235" s="382">
        <v>0</v>
      </c>
    </row>
    <row r="236" spans="1:26" ht="13.5" thickBot="1" x14ac:dyDescent="0.25">
      <c r="A236" s="379" t="s">
        <v>116</v>
      </c>
      <c r="B236" s="374">
        <f t="shared" ref="B236:X236" si="80">(C235+B235)*(C234-B234)/2</f>
        <v>0.27500000000000002</v>
      </c>
      <c r="C236" s="375">
        <f t="shared" si="80"/>
        <v>1.115</v>
      </c>
      <c r="D236" s="375">
        <f t="shared" si="80"/>
        <v>1.6249999999999998</v>
      </c>
      <c r="E236" s="375">
        <f t="shared" si="80"/>
        <v>1.5250000000000004</v>
      </c>
      <c r="F236" s="375">
        <f t="shared" si="80"/>
        <v>1.3650000000000002</v>
      </c>
      <c r="G236" s="375">
        <f t="shared" si="80"/>
        <v>6.5</v>
      </c>
      <c r="H236" s="375">
        <f t="shared" si="80"/>
        <v>13.8</v>
      </c>
      <c r="I236" s="375">
        <f t="shared" si="80"/>
        <v>14.149999999999997</v>
      </c>
      <c r="J236" s="375">
        <f t="shared" si="80"/>
        <v>14.150000000000004</v>
      </c>
      <c r="K236" s="375">
        <f t="shared" si="80"/>
        <v>27.399999999999995</v>
      </c>
      <c r="L236" s="375">
        <f t="shared" si="80"/>
        <v>19.500000000000004</v>
      </c>
      <c r="M236" s="375">
        <f t="shared" si="80"/>
        <v>7.6500000000000066</v>
      </c>
      <c r="N236" s="375">
        <f t="shared" si="80"/>
        <v>4.699999999999994</v>
      </c>
      <c r="O236" s="375">
        <f t="shared" si="80"/>
        <v>1.5000000000000013</v>
      </c>
      <c r="P236" s="375">
        <f t="shared" si="80"/>
        <v>0.3749999999999995</v>
      </c>
      <c r="Q236" s="375">
        <f t="shared" si="80"/>
        <v>0</v>
      </c>
      <c r="R236" s="375">
        <f t="shared" si="80"/>
        <v>0</v>
      </c>
      <c r="S236" s="375">
        <f t="shared" si="80"/>
        <v>0</v>
      </c>
      <c r="T236" s="375">
        <f t="shared" si="80"/>
        <v>0</v>
      </c>
      <c r="U236" s="375">
        <f t="shared" si="80"/>
        <v>0</v>
      </c>
      <c r="V236" s="375">
        <f t="shared" si="80"/>
        <v>0</v>
      </c>
      <c r="W236" s="375">
        <f t="shared" si="80"/>
        <v>0</v>
      </c>
      <c r="X236" s="375">
        <f t="shared" si="80"/>
        <v>0</v>
      </c>
      <c r="Y236" s="369"/>
    </row>
    <row r="237" spans="1:26" ht="13.5" thickBot="1" x14ac:dyDescent="0.25">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row>
    <row r="238" spans="1:26" ht="13.5" thickBot="1" x14ac:dyDescent="0.25">
      <c r="A238" s="361" t="s">
        <v>392</v>
      </c>
      <c r="B238" s="359">
        <f>ROW(A238)</f>
        <v>238</v>
      </c>
      <c r="C238" s="363" t="s">
        <v>115</v>
      </c>
      <c r="D238" s="353">
        <f>SUM(B241:Y241)</f>
        <v>158.04815100000002</v>
      </c>
      <c r="E238" s="363" t="s">
        <v>114</v>
      </c>
      <c r="F238" s="354">
        <v>198</v>
      </c>
      <c r="G238" s="363" t="s">
        <v>56</v>
      </c>
      <c r="H238" s="64">
        <v>0.19450000000000001</v>
      </c>
      <c r="I238" s="363" t="s">
        <v>271</v>
      </c>
      <c r="J238" s="355">
        <f>H238-L238</f>
        <v>8.9600000000000013E-2</v>
      </c>
      <c r="K238" s="363" t="s">
        <v>272</v>
      </c>
      <c r="L238" s="64">
        <v>0.10489999999999999</v>
      </c>
      <c r="M238" s="363" t="s">
        <v>57</v>
      </c>
      <c r="N238" s="65">
        <v>93</v>
      </c>
      <c r="O238" s="363" t="s">
        <v>59</v>
      </c>
      <c r="P238" s="65">
        <v>93</v>
      </c>
      <c r="Q238" s="363" t="s">
        <v>60</v>
      </c>
      <c r="R238" s="65">
        <v>187</v>
      </c>
      <c r="S238" s="363" t="s">
        <v>61</v>
      </c>
      <c r="T238" s="65">
        <v>29</v>
      </c>
      <c r="U238" s="363" t="s">
        <v>54</v>
      </c>
      <c r="V238" s="66" t="s">
        <v>119</v>
      </c>
      <c r="W238" s="463" t="s">
        <v>394</v>
      </c>
      <c r="X238" s="465">
        <v>1.27</v>
      </c>
      <c r="Y238" s="463" t="s">
        <v>393</v>
      </c>
      <c r="Z238" s="358">
        <v>14</v>
      </c>
    </row>
    <row r="239" spans="1:26" x14ac:dyDescent="0.2">
      <c r="A239" s="362" t="s">
        <v>33</v>
      </c>
      <c r="B239" s="471">
        <v>0</v>
      </c>
      <c r="C239" s="471">
        <v>4.0000000000000001E-3</v>
      </c>
      <c r="D239" s="471">
        <v>2.1999999999999999E-2</v>
      </c>
      <c r="E239" s="471">
        <v>3.9E-2</v>
      </c>
      <c r="F239" s="471">
        <v>0.122</v>
      </c>
      <c r="G239" s="471">
        <v>0.23599999999999999</v>
      </c>
      <c r="H239" s="471">
        <v>0.58899999999999997</v>
      </c>
      <c r="I239" s="471">
        <v>0.80100000000000005</v>
      </c>
      <c r="J239" s="471">
        <v>1.0680000000000001</v>
      </c>
      <c r="K239" s="471">
        <v>1.1180000000000001</v>
      </c>
      <c r="L239" s="471">
        <v>1.145</v>
      </c>
      <c r="M239" s="471">
        <v>1.1739999999999999</v>
      </c>
      <c r="N239" s="471">
        <v>1.2110000000000001</v>
      </c>
      <c r="O239" s="471">
        <v>1.2470000000000001</v>
      </c>
      <c r="P239" s="471">
        <v>1.2989999999999999</v>
      </c>
      <c r="Q239" s="371">
        <v>2</v>
      </c>
      <c r="R239" s="371">
        <v>2</v>
      </c>
      <c r="S239" s="371">
        <f t="shared" ref="S239:X240" si="81">R239</f>
        <v>2</v>
      </c>
      <c r="T239" s="371">
        <f t="shared" si="81"/>
        <v>2</v>
      </c>
      <c r="U239" s="371">
        <f t="shared" si="81"/>
        <v>2</v>
      </c>
      <c r="V239" s="371">
        <f t="shared" si="81"/>
        <v>2</v>
      </c>
      <c r="W239" s="371">
        <f t="shared" si="81"/>
        <v>2</v>
      </c>
      <c r="X239" s="371">
        <f t="shared" si="81"/>
        <v>2</v>
      </c>
      <c r="Y239" s="381">
        <v>1000</v>
      </c>
    </row>
    <row r="240" spans="1:26" x14ac:dyDescent="0.2">
      <c r="A240" s="378" t="s">
        <v>34</v>
      </c>
      <c r="B240" s="471">
        <v>0</v>
      </c>
      <c r="C240" s="471">
        <v>15.683</v>
      </c>
      <c r="D240" s="471">
        <v>170.834</v>
      </c>
      <c r="E240" s="471">
        <v>116.877</v>
      </c>
      <c r="F240" s="471">
        <v>142.642</v>
      </c>
      <c r="G240" s="471">
        <v>149.73699999999999</v>
      </c>
      <c r="H240" s="471">
        <v>142.642</v>
      </c>
      <c r="I240" s="471">
        <v>131.25299999999999</v>
      </c>
      <c r="J240" s="471">
        <v>122.104</v>
      </c>
      <c r="K240" s="471">
        <v>107.91500000000001</v>
      </c>
      <c r="L240" s="471">
        <v>78.415999999999997</v>
      </c>
      <c r="M240" s="471">
        <v>43.128999999999998</v>
      </c>
      <c r="N240" s="471">
        <v>21.471</v>
      </c>
      <c r="O240" s="471">
        <v>8.7750000000000004</v>
      </c>
      <c r="P240" s="471">
        <v>0</v>
      </c>
      <c r="Q240" s="373">
        <v>0</v>
      </c>
      <c r="R240" s="373">
        <v>0</v>
      </c>
      <c r="S240" s="373">
        <f t="shared" si="81"/>
        <v>0</v>
      </c>
      <c r="T240" s="373">
        <f t="shared" si="81"/>
        <v>0</v>
      </c>
      <c r="U240" s="373">
        <f t="shared" si="81"/>
        <v>0</v>
      </c>
      <c r="V240" s="373">
        <f t="shared" si="81"/>
        <v>0</v>
      </c>
      <c r="W240" s="373">
        <f t="shared" si="81"/>
        <v>0</v>
      </c>
      <c r="X240" s="373">
        <f t="shared" si="81"/>
        <v>0</v>
      </c>
      <c r="Y240" s="382">
        <v>0</v>
      </c>
    </row>
    <row r="241" spans="1:26" ht="13.5" thickBot="1" x14ac:dyDescent="0.25">
      <c r="A241" s="379" t="s">
        <v>116</v>
      </c>
      <c r="B241" s="374">
        <f t="shared" ref="B241:X241" si="82">(C240+B240)*(C239-B239)/2</f>
        <v>3.1365999999999998E-2</v>
      </c>
      <c r="C241" s="375">
        <f t="shared" si="82"/>
        <v>1.6786529999999997</v>
      </c>
      <c r="D241" s="375">
        <f t="shared" si="82"/>
        <v>2.4455435000000003</v>
      </c>
      <c r="E241" s="375">
        <f t="shared" si="82"/>
        <v>10.770038499999998</v>
      </c>
      <c r="F241" s="375">
        <f t="shared" si="82"/>
        <v>16.665603000000001</v>
      </c>
      <c r="G241" s="375">
        <f t="shared" si="82"/>
        <v>51.604893500000003</v>
      </c>
      <c r="H241" s="375">
        <f t="shared" si="82"/>
        <v>29.03287000000001</v>
      </c>
      <c r="I241" s="375">
        <f t="shared" si="82"/>
        <v>33.823159499999996</v>
      </c>
      <c r="J241" s="375">
        <f t="shared" si="82"/>
        <v>5.7504750000000051</v>
      </c>
      <c r="K241" s="375">
        <f t="shared" si="82"/>
        <v>2.5154684999999923</v>
      </c>
      <c r="L241" s="375">
        <f t="shared" si="82"/>
        <v>1.7624024999999945</v>
      </c>
      <c r="M241" s="375">
        <f t="shared" si="82"/>
        <v>1.1951000000000045</v>
      </c>
      <c r="N241" s="375">
        <f t="shared" si="82"/>
        <v>0.54442800000000058</v>
      </c>
      <c r="O241" s="375">
        <f t="shared" si="82"/>
        <v>0.22814999999999924</v>
      </c>
      <c r="P241" s="375">
        <f t="shared" si="82"/>
        <v>0</v>
      </c>
      <c r="Q241" s="375">
        <f t="shared" si="82"/>
        <v>0</v>
      </c>
      <c r="R241" s="375">
        <f t="shared" si="82"/>
        <v>0</v>
      </c>
      <c r="S241" s="375">
        <f t="shared" si="82"/>
        <v>0</v>
      </c>
      <c r="T241" s="375">
        <f t="shared" si="82"/>
        <v>0</v>
      </c>
      <c r="U241" s="375">
        <f t="shared" si="82"/>
        <v>0</v>
      </c>
      <c r="V241" s="375">
        <f t="shared" si="82"/>
        <v>0</v>
      </c>
      <c r="W241" s="375">
        <f t="shared" si="82"/>
        <v>0</v>
      </c>
      <c r="X241" s="375">
        <f t="shared" si="82"/>
        <v>0</v>
      </c>
      <c r="Y241" s="369"/>
    </row>
    <row r="242" spans="1:26" ht="13.5" thickBot="1" x14ac:dyDescent="0.25">
      <c r="A242" s="6" t="s">
        <v>374</v>
      </c>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row>
    <row r="243" spans="1:26" ht="13.5" thickBot="1" x14ac:dyDescent="0.25">
      <c r="A243" s="361" t="s">
        <v>379</v>
      </c>
      <c r="B243" s="359">
        <f>ROW(A243)</f>
        <v>243</v>
      </c>
      <c r="C243" s="363" t="s">
        <v>115</v>
      </c>
      <c r="D243" s="353">
        <f>SUM(B246:Y246)</f>
        <v>136.75235000000001</v>
      </c>
      <c r="E243" s="363" t="s">
        <v>114</v>
      </c>
      <c r="F243" s="354">
        <f>D243/g/J243</f>
        <v>152.35078513616639</v>
      </c>
      <c r="G243" s="363" t="s">
        <v>56</v>
      </c>
      <c r="H243" s="64">
        <v>0.21249999999999999</v>
      </c>
      <c r="I243" s="363" t="s">
        <v>271</v>
      </c>
      <c r="J243" s="355">
        <f>H243-L243</f>
        <v>9.1499999999999998E-2</v>
      </c>
      <c r="K243" s="363" t="s">
        <v>272</v>
      </c>
      <c r="L243" s="64">
        <v>0.121</v>
      </c>
      <c r="M243" s="363" t="s">
        <v>57</v>
      </c>
      <c r="N243" s="65">
        <v>63</v>
      </c>
      <c r="O243" s="363" t="s">
        <v>59</v>
      </c>
      <c r="P243" s="65">
        <v>114</v>
      </c>
      <c r="Q243" s="363" t="s">
        <v>60</v>
      </c>
      <c r="R243" s="65">
        <v>127</v>
      </c>
      <c r="S243" s="363" t="s">
        <v>61</v>
      </c>
      <c r="T243" s="65">
        <v>38</v>
      </c>
      <c r="U243" s="363" t="s">
        <v>54</v>
      </c>
      <c r="V243" s="66" t="s">
        <v>119</v>
      </c>
      <c r="W243" s="463" t="s">
        <v>394</v>
      </c>
      <c r="X243" s="465">
        <v>2.36</v>
      </c>
      <c r="Y243" s="463" t="s">
        <v>393</v>
      </c>
      <c r="Z243" s="358">
        <v>13</v>
      </c>
    </row>
    <row r="244" spans="1:26" x14ac:dyDescent="0.2">
      <c r="A244" s="362" t="s">
        <v>33</v>
      </c>
      <c r="B244" s="370">
        <v>0</v>
      </c>
      <c r="C244" s="371">
        <v>2.9000000000000001E-2</v>
      </c>
      <c r="D244" s="371">
        <v>4.5999999999999999E-2</v>
      </c>
      <c r="E244" s="371">
        <v>5.8000000000000003E-2</v>
      </c>
      <c r="F244" s="371">
        <v>8.4000000000000005E-2</v>
      </c>
      <c r="G244" s="371">
        <v>0.17100000000000001</v>
      </c>
      <c r="H244" s="371">
        <v>0.28000000000000003</v>
      </c>
      <c r="I244" s="371">
        <v>0.45500000000000002</v>
      </c>
      <c r="J244" s="371">
        <v>0.58599999999999997</v>
      </c>
      <c r="K244" s="371">
        <v>0.74099999999999999</v>
      </c>
      <c r="L244" s="371">
        <v>0.95199999999999996</v>
      </c>
      <c r="M244" s="371">
        <v>1.2170000000000001</v>
      </c>
      <c r="N244" s="371">
        <v>1.43</v>
      </c>
      <c r="O244" s="371">
        <v>1.6259999999999999</v>
      </c>
      <c r="P244" s="371">
        <v>1.8069999999999999</v>
      </c>
      <c r="Q244" s="371">
        <v>1.9590000000000001</v>
      </c>
      <c r="R244" s="371">
        <v>2.1040000000000001</v>
      </c>
      <c r="S244" s="371">
        <v>2.1680000000000001</v>
      </c>
      <c r="T244" s="371">
        <v>2.21</v>
      </c>
      <c r="U244" s="371">
        <v>2.2469999999999999</v>
      </c>
      <c r="V244" s="371">
        <v>2.3290000000000002</v>
      </c>
      <c r="W244" s="371">
        <f>2.4</f>
        <v>2.4</v>
      </c>
      <c r="X244" s="371">
        <f>W244</f>
        <v>2.4</v>
      </c>
      <c r="Y244" s="381">
        <v>1000</v>
      </c>
    </row>
    <row r="245" spans="1:26" x14ac:dyDescent="0.2">
      <c r="A245" s="378" t="s">
        <v>34</v>
      </c>
      <c r="B245" s="372">
        <v>0</v>
      </c>
      <c r="C245" s="373">
        <v>90.25</v>
      </c>
      <c r="D245" s="373">
        <v>69.17</v>
      </c>
      <c r="E245" s="373">
        <v>59.947000000000003</v>
      </c>
      <c r="F245" s="373">
        <v>47.167000000000002</v>
      </c>
      <c r="G245" s="373">
        <v>57.970999999999997</v>
      </c>
      <c r="H245" s="373">
        <v>59.552</v>
      </c>
      <c r="I245" s="373">
        <v>61.265000000000001</v>
      </c>
      <c r="J245" s="373">
        <v>61.66</v>
      </c>
      <c r="K245" s="373">
        <v>62.319000000000003</v>
      </c>
      <c r="L245" s="373">
        <v>63.768000000000001</v>
      </c>
      <c r="M245" s="373">
        <v>64.69</v>
      </c>
      <c r="N245" s="373">
        <v>63.768000000000001</v>
      </c>
      <c r="O245" s="373">
        <v>61.265000000000001</v>
      </c>
      <c r="P245" s="373">
        <v>58.103000000000002</v>
      </c>
      <c r="Q245" s="373">
        <v>53.887</v>
      </c>
      <c r="R245" s="373">
        <v>48.353000000000002</v>
      </c>
      <c r="S245" s="373">
        <v>47.563000000000002</v>
      </c>
      <c r="T245" s="373">
        <v>44.005000000000003</v>
      </c>
      <c r="U245" s="373">
        <v>37.286000000000001</v>
      </c>
      <c r="V245" s="373">
        <v>22.265999999999998</v>
      </c>
      <c r="W245" s="373">
        <v>0</v>
      </c>
      <c r="X245" s="373">
        <f>W245</f>
        <v>0</v>
      </c>
      <c r="Y245" s="382">
        <v>0</v>
      </c>
    </row>
    <row r="246" spans="1:26" ht="13.5" thickBot="1" x14ac:dyDescent="0.25">
      <c r="A246" s="379" t="s">
        <v>116</v>
      </c>
      <c r="B246" s="374">
        <f t="shared" ref="B246:X246" si="83">(C245+B245)*(C244-B244)/2</f>
        <v>1.3086250000000001</v>
      </c>
      <c r="C246" s="375">
        <f t="shared" si="83"/>
        <v>1.35507</v>
      </c>
      <c r="D246" s="375">
        <f t="shared" si="83"/>
        <v>0.77470200000000033</v>
      </c>
      <c r="E246" s="375">
        <f t="shared" si="83"/>
        <v>1.3924820000000002</v>
      </c>
      <c r="F246" s="375">
        <f t="shared" si="83"/>
        <v>4.5735030000000005</v>
      </c>
      <c r="G246" s="375">
        <f t="shared" si="83"/>
        <v>6.4050035000000003</v>
      </c>
      <c r="H246" s="375">
        <f t="shared" si="83"/>
        <v>10.5714875</v>
      </c>
      <c r="I246" s="375">
        <f t="shared" si="83"/>
        <v>8.0515874999999966</v>
      </c>
      <c r="J246" s="375">
        <f t="shared" si="83"/>
        <v>9.6083725000000015</v>
      </c>
      <c r="K246" s="375">
        <f t="shared" si="83"/>
        <v>13.302178499999998</v>
      </c>
      <c r="L246" s="375">
        <f t="shared" si="83"/>
        <v>17.020685000000007</v>
      </c>
      <c r="M246" s="375">
        <f t="shared" si="83"/>
        <v>13.68077699999999</v>
      </c>
      <c r="N246" s="375">
        <f t="shared" si="83"/>
        <v>12.253233999999997</v>
      </c>
      <c r="O246" s="375">
        <f t="shared" si="83"/>
        <v>10.802804000000002</v>
      </c>
      <c r="P246" s="375">
        <f t="shared" si="83"/>
        <v>8.5112400000000079</v>
      </c>
      <c r="Q246" s="375">
        <f t="shared" si="83"/>
        <v>7.4124000000000017</v>
      </c>
      <c r="R246" s="375">
        <f t="shared" si="83"/>
        <v>3.0693120000000027</v>
      </c>
      <c r="S246" s="375">
        <f t="shared" si="83"/>
        <v>1.9229279999999918</v>
      </c>
      <c r="T246" s="375">
        <f t="shared" si="83"/>
        <v>1.5038834999999968</v>
      </c>
      <c r="U246" s="375">
        <f t="shared" si="83"/>
        <v>2.4416320000000087</v>
      </c>
      <c r="V246" s="375">
        <f t="shared" si="83"/>
        <v>0.7904429999999969</v>
      </c>
      <c r="W246" s="375">
        <f t="shared" si="83"/>
        <v>0</v>
      </c>
      <c r="X246" s="375">
        <f t="shared" si="83"/>
        <v>0</v>
      </c>
      <c r="Y246" s="369"/>
    </row>
    <row r="247" spans="1:26" ht="13.5" thickBot="1" x14ac:dyDescent="0.25">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row>
    <row r="248" spans="1:26" ht="13.5" thickBot="1" x14ac:dyDescent="0.25">
      <c r="A248" s="361" t="s">
        <v>380</v>
      </c>
      <c r="B248" s="359">
        <f>ROW(A248)</f>
        <v>248</v>
      </c>
      <c r="C248" s="363" t="s">
        <v>115</v>
      </c>
      <c r="D248" s="353">
        <f>SUM(B251:Y251)</f>
        <v>127.06944999999999</v>
      </c>
      <c r="E248" s="363" t="s">
        <v>114</v>
      </c>
      <c r="F248" s="354">
        <f>D248/g/J248</f>
        <v>180.65624835614466</v>
      </c>
      <c r="G248" s="363" t="s">
        <v>56</v>
      </c>
      <c r="H248" s="64">
        <v>0.18840000000000001</v>
      </c>
      <c r="I248" s="363" t="s">
        <v>271</v>
      </c>
      <c r="J248" s="355">
        <f>H248-L248</f>
        <v>7.1700000000000014E-2</v>
      </c>
      <c r="K248" s="363" t="s">
        <v>272</v>
      </c>
      <c r="L248" s="64">
        <v>0.1167</v>
      </c>
      <c r="M248" s="363" t="s">
        <v>57</v>
      </c>
      <c r="N248" s="65">
        <v>63</v>
      </c>
      <c r="O248" s="363" t="s">
        <v>59</v>
      </c>
      <c r="P248" s="65">
        <v>114</v>
      </c>
      <c r="Q248" s="363" t="s">
        <v>60</v>
      </c>
      <c r="R248" s="65">
        <v>127</v>
      </c>
      <c r="S248" s="363" t="s">
        <v>61</v>
      </c>
      <c r="T248" s="65">
        <v>38</v>
      </c>
      <c r="U248" s="363" t="s">
        <v>54</v>
      </c>
      <c r="V248" s="66" t="s">
        <v>119</v>
      </c>
      <c r="W248" s="463" t="s">
        <v>394</v>
      </c>
      <c r="X248" s="465">
        <v>0.69</v>
      </c>
      <c r="Y248" s="463" t="s">
        <v>393</v>
      </c>
      <c r="Z248" s="358">
        <v>12</v>
      </c>
    </row>
    <row r="249" spans="1:26" x14ac:dyDescent="0.2">
      <c r="A249" s="362" t="s">
        <v>33</v>
      </c>
      <c r="B249" s="370">
        <v>0</v>
      </c>
      <c r="C249" s="371">
        <v>0.01</v>
      </c>
      <c r="D249" s="371">
        <v>0.02</v>
      </c>
      <c r="E249" s="371">
        <v>0.05</v>
      </c>
      <c r="F249" s="371">
        <v>0.1</v>
      </c>
      <c r="G249" s="371">
        <v>0.2</v>
      </c>
      <c r="H249" s="371">
        <v>0.3</v>
      </c>
      <c r="I249" s="371">
        <v>0.35</v>
      </c>
      <c r="J249" s="371">
        <v>0.4</v>
      </c>
      <c r="K249" s="371">
        <v>0.45</v>
      </c>
      <c r="L249" s="371">
        <v>0.5</v>
      </c>
      <c r="M249" s="371">
        <v>0.55000000000000004</v>
      </c>
      <c r="N249" s="371">
        <v>0.6</v>
      </c>
      <c r="O249" s="371">
        <v>0.61</v>
      </c>
      <c r="P249" s="371">
        <v>0.63</v>
      </c>
      <c r="Q249" s="371">
        <v>0.64</v>
      </c>
      <c r="R249" s="371">
        <v>0.65</v>
      </c>
      <c r="S249" s="371">
        <v>0.67</v>
      </c>
      <c r="T249" s="371">
        <v>0.68</v>
      </c>
      <c r="U249" s="371">
        <v>0.69</v>
      </c>
      <c r="V249" s="371">
        <f t="shared" ref="V249:X250" si="84">U249</f>
        <v>0.69</v>
      </c>
      <c r="W249" s="371">
        <f t="shared" si="84"/>
        <v>0.69</v>
      </c>
      <c r="X249" s="371">
        <v>2</v>
      </c>
      <c r="Y249" s="381">
        <v>1000</v>
      </c>
    </row>
    <row r="250" spans="1:26" x14ac:dyDescent="0.2">
      <c r="A250" s="378" t="s">
        <v>34</v>
      </c>
      <c r="B250" s="372">
        <v>0</v>
      </c>
      <c r="C250" s="373">
        <v>108.72</v>
      </c>
      <c r="D250" s="373">
        <v>131.19</v>
      </c>
      <c r="E250" s="373">
        <v>153.13999999999999</v>
      </c>
      <c r="F250" s="373">
        <v>168.97</v>
      </c>
      <c r="G250" s="373">
        <v>189.92</v>
      </c>
      <c r="H250" s="373">
        <v>199.95</v>
      </c>
      <c r="I250" s="373">
        <v>203.59</v>
      </c>
      <c r="J250" s="373">
        <v>205.03</v>
      </c>
      <c r="K250" s="373">
        <v>202.6</v>
      </c>
      <c r="L250" s="373">
        <v>203.06</v>
      </c>
      <c r="M250" s="373">
        <v>199.34</v>
      </c>
      <c r="N250" s="373">
        <v>194.71</v>
      </c>
      <c r="O250" s="373">
        <v>194.1</v>
      </c>
      <c r="P250" s="373">
        <v>193.49</v>
      </c>
      <c r="Q250" s="373">
        <v>193.68</v>
      </c>
      <c r="R250" s="373">
        <v>202.91</v>
      </c>
      <c r="S250" s="373">
        <v>163.38999999999999</v>
      </c>
      <c r="T250" s="373">
        <v>80.44</v>
      </c>
      <c r="U250" s="373">
        <v>0</v>
      </c>
      <c r="V250" s="373">
        <f t="shared" si="84"/>
        <v>0</v>
      </c>
      <c r="W250" s="373">
        <f t="shared" si="84"/>
        <v>0</v>
      </c>
      <c r="X250" s="373">
        <f t="shared" si="84"/>
        <v>0</v>
      </c>
      <c r="Y250" s="382">
        <v>0</v>
      </c>
    </row>
    <row r="251" spans="1:26" ht="13.5" thickBot="1" x14ac:dyDescent="0.25">
      <c r="A251" s="379" t="s">
        <v>116</v>
      </c>
      <c r="B251" s="374">
        <f t="shared" ref="B251:X251" si="85">(C250+B250)*(C249-B249)/2</f>
        <v>0.54359999999999997</v>
      </c>
      <c r="C251" s="375">
        <f t="shared" si="85"/>
        <v>1.1995500000000001</v>
      </c>
      <c r="D251" s="375">
        <f t="shared" si="85"/>
        <v>4.2649499999999998</v>
      </c>
      <c r="E251" s="375">
        <f t="shared" si="85"/>
        <v>8.0527500000000014</v>
      </c>
      <c r="F251" s="375">
        <f t="shared" si="85"/>
        <v>17.944500000000001</v>
      </c>
      <c r="G251" s="375">
        <f t="shared" si="85"/>
        <v>19.493499999999997</v>
      </c>
      <c r="H251" s="375">
        <f t="shared" si="85"/>
        <v>10.088499999999996</v>
      </c>
      <c r="I251" s="375">
        <f t="shared" si="85"/>
        <v>10.215500000000009</v>
      </c>
      <c r="J251" s="375">
        <f t="shared" si="85"/>
        <v>10.190749999999998</v>
      </c>
      <c r="K251" s="375">
        <f t="shared" si="85"/>
        <v>10.141499999999997</v>
      </c>
      <c r="L251" s="375">
        <f t="shared" si="85"/>
        <v>10.060000000000008</v>
      </c>
      <c r="M251" s="375">
        <f t="shared" si="85"/>
        <v>9.8512499999999878</v>
      </c>
      <c r="N251" s="375">
        <f t="shared" si="85"/>
        <v>1.9440500000000018</v>
      </c>
      <c r="O251" s="375">
        <f t="shared" si="85"/>
        <v>3.8759000000000037</v>
      </c>
      <c r="P251" s="375">
        <f t="shared" si="85"/>
        <v>1.9358500000000018</v>
      </c>
      <c r="Q251" s="375">
        <f t="shared" si="85"/>
        <v>1.982950000000002</v>
      </c>
      <c r="R251" s="375">
        <f t="shared" si="85"/>
        <v>3.6630000000000029</v>
      </c>
      <c r="S251" s="375">
        <f t="shared" si="85"/>
        <v>1.2191500000000011</v>
      </c>
      <c r="T251" s="375">
        <f t="shared" si="85"/>
        <v>0.40219999999999589</v>
      </c>
      <c r="U251" s="375">
        <f t="shared" si="85"/>
        <v>0</v>
      </c>
      <c r="V251" s="375">
        <f t="shared" si="85"/>
        <v>0</v>
      </c>
      <c r="W251" s="375">
        <f t="shared" si="85"/>
        <v>0</v>
      </c>
      <c r="X251" s="375">
        <f t="shared" si="85"/>
        <v>0</v>
      </c>
      <c r="Y251" s="369"/>
    </row>
    <row r="252" spans="1:26" ht="13.5" thickBot="1" x14ac:dyDescent="0.25">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row>
    <row r="253" spans="1:26" ht="13.5" thickBot="1" x14ac:dyDescent="0.25">
      <c r="A253" s="361" t="s">
        <v>388</v>
      </c>
      <c r="B253" s="359">
        <f>ROW(A253)</f>
        <v>253</v>
      </c>
      <c r="C253" s="363" t="s">
        <v>115</v>
      </c>
      <c r="D253" s="353">
        <f>SUM(B256:Y256)</f>
        <v>142.7236025</v>
      </c>
      <c r="E253" s="363" t="s">
        <v>114</v>
      </c>
      <c r="F253" s="354">
        <v>208</v>
      </c>
      <c r="G253" s="363" t="s">
        <v>56</v>
      </c>
      <c r="H253" s="64">
        <v>0.19700000000000001</v>
      </c>
      <c r="I253" s="363" t="s">
        <v>271</v>
      </c>
      <c r="J253" s="355">
        <f>H253-L253</f>
        <v>7.0000000000000007E-2</v>
      </c>
      <c r="K253" s="363" t="s">
        <v>272</v>
      </c>
      <c r="L253" s="64">
        <v>0.127</v>
      </c>
      <c r="M253" s="363" t="s">
        <v>57</v>
      </c>
      <c r="N253" s="65">
        <v>63</v>
      </c>
      <c r="O253" s="363" t="s">
        <v>59</v>
      </c>
      <c r="P253" s="65">
        <v>114</v>
      </c>
      <c r="Q253" s="363" t="s">
        <v>60</v>
      </c>
      <c r="R253" s="65">
        <v>127</v>
      </c>
      <c r="S253" s="363" t="s">
        <v>61</v>
      </c>
      <c r="T253" s="65">
        <v>38</v>
      </c>
      <c r="U253" s="363" t="s">
        <v>54</v>
      </c>
      <c r="V253" s="66" t="s">
        <v>119</v>
      </c>
      <c r="W253" s="463" t="s">
        <v>394</v>
      </c>
      <c r="X253" s="465">
        <v>1.8</v>
      </c>
      <c r="Y253" s="463" t="s">
        <v>393</v>
      </c>
      <c r="Z253" s="358">
        <v>15</v>
      </c>
    </row>
    <row r="254" spans="1:26" x14ac:dyDescent="0.2">
      <c r="A254" s="362" t="s">
        <v>33</v>
      </c>
      <c r="B254" s="370">
        <v>0</v>
      </c>
      <c r="C254" s="370">
        <v>6.0000000000000001E-3</v>
      </c>
      <c r="D254" s="371">
        <v>1.7999999999999999E-2</v>
      </c>
      <c r="E254" s="371">
        <v>3.5999999999999997E-2</v>
      </c>
      <c r="F254" s="371">
        <v>4.7E-2</v>
      </c>
      <c r="G254" s="371">
        <v>8.4000000000000005E-2</v>
      </c>
      <c r="H254" s="371">
        <v>0.13500000000000001</v>
      </c>
      <c r="I254" s="371">
        <v>0.23799999999999999</v>
      </c>
      <c r="J254" s="371">
        <v>0.438</v>
      </c>
      <c r="K254" s="371">
        <v>0.63</v>
      </c>
      <c r="L254" s="371">
        <v>0.85899999999999999</v>
      </c>
      <c r="M254" s="371">
        <v>1.2829999999999999</v>
      </c>
      <c r="N254" s="371">
        <v>1.4470000000000001</v>
      </c>
      <c r="O254" s="371">
        <v>1.643</v>
      </c>
      <c r="P254" s="371">
        <v>1.7130000000000001</v>
      </c>
      <c r="Q254" s="371">
        <v>1.7430000000000001</v>
      </c>
      <c r="R254" s="371">
        <v>1.79</v>
      </c>
      <c r="S254" s="371">
        <v>1.8180000000000001</v>
      </c>
      <c r="T254" s="371">
        <v>1.8520000000000001</v>
      </c>
      <c r="U254" s="371">
        <v>2</v>
      </c>
      <c r="V254" s="371">
        <f t="shared" ref="V254:X255" si="86">U254</f>
        <v>2</v>
      </c>
      <c r="W254" s="371">
        <f t="shared" si="86"/>
        <v>2</v>
      </c>
      <c r="X254" s="371">
        <f t="shared" si="86"/>
        <v>2</v>
      </c>
      <c r="Y254" s="381">
        <v>1000</v>
      </c>
    </row>
    <row r="255" spans="1:26" x14ac:dyDescent="0.2">
      <c r="A255" s="378" t="s">
        <v>34</v>
      </c>
      <c r="B255" s="372">
        <v>0</v>
      </c>
      <c r="C255" s="372">
        <v>104.068</v>
      </c>
      <c r="D255" s="373">
        <v>137.928</v>
      </c>
      <c r="E255" s="373">
        <v>70.706999999999994</v>
      </c>
      <c r="F255" s="373">
        <v>62.241999999999997</v>
      </c>
      <c r="G255" s="373">
        <v>73.694000000000003</v>
      </c>
      <c r="H255" s="373">
        <v>78.176000000000002</v>
      </c>
      <c r="I255" s="373">
        <v>84.150999999999996</v>
      </c>
      <c r="J255" s="373">
        <v>89.628</v>
      </c>
      <c r="K255" s="373">
        <v>88.135000000000005</v>
      </c>
      <c r="L255" s="373">
        <v>87.138999999999996</v>
      </c>
      <c r="M255" s="373">
        <v>77.180000000000007</v>
      </c>
      <c r="N255" s="373">
        <v>70.706999999999994</v>
      </c>
      <c r="O255" s="373">
        <v>67.718999999999994</v>
      </c>
      <c r="P255" s="373">
        <v>64.233999999999995</v>
      </c>
      <c r="Q255" s="373">
        <v>54.274999999999999</v>
      </c>
      <c r="R255" s="373">
        <v>18.423999999999999</v>
      </c>
      <c r="S255" s="373">
        <v>6.4729999999999999</v>
      </c>
      <c r="T255" s="373">
        <v>0</v>
      </c>
      <c r="U255" s="373">
        <v>0</v>
      </c>
      <c r="V255" s="373">
        <f t="shared" si="86"/>
        <v>0</v>
      </c>
      <c r="W255" s="373">
        <f t="shared" si="86"/>
        <v>0</v>
      </c>
      <c r="X255" s="373">
        <f t="shared" si="86"/>
        <v>0</v>
      </c>
      <c r="Y255" s="382">
        <v>0</v>
      </c>
    </row>
    <row r="256" spans="1:26" ht="13.5" thickBot="1" x14ac:dyDescent="0.25">
      <c r="A256" s="379" t="s">
        <v>116</v>
      </c>
      <c r="B256" s="374">
        <f t="shared" ref="B256:X256" si="87">(C255+B255)*(C254-B254)/2</f>
        <v>0.31220399999999998</v>
      </c>
      <c r="C256" s="375">
        <f t="shared" si="87"/>
        <v>1.4519759999999997</v>
      </c>
      <c r="D256" s="375">
        <f t="shared" si="87"/>
        <v>1.8777149999999998</v>
      </c>
      <c r="E256" s="375">
        <f t="shared" si="87"/>
        <v>0.73121950000000013</v>
      </c>
      <c r="F256" s="375">
        <f t="shared" si="87"/>
        <v>2.5148160000000006</v>
      </c>
      <c r="G256" s="375">
        <f t="shared" si="87"/>
        <v>3.8726850000000006</v>
      </c>
      <c r="H256" s="375">
        <f t="shared" si="87"/>
        <v>8.3598404999999989</v>
      </c>
      <c r="I256" s="375">
        <f t="shared" si="87"/>
        <v>17.3779</v>
      </c>
      <c r="J256" s="375">
        <f t="shared" si="87"/>
        <v>17.065248</v>
      </c>
      <c r="K256" s="375">
        <f t="shared" si="87"/>
        <v>20.068873</v>
      </c>
      <c r="L256" s="375">
        <f t="shared" si="87"/>
        <v>34.835628</v>
      </c>
      <c r="M256" s="375">
        <f t="shared" si="87"/>
        <v>12.126734000000011</v>
      </c>
      <c r="N256" s="375">
        <f t="shared" si="87"/>
        <v>13.565747999999996</v>
      </c>
      <c r="O256" s="375">
        <f t="shared" si="87"/>
        <v>4.6183550000000029</v>
      </c>
      <c r="P256" s="375">
        <f t="shared" si="87"/>
        <v>1.7776350000000014</v>
      </c>
      <c r="Q256" s="375">
        <f t="shared" si="87"/>
        <v>1.7084264999999974</v>
      </c>
      <c r="R256" s="375">
        <f t="shared" si="87"/>
        <v>0.34855800000000031</v>
      </c>
      <c r="S256" s="375">
        <f t="shared" si="87"/>
        <v>0.1100410000000001</v>
      </c>
      <c r="T256" s="375">
        <f t="shared" si="87"/>
        <v>0</v>
      </c>
      <c r="U256" s="375">
        <f t="shared" si="87"/>
        <v>0</v>
      </c>
      <c r="V256" s="375">
        <f t="shared" si="87"/>
        <v>0</v>
      </c>
      <c r="W256" s="375">
        <f t="shared" si="87"/>
        <v>0</v>
      </c>
      <c r="X256" s="375">
        <f t="shared" si="87"/>
        <v>0</v>
      </c>
      <c r="Y256" s="369"/>
    </row>
    <row r="257" spans="1:25" ht="13.5" thickBot="1" x14ac:dyDescent="0.25">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row>
    <row r="258" spans="1:25" ht="13.5" thickBot="1" x14ac:dyDescent="0.25">
      <c r="A258" s="361" t="s">
        <v>274</v>
      </c>
      <c r="B258" s="360">
        <f>ROW(A258)</f>
        <v>258</v>
      </c>
      <c r="C258" s="363" t="s">
        <v>115</v>
      </c>
      <c r="D258" s="353">
        <f>SUM(B261:Y261)</f>
        <v>33.500000000000007</v>
      </c>
      <c r="E258" s="363" t="s">
        <v>114</v>
      </c>
      <c r="F258" s="354">
        <f>D258/g/J258</f>
        <v>68.297655453618759</v>
      </c>
      <c r="G258" s="363" t="s">
        <v>56</v>
      </c>
      <c r="H258" s="64">
        <v>8.5000000000000006E-2</v>
      </c>
      <c r="I258" s="363" t="s">
        <v>271</v>
      </c>
      <c r="J258" s="355">
        <f>H258-L258</f>
        <v>0.05</v>
      </c>
      <c r="K258" s="363" t="s">
        <v>272</v>
      </c>
      <c r="L258" s="64">
        <v>3.5000000000000003E-2</v>
      </c>
      <c r="M258" s="363" t="s">
        <v>57</v>
      </c>
      <c r="N258" s="65">
        <v>20</v>
      </c>
      <c r="O258" s="363" t="s">
        <v>59</v>
      </c>
      <c r="P258" s="65">
        <v>20</v>
      </c>
      <c r="Q258" s="363" t="s">
        <v>60</v>
      </c>
      <c r="R258" s="65">
        <v>39</v>
      </c>
      <c r="S258" s="363" t="s">
        <v>61</v>
      </c>
      <c r="T258" s="65">
        <v>39</v>
      </c>
      <c r="U258" s="363" t="s">
        <v>54</v>
      </c>
      <c r="V258" s="66" t="s">
        <v>401</v>
      </c>
      <c r="W258" s="12"/>
      <c r="X258" s="12"/>
      <c r="Y258" s="12"/>
    </row>
    <row r="259" spans="1:25" x14ac:dyDescent="0.2">
      <c r="A259" s="362" t="s">
        <v>33</v>
      </c>
      <c r="B259" s="370">
        <v>0</v>
      </c>
      <c r="C259" s="371">
        <v>0.05</v>
      </c>
      <c r="D259" s="371">
        <v>0.1</v>
      </c>
      <c r="E259" s="371">
        <v>0.25</v>
      </c>
      <c r="F259" s="371">
        <v>0.3</v>
      </c>
      <c r="G259" s="371">
        <v>0.35</v>
      </c>
      <c r="H259" s="371">
        <v>0.45</v>
      </c>
      <c r="I259" s="371">
        <v>0.55000000000000004</v>
      </c>
      <c r="J259" s="371">
        <v>3.5</v>
      </c>
      <c r="K259" s="371">
        <v>3.6</v>
      </c>
      <c r="L259" s="371">
        <v>3.6</v>
      </c>
      <c r="M259" s="371">
        <v>3.6</v>
      </c>
      <c r="N259" s="371">
        <v>3.6</v>
      </c>
      <c r="O259" s="371">
        <v>3.6</v>
      </c>
      <c r="P259" s="371">
        <v>3.6</v>
      </c>
      <c r="Q259" s="371">
        <v>3.6</v>
      </c>
      <c r="R259" s="371">
        <v>3.6</v>
      </c>
      <c r="S259" s="371">
        <v>3.6</v>
      </c>
      <c r="T259" s="371">
        <v>3.6</v>
      </c>
      <c r="U259" s="371">
        <v>3.6</v>
      </c>
      <c r="V259" s="371">
        <v>3.6</v>
      </c>
      <c r="W259" s="371">
        <v>3.6</v>
      </c>
      <c r="X259" s="371">
        <v>3.6</v>
      </c>
      <c r="Y259" s="381">
        <v>1000</v>
      </c>
    </row>
    <row r="260" spans="1:25" x14ac:dyDescent="0.2">
      <c r="A260" s="378" t="s">
        <v>34</v>
      </c>
      <c r="B260" s="372">
        <v>0</v>
      </c>
      <c r="C260" s="373">
        <v>68</v>
      </c>
      <c r="D260" s="373">
        <v>62</v>
      </c>
      <c r="E260" s="373">
        <v>60</v>
      </c>
      <c r="F260" s="373">
        <v>39</v>
      </c>
      <c r="G260" s="373">
        <v>38</v>
      </c>
      <c r="H260" s="373">
        <v>9</v>
      </c>
      <c r="I260" s="373">
        <v>5</v>
      </c>
      <c r="J260" s="373">
        <v>3</v>
      </c>
      <c r="K260" s="373">
        <v>0</v>
      </c>
      <c r="L260" s="373">
        <v>0</v>
      </c>
      <c r="M260" s="373">
        <v>0</v>
      </c>
      <c r="N260" s="373">
        <v>0</v>
      </c>
      <c r="O260" s="373">
        <v>0</v>
      </c>
      <c r="P260" s="373">
        <v>0</v>
      </c>
      <c r="Q260" s="373">
        <v>0</v>
      </c>
      <c r="R260" s="373">
        <v>0</v>
      </c>
      <c r="S260" s="373">
        <v>0</v>
      </c>
      <c r="T260" s="373">
        <v>0</v>
      </c>
      <c r="U260" s="373">
        <v>0</v>
      </c>
      <c r="V260" s="373">
        <v>0</v>
      </c>
      <c r="W260" s="373">
        <v>0</v>
      </c>
      <c r="X260" s="373">
        <v>0</v>
      </c>
      <c r="Y260" s="382">
        <v>0</v>
      </c>
    </row>
    <row r="261" spans="1:25" ht="13.5" thickBot="1" x14ac:dyDescent="0.25">
      <c r="A261" s="379" t="s">
        <v>116</v>
      </c>
      <c r="B261" s="374">
        <f t="shared" ref="B261:V261" si="88">(C260+B260)*(C259-B259)/2</f>
        <v>1.7000000000000002</v>
      </c>
      <c r="C261" s="375">
        <f t="shared" si="88"/>
        <v>3.25</v>
      </c>
      <c r="D261" s="375">
        <f t="shared" si="88"/>
        <v>9.15</v>
      </c>
      <c r="E261" s="375">
        <f t="shared" si="88"/>
        <v>2.4749999999999996</v>
      </c>
      <c r="F261" s="375">
        <f t="shared" si="88"/>
        <v>1.9249999999999996</v>
      </c>
      <c r="G261" s="375">
        <f t="shared" si="88"/>
        <v>2.350000000000001</v>
      </c>
      <c r="H261" s="375">
        <f t="shared" si="88"/>
        <v>0.70000000000000018</v>
      </c>
      <c r="I261" s="375">
        <f t="shared" si="88"/>
        <v>11.8</v>
      </c>
      <c r="J261" s="375">
        <f t="shared" si="88"/>
        <v>0.15000000000000013</v>
      </c>
      <c r="K261" s="375">
        <f t="shared" si="88"/>
        <v>0</v>
      </c>
      <c r="L261" s="375">
        <f t="shared" si="88"/>
        <v>0</v>
      </c>
      <c r="M261" s="375">
        <f t="shared" si="88"/>
        <v>0</v>
      </c>
      <c r="N261" s="375">
        <f t="shared" si="88"/>
        <v>0</v>
      </c>
      <c r="O261" s="375">
        <f t="shared" si="88"/>
        <v>0</v>
      </c>
      <c r="P261" s="375">
        <f t="shared" si="88"/>
        <v>0</v>
      </c>
      <c r="Q261" s="375">
        <f t="shared" si="88"/>
        <v>0</v>
      </c>
      <c r="R261" s="375">
        <f t="shared" si="88"/>
        <v>0</v>
      </c>
      <c r="S261" s="375">
        <f t="shared" si="88"/>
        <v>0</v>
      </c>
      <c r="T261" s="375">
        <f t="shared" si="88"/>
        <v>0</v>
      </c>
      <c r="U261" s="375">
        <f t="shared" si="88"/>
        <v>0</v>
      </c>
      <c r="V261" s="375">
        <f t="shared" si="88"/>
        <v>0</v>
      </c>
      <c r="W261" s="375">
        <f>(X260+W260)*(X259-W259)/2</f>
        <v>0</v>
      </c>
      <c r="X261" s="375">
        <f>(Y260+X260)*(Y259-X259)/2</f>
        <v>0</v>
      </c>
      <c r="Y261" s="369"/>
    </row>
    <row r="262" spans="1:25" ht="13.5" thickBot="1" x14ac:dyDescent="0.25">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row>
    <row r="263" spans="1:25" ht="13.5" thickBot="1" x14ac:dyDescent="0.25">
      <c r="A263" s="361" t="s">
        <v>275</v>
      </c>
      <c r="B263" s="359">
        <f>ROW(A263)</f>
        <v>263</v>
      </c>
      <c r="C263" s="363" t="s">
        <v>115</v>
      </c>
      <c r="D263" s="353">
        <f>SUM(B266:Y266)</f>
        <v>145.46</v>
      </c>
      <c r="E263" s="363" t="s">
        <v>114</v>
      </c>
      <c r="F263" s="354">
        <f>D263/g/J263</f>
        <v>211.82466870540264</v>
      </c>
      <c r="G263" s="363" t="s">
        <v>56</v>
      </c>
      <c r="H263" s="64">
        <v>0.22</v>
      </c>
      <c r="I263" s="363" t="s">
        <v>271</v>
      </c>
      <c r="J263" s="355">
        <f>H263-L263</f>
        <v>7.0000000000000007E-2</v>
      </c>
      <c r="K263" s="363" t="s">
        <v>272</v>
      </c>
      <c r="L263" s="64">
        <v>0.15</v>
      </c>
      <c r="M263" s="363" t="s">
        <v>57</v>
      </c>
      <c r="N263" s="65">
        <v>50</v>
      </c>
      <c r="O263" s="363" t="s">
        <v>59</v>
      </c>
      <c r="P263" s="65">
        <v>55</v>
      </c>
      <c r="Q263" s="363" t="s">
        <v>60</v>
      </c>
      <c r="R263" s="65">
        <v>76</v>
      </c>
      <c r="S263" s="363" t="s">
        <v>61</v>
      </c>
      <c r="T263" s="65">
        <v>40</v>
      </c>
      <c r="U263" s="363" t="s">
        <v>54</v>
      </c>
      <c r="V263" s="66" t="s">
        <v>401</v>
      </c>
      <c r="W263" s="12"/>
      <c r="X263" s="12"/>
      <c r="Y263" s="12"/>
    </row>
    <row r="264" spans="1:25" x14ac:dyDescent="0.2">
      <c r="A264" s="362" t="s">
        <v>33</v>
      </c>
      <c r="B264" s="370">
        <v>0</v>
      </c>
      <c r="C264" s="371">
        <v>0.02</v>
      </c>
      <c r="D264" s="371">
        <v>0.04</v>
      </c>
      <c r="E264" s="371">
        <v>0.05</v>
      </c>
      <c r="F264" s="371">
        <v>0.06</v>
      </c>
      <c r="G264" s="371">
        <v>0.94</v>
      </c>
      <c r="H264" s="377">
        <v>0.94200000000000006</v>
      </c>
      <c r="I264" s="371">
        <v>0.95</v>
      </c>
      <c r="J264" s="371">
        <v>0.95</v>
      </c>
      <c r="K264" s="371">
        <v>0.95</v>
      </c>
      <c r="L264" s="371">
        <v>0.95</v>
      </c>
      <c r="M264" s="371">
        <v>0.95</v>
      </c>
      <c r="N264" s="371">
        <v>0.95</v>
      </c>
      <c r="O264" s="371">
        <v>0.95</v>
      </c>
      <c r="P264" s="371">
        <v>0.95</v>
      </c>
      <c r="Q264" s="371">
        <v>0.95</v>
      </c>
      <c r="R264" s="371">
        <v>0.95</v>
      </c>
      <c r="S264" s="371">
        <v>0.95</v>
      </c>
      <c r="T264" s="371">
        <v>0.95</v>
      </c>
      <c r="U264" s="371">
        <v>0.95</v>
      </c>
      <c r="V264" s="371">
        <v>0.95</v>
      </c>
      <c r="W264" s="371">
        <v>0.95</v>
      </c>
      <c r="X264" s="371">
        <v>2</v>
      </c>
      <c r="Y264" s="381">
        <v>1000</v>
      </c>
    </row>
    <row r="265" spans="1:25" x14ac:dyDescent="0.2">
      <c r="A265" s="378" t="s">
        <v>34</v>
      </c>
      <c r="B265" s="372">
        <v>0</v>
      </c>
      <c r="C265" s="373">
        <v>320</v>
      </c>
      <c r="D265" s="373">
        <v>170</v>
      </c>
      <c r="E265" s="373">
        <v>205</v>
      </c>
      <c r="F265" s="373">
        <v>217</v>
      </c>
      <c r="G265" s="373">
        <v>85</v>
      </c>
      <c r="H265" s="373">
        <v>82</v>
      </c>
      <c r="I265" s="373">
        <v>0</v>
      </c>
      <c r="J265" s="373">
        <v>0</v>
      </c>
      <c r="K265" s="373">
        <v>0</v>
      </c>
      <c r="L265" s="373">
        <v>0</v>
      </c>
      <c r="M265" s="373">
        <v>0</v>
      </c>
      <c r="N265" s="373">
        <v>0</v>
      </c>
      <c r="O265" s="373">
        <v>0</v>
      </c>
      <c r="P265" s="373">
        <v>0</v>
      </c>
      <c r="Q265" s="373">
        <v>0</v>
      </c>
      <c r="R265" s="373">
        <v>0</v>
      </c>
      <c r="S265" s="373">
        <v>0</v>
      </c>
      <c r="T265" s="373">
        <v>0</v>
      </c>
      <c r="U265" s="373">
        <v>0</v>
      </c>
      <c r="V265" s="373">
        <v>0</v>
      </c>
      <c r="W265" s="373">
        <v>0</v>
      </c>
      <c r="X265" s="373">
        <v>0</v>
      </c>
      <c r="Y265" s="382">
        <v>0</v>
      </c>
    </row>
    <row r="266" spans="1:25" ht="13.5" thickBot="1" x14ac:dyDescent="0.25">
      <c r="A266" s="379" t="s">
        <v>116</v>
      </c>
      <c r="B266" s="374">
        <f t="shared" ref="B266:H266" si="89">(C265+B265)*(C264-B264)/2</f>
        <v>3.2</v>
      </c>
      <c r="C266" s="375">
        <f t="shared" si="89"/>
        <v>4.9000000000000004</v>
      </c>
      <c r="D266" s="375">
        <f t="shared" si="89"/>
        <v>1.8750000000000004</v>
      </c>
      <c r="E266" s="375">
        <f t="shared" si="89"/>
        <v>2.109999999999999</v>
      </c>
      <c r="F266" s="375">
        <f t="shared" si="89"/>
        <v>132.88</v>
      </c>
      <c r="G266" s="375">
        <f t="shared" si="89"/>
        <v>0.16700000000000942</v>
      </c>
      <c r="H266" s="375">
        <f t="shared" si="89"/>
        <v>0.32799999999999574</v>
      </c>
      <c r="I266" s="375">
        <f t="shared" ref="I266:V266" si="90">(J265+I265)*(J264-I264)/2</f>
        <v>0</v>
      </c>
      <c r="J266" s="375">
        <f>(K265+J265)*(K264-J264)/2</f>
        <v>0</v>
      </c>
      <c r="K266" s="375">
        <f t="shared" si="90"/>
        <v>0</v>
      </c>
      <c r="L266" s="375">
        <f t="shared" si="90"/>
        <v>0</v>
      </c>
      <c r="M266" s="375">
        <f t="shared" si="90"/>
        <v>0</v>
      </c>
      <c r="N266" s="375">
        <f t="shared" si="90"/>
        <v>0</v>
      </c>
      <c r="O266" s="375">
        <f t="shared" si="90"/>
        <v>0</v>
      </c>
      <c r="P266" s="375">
        <f t="shared" si="90"/>
        <v>0</v>
      </c>
      <c r="Q266" s="375">
        <f t="shared" si="90"/>
        <v>0</v>
      </c>
      <c r="R266" s="375">
        <f t="shared" si="90"/>
        <v>0</v>
      </c>
      <c r="S266" s="375">
        <f>(T265+S265)*(T264-S264)/2</f>
        <v>0</v>
      </c>
      <c r="T266" s="375">
        <f t="shared" si="90"/>
        <v>0</v>
      </c>
      <c r="U266" s="375">
        <f t="shared" si="90"/>
        <v>0</v>
      </c>
      <c r="V266" s="375">
        <f t="shared" si="90"/>
        <v>0</v>
      </c>
      <c r="W266" s="375">
        <f>(X265+W265)*(X264-W264)/2</f>
        <v>0</v>
      </c>
      <c r="X266" s="375">
        <f>(Y265+X265)*(Y264-X264)/2</f>
        <v>0</v>
      </c>
      <c r="Y266" s="369"/>
    </row>
    <row r="267" spans="1:25" x14ac:dyDescent="0.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row>
    <row r="268" spans="1:25" ht="13.5" thickBot="1" x14ac:dyDescent="0.25">
      <c r="A268" s="6" t="s">
        <v>313</v>
      </c>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row>
    <row r="269" spans="1:25" ht="13.5" thickBot="1" x14ac:dyDescent="0.25">
      <c r="A269" s="361" t="s">
        <v>35</v>
      </c>
      <c r="B269" s="359">
        <f>ROW(A269)</f>
        <v>269</v>
      </c>
      <c r="C269" s="363" t="s">
        <v>115</v>
      </c>
      <c r="D269" s="353">
        <f>SUM(B272:Y272)</f>
        <v>1071.5999999999999</v>
      </c>
      <c r="E269" s="363" t="s">
        <v>114</v>
      </c>
      <c r="F269" s="354">
        <f>D269/g/J269</f>
        <v>163.03802090465106</v>
      </c>
      <c r="G269" s="363" t="s">
        <v>56</v>
      </c>
      <c r="H269" s="64">
        <v>2.02</v>
      </c>
      <c r="I269" s="363" t="s">
        <v>271</v>
      </c>
      <c r="J269" s="355">
        <f>H269-L269</f>
        <v>0.66999999999999993</v>
      </c>
      <c r="K269" s="363" t="s">
        <v>272</v>
      </c>
      <c r="L269" s="64">
        <v>1.35</v>
      </c>
      <c r="M269" s="363" t="s">
        <v>57</v>
      </c>
      <c r="N269" s="65">
        <v>154</v>
      </c>
      <c r="O269" s="363" t="s">
        <v>59</v>
      </c>
      <c r="P269" s="65">
        <v>168</v>
      </c>
      <c r="Q269" s="363" t="s">
        <v>60</v>
      </c>
      <c r="R269" s="65">
        <v>230</v>
      </c>
      <c r="S269" s="363" t="s">
        <v>61</v>
      </c>
      <c r="T269" s="65">
        <v>67</v>
      </c>
      <c r="U269" s="363" t="s">
        <v>54</v>
      </c>
      <c r="V269" s="66" t="s">
        <v>118</v>
      </c>
      <c r="W269" s="12"/>
      <c r="X269" s="12"/>
      <c r="Y269" s="12"/>
    </row>
    <row r="270" spans="1:25" x14ac:dyDescent="0.2">
      <c r="A270" s="362" t="s">
        <v>33</v>
      </c>
      <c r="B270" s="370">
        <v>0</v>
      </c>
      <c r="C270" s="371">
        <v>0.02</v>
      </c>
      <c r="D270" s="371">
        <v>0.05</v>
      </c>
      <c r="E270" s="371">
        <v>0.06</v>
      </c>
      <c r="F270" s="371">
        <v>0.09</v>
      </c>
      <c r="G270" s="371">
        <v>0.17</v>
      </c>
      <c r="H270" s="371">
        <v>0.2</v>
      </c>
      <c r="I270" s="371">
        <v>0.38</v>
      </c>
      <c r="J270" s="371">
        <v>0.75</v>
      </c>
      <c r="K270" s="371">
        <v>0.79</v>
      </c>
      <c r="L270" s="371">
        <v>1.1299999999999999</v>
      </c>
      <c r="M270" s="371">
        <v>1.2</v>
      </c>
      <c r="N270" s="371">
        <v>1.5</v>
      </c>
      <c r="O270" s="371">
        <v>1.54</v>
      </c>
      <c r="P270" s="371">
        <v>1.65</v>
      </c>
      <c r="Q270" s="371">
        <v>1.7</v>
      </c>
      <c r="R270" s="371">
        <v>1.79</v>
      </c>
      <c r="S270" s="371">
        <v>1.79</v>
      </c>
      <c r="T270" s="371">
        <v>1.79</v>
      </c>
      <c r="U270" s="371">
        <v>1.79</v>
      </c>
      <c r="V270" s="371">
        <v>1.79</v>
      </c>
      <c r="W270" s="371">
        <v>1.79</v>
      </c>
      <c r="X270" s="371">
        <v>1.79</v>
      </c>
      <c r="Y270" s="381">
        <v>1000</v>
      </c>
    </row>
    <row r="271" spans="1:25" x14ac:dyDescent="0.2">
      <c r="A271" s="378" t="s">
        <v>34</v>
      </c>
      <c r="B271" s="372">
        <v>0</v>
      </c>
      <c r="C271" s="373">
        <v>20</v>
      </c>
      <c r="D271" s="373">
        <v>870</v>
      </c>
      <c r="E271" s="373">
        <v>530</v>
      </c>
      <c r="F271" s="373">
        <v>790</v>
      </c>
      <c r="G271" s="373">
        <v>700</v>
      </c>
      <c r="H271" s="373">
        <v>710</v>
      </c>
      <c r="I271" s="373">
        <v>670</v>
      </c>
      <c r="J271" s="373">
        <v>630</v>
      </c>
      <c r="K271" s="373">
        <v>630</v>
      </c>
      <c r="L271" s="373">
        <v>710</v>
      </c>
      <c r="M271" s="373">
        <v>690</v>
      </c>
      <c r="N271" s="373">
        <v>690</v>
      </c>
      <c r="O271" s="373">
        <v>660</v>
      </c>
      <c r="P271" s="373">
        <v>160</v>
      </c>
      <c r="Q271" s="373">
        <v>10</v>
      </c>
      <c r="R271" s="373">
        <v>0</v>
      </c>
      <c r="S271" s="373">
        <v>0</v>
      </c>
      <c r="T271" s="373">
        <v>0</v>
      </c>
      <c r="U271" s="373">
        <v>0</v>
      </c>
      <c r="V271" s="373">
        <v>0</v>
      </c>
      <c r="W271" s="373">
        <v>0</v>
      </c>
      <c r="X271" s="373">
        <v>0</v>
      </c>
      <c r="Y271" s="382">
        <v>0</v>
      </c>
    </row>
    <row r="272" spans="1:25" ht="13.5" thickBot="1" x14ac:dyDescent="0.25">
      <c r="A272" s="379" t="s">
        <v>116</v>
      </c>
      <c r="B272" s="374">
        <f t="shared" ref="B272:Q272" si="91">(C271+B271)*(C270-B270)/2</f>
        <v>0.2</v>
      </c>
      <c r="C272" s="375">
        <f t="shared" si="91"/>
        <v>13.350000000000001</v>
      </c>
      <c r="D272" s="375">
        <f t="shared" si="91"/>
        <v>6.9999999999999964</v>
      </c>
      <c r="E272" s="375">
        <f t="shared" si="91"/>
        <v>19.8</v>
      </c>
      <c r="F272" s="375">
        <f t="shared" si="91"/>
        <v>59.600000000000009</v>
      </c>
      <c r="G272" s="375">
        <f t="shared" si="91"/>
        <v>21.15</v>
      </c>
      <c r="H272" s="375">
        <f t="shared" si="91"/>
        <v>124.19999999999999</v>
      </c>
      <c r="I272" s="375">
        <f t="shared" si="91"/>
        <v>240.5</v>
      </c>
      <c r="J272" s="375">
        <f>(K271+J271)*(K270-J270)/2</f>
        <v>25.200000000000024</v>
      </c>
      <c r="K272" s="375">
        <f t="shared" si="91"/>
        <v>227.7999999999999</v>
      </c>
      <c r="L272" s="375">
        <f t="shared" si="91"/>
        <v>49.000000000000043</v>
      </c>
      <c r="M272" s="375">
        <f t="shared" si="91"/>
        <v>207.00000000000003</v>
      </c>
      <c r="N272" s="375">
        <f t="shared" si="91"/>
        <v>27.000000000000025</v>
      </c>
      <c r="O272" s="375">
        <f t="shared" si="91"/>
        <v>45.099999999999952</v>
      </c>
      <c r="P272" s="375">
        <f t="shared" si="91"/>
        <v>4.2500000000000036</v>
      </c>
      <c r="Q272" s="375">
        <f t="shared" si="91"/>
        <v>0.4500000000000004</v>
      </c>
      <c r="R272" s="375">
        <f t="shared" ref="R272:X272" si="92">(S271+R271)*(S270-R270)/2</f>
        <v>0</v>
      </c>
      <c r="S272" s="375">
        <f t="shared" si="92"/>
        <v>0</v>
      </c>
      <c r="T272" s="375">
        <f t="shared" si="92"/>
        <v>0</v>
      </c>
      <c r="U272" s="375">
        <f t="shared" si="92"/>
        <v>0</v>
      </c>
      <c r="V272" s="375">
        <f t="shared" si="92"/>
        <v>0</v>
      </c>
      <c r="W272" s="375">
        <f t="shared" si="92"/>
        <v>0</v>
      </c>
      <c r="X272" s="375">
        <f t="shared" si="92"/>
        <v>0</v>
      </c>
      <c r="Y272" s="383"/>
    </row>
    <row r="273" spans="1:25" ht="13.5" thickBot="1" x14ac:dyDescent="0.25">
      <c r="S273" s="12"/>
      <c r="T273" s="12"/>
      <c r="U273" s="12"/>
      <c r="V273" s="12"/>
      <c r="W273" s="12"/>
      <c r="X273" s="12"/>
      <c r="Y273" s="12"/>
    </row>
    <row r="274" spans="1:25" ht="13.5" thickBot="1" x14ac:dyDescent="0.25">
      <c r="A274" s="361" t="s">
        <v>36</v>
      </c>
      <c r="B274" s="359">
        <f>ROW(A274)</f>
        <v>274</v>
      </c>
      <c r="C274" s="363" t="s">
        <v>115</v>
      </c>
      <c r="D274" s="353">
        <f>SUM(B277:Y277)</f>
        <v>2102.35</v>
      </c>
      <c r="E274" s="363" t="s">
        <v>114</v>
      </c>
      <c r="F274" s="354">
        <f>D274/g/J274</f>
        <v>174.23319493133766</v>
      </c>
      <c r="G274" s="363" t="s">
        <v>56</v>
      </c>
      <c r="H274" s="64">
        <v>3.7</v>
      </c>
      <c r="I274" s="363" t="s">
        <v>271</v>
      </c>
      <c r="J274" s="355">
        <f>H274-L274</f>
        <v>1.23</v>
      </c>
      <c r="K274" s="363" t="s">
        <v>272</v>
      </c>
      <c r="L274" s="64">
        <v>2.4700000000000002</v>
      </c>
      <c r="M274" s="363" t="s">
        <v>57</v>
      </c>
      <c r="N274" s="65">
        <v>151</v>
      </c>
      <c r="O274" s="363" t="s">
        <v>59</v>
      </c>
      <c r="P274" s="65">
        <v>171</v>
      </c>
      <c r="Q274" s="363" t="s">
        <v>60</v>
      </c>
      <c r="R274" s="65">
        <v>247</v>
      </c>
      <c r="S274" s="363" t="s">
        <v>61</v>
      </c>
      <c r="T274" s="65">
        <v>90</v>
      </c>
      <c r="U274" s="363" t="s">
        <v>54</v>
      </c>
      <c r="V274" s="66" t="s">
        <v>118</v>
      </c>
      <c r="W274" s="12"/>
      <c r="X274" s="12"/>
      <c r="Y274" s="12"/>
    </row>
    <row r="275" spans="1:25" x14ac:dyDescent="0.2">
      <c r="A275" s="362" t="s">
        <v>33</v>
      </c>
      <c r="B275" s="370">
        <v>0</v>
      </c>
      <c r="C275" s="371">
        <v>0.05</v>
      </c>
      <c r="D275" s="371">
        <v>0.1</v>
      </c>
      <c r="E275" s="371">
        <v>1</v>
      </c>
      <c r="F275" s="371">
        <v>1.35</v>
      </c>
      <c r="G275" s="371">
        <v>1.75</v>
      </c>
      <c r="H275" s="371">
        <v>2.15</v>
      </c>
      <c r="I275" s="371">
        <v>2.25</v>
      </c>
      <c r="J275" s="371">
        <v>2.48</v>
      </c>
      <c r="K275" s="371">
        <v>2.6</v>
      </c>
      <c r="L275" s="371">
        <v>2.8</v>
      </c>
      <c r="M275" s="371">
        <v>2.8</v>
      </c>
      <c r="N275" s="371">
        <v>2.8</v>
      </c>
      <c r="O275" s="371">
        <v>2.8</v>
      </c>
      <c r="P275" s="371">
        <v>2.8</v>
      </c>
      <c r="Q275" s="371">
        <v>2.8</v>
      </c>
      <c r="R275" s="371">
        <v>2.8</v>
      </c>
      <c r="S275" s="371">
        <v>2.8</v>
      </c>
      <c r="T275" s="371">
        <v>2.8</v>
      </c>
      <c r="U275" s="371">
        <v>2.8</v>
      </c>
      <c r="V275" s="371">
        <v>2.8</v>
      </c>
      <c r="W275" s="371">
        <v>2.8</v>
      </c>
      <c r="X275" s="371">
        <v>2.8</v>
      </c>
      <c r="Y275" s="381">
        <v>1000</v>
      </c>
    </row>
    <row r="276" spans="1:25" x14ac:dyDescent="0.2">
      <c r="A276" s="378" t="s">
        <v>34</v>
      </c>
      <c r="B276" s="372">
        <v>0</v>
      </c>
      <c r="C276" s="373">
        <v>860</v>
      </c>
      <c r="D276" s="373">
        <v>840</v>
      </c>
      <c r="E276" s="373">
        <v>840</v>
      </c>
      <c r="F276" s="373">
        <v>850</v>
      </c>
      <c r="G276" s="373">
        <v>900</v>
      </c>
      <c r="H276" s="373">
        <v>1050</v>
      </c>
      <c r="I276" s="373">
        <v>1020</v>
      </c>
      <c r="J276" s="373">
        <v>120</v>
      </c>
      <c r="K276" s="373">
        <v>30</v>
      </c>
      <c r="L276" s="373">
        <v>0</v>
      </c>
      <c r="M276" s="373">
        <v>0</v>
      </c>
      <c r="N276" s="373">
        <v>0</v>
      </c>
      <c r="O276" s="373">
        <v>0</v>
      </c>
      <c r="P276" s="373">
        <v>0</v>
      </c>
      <c r="Q276" s="373">
        <v>0</v>
      </c>
      <c r="R276" s="373">
        <v>0</v>
      </c>
      <c r="S276" s="373">
        <v>0</v>
      </c>
      <c r="T276" s="373">
        <v>0</v>
      </c>
      <c r="U276" s="373">
        <v>0</v>
      </c>
      <c r="V276" s="373">
        <v>0</v>
      </c>
      <c r="W276" s="373">
        <v>0</v>
      </c>
      <c r="X276" s="373">
        <v>0</v>
      </c>
      <c r="Y276" s="382">
        <v>0</v>
      </c>
    </row>
    <row r="277" spans="1:25" ht="13.5" thickBot="1" x14ac:dyDescent="0.25">
      <c r="A277" s="379" t="s">
        <v>116</v>
      </c>
      <c r="B277" s="374">
        <f t="shared" ref="B277:K277" si="93">(C276+B276)*(C275-B275)/2</f>
        <v>21.5</v>
      </c>
      <c r="C277" s="375">
        <f t="shared" si="93"/>
        <v>42.5</v>
      </c>
      <c r="D277" s="375">
        <f t="shared" si="93"/>
        <v>756</v>
      </c>
      <c r="E277" s="375">
        <f t="shared" si="93"/>
        <v>295.75000000000006</v>
      </c>
      <c r="F277" s="375">
        <f t="shared" si="93"/>
        <v>349.99999999999994</v>
      </c>
      <c r="G277" s="375">
        <f t="shared" si="93"/>
        <v>389.99999999999989</v>
      </c>
      <c r="H277" s="375">
        <f t="shared" si="93"/>
        <v>103.50000000000009</v>
      </c>
      <c r="I277" s="375">
        <f t="shared" si="93"/>
        <v>131.1</v>
      </c>
      <c r="J277" s="375">
        <f>(K276+J276)*(K275-J275)/2</f>
        <v>9.0000000000000071</v>
      </c>
      <c r="K277" s="375">
        <f t="shared" si="93"/>
        <v>2.999999999999996</v>
      </c>
      <c r="L277" s="375">
        <f t="shared" ref="L277:V277" si="94">(M276+L276)*(M275-L275)/2</f>
        <v>0</v>
      </c>
      <c r="M277" s="375">
        <f t="shared" si="94"/>
        <v>0</v>
      </c>
      <c r="N277" s="375">
        <f t="shared" si="94"/>
        <v>0</v>
      </c>
      <c r="O277" s="375">
        <f t="shared" si="94"/>
        <v>0</v>
      </c>
      <c r="P277" s="375">
        <f t="shared" si="94"/>
        <v>0</v>
      </c>
      <c r="Q277" s="375">
        <f t="shared" si="94"/>
        <v>0</v>
      </c>
      <c r="R277" s="375">
        <f t="shared" si="94"/>
        <v>0</v>
      </c>
      <c r="S277" s="375">
        <f>(T276+S276)*(T275-S275)/2</f>
        <v>0</v>
      </c>
      <c r="T277" s="375">
        <f t="shared" si="94"/>
        <v>0</v>
      </c>
      <c r="U277" s="375">
        <f t="shared" si="94"/>
        <v>0</v>
      </c>
      <c r="V277" s="375">
        <f t="shared" si="94"/>
        <v>0</v>
      </c>
      <c r="W277" s="375">
        <f>(X276+W276)*(X275-W275)/2</f>
        <v>0</v>
      </c>
      <c r="X277" s="375">
        <f>(Y276+X276)*(Y275-X275)/2</f>
        <v>0</v>
      </c>
      <c r="Y277" s="369"/>
    </row>
    <row r="278" spans="1:25" ht="13.5" thickBot="1" x14ac:dyDescent="0.25"/>
    <row r="279" spans="1:25" ht="13.5" thickBot="1" x14ac:dyDescent="0.25">
      <c r="A279" s="361" t="s">
        <v>549</v>
      </c>
      <c r="B279" s="359">
        <f>ROW(A279)</f>
        <v>279</v>
      </c>
      <c r="C279" s="363" t="s">
        <v>115</v>
      </c>
      <c r="D279" s="353">
        <f>SUM(B282:Y282)</f>
        <v>2058.37</v>
      </c>
      <c r="E279" s="363" t="s">
        <v>114</v>
      </c>
      <c r="F279" s="354">
        <f>D279/g/J279</f>
        <v>203.12066731598335</v>
      </c>
      <c r="G279" s="363" t="s">
        <v>56</v>
      </c>
      <c r="H279" s="64">
        <v>1.6850000000000001</v>
      </c>
      <c r="I279" s="363" t="s">
        <v>271</v>
      </c>
      <c r="J279" s="355">
        <f>H279-L279</f>
        <v>1.0329999999999999</v>
      </c>
      <c r="K279" s="363" t="s">
        <v>272</v>
      </c>
      <c r="L279" s="64">
        <v>0.65200000000000002</v>
      </c>
      <c r="M279" s="363" t="s">
        <v>57</v>
      </c>
      <c r="N279" s="65">
        <v>250</v>
      </c>
      <c r="O279" s="363" t="s">
        <v>59</v>
      </c>
      <c r="P279" s="65">
        <v>240</v>
      </c>
      <c r="Q279" s="363" t="s">
        <v>60</v>
      </c>
      <c r="R279" s="65">
        <v>488</v>
      </c>
      <c r="S279" s="363" t="s">
        <v>61</v>
      </c>
      <c r="T279" s="65">
        <v>54</v>
      </c>
      <c r="U279" s="363" t="s">
        <v>54</v>
      </c>
      <c r="V279" s="66" t="s">
        <v>118</v>
      </c>
      <c r="W279" s="12"/>
      <c r="X279" s="12"/>
      <c r="Y279" s="12"/>
    </row>
    <row r="280" spans="1:25" x14ac:dyDescent="0.2">
      <c r="A280" s="362" t="s">
        <v>33</v>
      </c>
      <c r="B280" s="370">
        <v>0</v>
      </c>
      <c r="C280" s="371">
        <v>0.05</v>
      </c>
      <c r="D280" s="371">
        <v>0.5</v>
      </c>
      <c r="E280" s="371">
        <v>1</v>
      </c>
      <c r="F280" s="371">
        <v>1.5</v>
      </c>
      <c r="G280" s="371">
        <v>2</v>
      </c>
      <c r="H280" s="371">
        <v>2.5</v>
      </c>
      <c r="I280" s="371">
        <v>2.97</v>
      </c>
      <c r="J280" s="371">
        <v>3.2</v>
      </c>
      <c r="K280" s="371">
        <v>3.47</v>
      </c>
      <c r="L280" s="371">
        <v>3.59</v>
      </c>
      <c r="M280" s="371">
        <v>3.59</v>
      </c>
      <c r="N280" s="371">
        <v>3.59</v>
      </c>
      <c r="O280" s="371">
        <v>3.59</v>
      </c>
      <c r="P280" s="371">
        <v>3.59</v>
      </c>
      <c r="Q280" s="371">
        <v>3.59</v>
      </c>
      <c r="R280" s="371">
        <v>3.59</v>
      </c>
      <c r="S280" s="371">
        <v>3.59</v>
      </c>
      <c r="T280" s="371">
        <v>3.59</v>
      </c>
      <c r="U280" s="371">
        <v>3.59</v>
      </c>
      <c r="V280" s="371">
        <v>3.59</v>
      </c>
      <c r="W280" s="371">
        <v>3.59</v>
      </c>
      <c r="X280" s="371">
        <v>3.59</v>
      </c>
      <c r="Y280" s="381">
        <v>1000</v>
      </c>
    </row>
    <row r="281" spans="1:25" x14ac:dyDescent="0.2">
      <c r="A281" s="378" t="s">
        <v>34</v>
      </c>
      <c r="B281" s="372">
        <v>0</v>
      </c>
      <c r="C281" s="373">
        <v>893</v>
      </c>
      <c r="D281" s="373">
        <v>798</v>
      </c>
      <c r="E281" s="373">
        <v>739</v>
      </c>
      <c r="F281" s="373">
        <v>659</v>
      </c>
      <c r="G281" s="373">
        <v>586</v>
      </c>
      <c r="H281" s="373">
        <v>513</v>
      </c>
      <c r="I281" s="373">
        <v>417</v>
      </c>
      <c r="J281" s="373">
        <v>225</v>
      </c>
      <c r="K281" s="373">
        <v>67</v>
      </c>
      <c r="L281" s="373">
        <v>0</v>
      </c>
      <c r="M281" s="373">
        <v>0</v>
      </c>
      <c r="N281" s="373">
        <v>0</v>
      </c>
      <c r="O281" s="373">
        <v>0</v>
      </c>
      <c r="P281" s="373">
        <v>0</v>
      </c>
      <c r="Q281" s="373">
        <v>0</v>
      </c>
      <c r="R281" s="373">
        <v>0</v>
      </c>
      <c r="S281" s="373">
        <v>0</v>
      </c>
      <c r="T281" s="373">
        <v>0</v>
      </c>
      <c r="U281" s="373">
        <v>0</v>
      </c>
      <c r="V281" s="373">
        <v>0</v>
      </c>
      <c r="W281" s="373">
        <v>0</v>
      </c>
      <c r="X281" s="373">
        <v>0</v>
      </c>
      <c r="Y281" s="382">
        <v>0</v>
      </c>
    </row>
    <row r="282" spans="1:25" ht="13.5" thickBot="1" x14ac:dyDescent="0.25">
      <c r="A282" s="380" t="s">
        <v>116</v>
      </c>
      <c r="B282" s="374">
        <f t="shared" ref="B282:V282" si="95">(C281+B281)*(C280-B280)/2</f>
        <v>22.325000000000003</v>
      </c>
      <c r="C282" s="375">
        <f t="shared" si="95"/>
        <v>380.47500000000002</v>
      </c>
      <c r="D282" s="375">
        <f t="shared" si="95"/>
        <v>384.25</v>
      </c>
      <c r="E282" s="375">
        <f t="shared" si="95"/>
        <v>349.5</v>
      </c>
      <c r="F282" s="375">
        <f t="shared" si="95"/>
        <v>311.25</v>
      </c>
      <c r="G282" s="375">
        <f t="shared" si="95"/>
        <v>274.75</v>
      </c>
      <c r="H282" s="375">
        <f t="shared" si="95"/>
        <v>218.5500000000001</v>
      </c>
      <c r="I282" s="375">
        <f t="shared" si="95"/>
        <v>73.83</v>
      </c>
      <c r="J282" s="375">
        <f>(K281+J281)*(K280-J280)/2</f>
        <v>39.42</v>
      </c>
      <c r="K282" s="375">
        <f t="shared" si="95"/>
        <v>4.0199999999999889</v>
      </c>
      <c r="L282" s="375">
        <f t="shared" si="95"/>
        <v>0</v>
      </c>
      <c r="M282" s="375">
        <f t="shared" si="95"/>
        <v>0</v>
      </c>
      <c r="N282" s="375">
        <f t="shared" si="95"/>
        <v>0</v>
      </c>
      <c r="O282" s="375">
        <f t="shared" si="95"/>
        <v>0</v>
      </c>
      <c r="P282" s="375">
        <f t="shared" si="95"/>
        <v>0</v>
      </c>
      <c r="Q282" s="375">
        <f t="shared" si="95"/>
        <v>0</v>
      </c>
      <c r="R282" s="375">
        <f t="shared" si="95"/>
        <v>0</v>
      </c>
      <c r="S282" s="375">
        <f>(T281+S281)*(T280-S280)/2</f>
        <v>0</v>
      </c>
      <c r="T282" s="375">
        <f t="shared" si="95"/>
        <v>0</v>
      </c>
      <c r="U282" s="375">
        <f t="shared" si="95"/>
        <v>0</v>
      </c>
      <c r="V282" s="375">
        <f t="shared" si="95"/>
        <v>0</v>
      </c>
      <c r="W282" s="375">
        <f>(X281+W281)*(X280-W280)/2</f>
        <v>0</v>
      </c>
      <c r="X282" s="375">
        <f>(Y281+X281)*(Y280-X280)/2</f>
        <v>0</v>
      </c>
      <c r="Y282" s="369"/>
    </row>
    <row r="283" spans="1:25" ht="13.5" thickBot="1" x14ac:dyDescent="0.25">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row>
    <row r="284" spans="1:25" ht="13.5" thickBot="1" x14ac:dyDescent="0.25">
      <c r="A284" s="361" t="s">
        <v>552</v>
      </c>
      <c r="B284" s="359">
        <f>ROW(A284)</f>
        <v>284</v>
      </c>
      <c r="C284" s="363" t="s">
        <v>115</v>
      </c>
      <c r="D284" s="353">
        <f>SUM(B287:Y287)</f>
        <v>1998.2428999999995</v>
      </c>
      <c r="E284" s="363" t="s">
        <v>114</v>
      </c>
      <c r="F284" s="354">
        <f>D284/g/J284</f>
        <v>207.42819268753979</v>
      </c>
      <c r="G284" s="363" t="s">
        <v>56</v>
      </c>
      <c r="H284" s="64">
        <v>1.6319999999999999</v>
      </c>
      <c r="I284" s="363" t="s">
        <v>271</v>
      </c>
      <c r="J284" s="355">
        <f>H284-L284</f>
        <v>0.98199999999999987</v>
      </c>
      <c r="K284" s="363" t="s">
        <v>272</v>
      </c>
      <c r="L284" s="64">
        <v>0.65</v>
      </c>
      <c r="M284" s="363" t="s">
        <v>57</v>
      </c>
      <c r="N284" s="65">
        <v>250</v>
      </c>
      <c r="O284" s="363" t="s">
        <v>59</v>
      </c>
      <c r="P284" s="65">
        <v>240</v>
      </c>
      <c r="Q284" s="363" t="s">
        <v>60</v>
      </c>
      <c r="R284" s="65">
        <v>488</v>
      </c>
      <c r="S284" s="363" t="s">
        <v>61</v>
      </c>
      <c r="T284" s="65">
        <v>54</v>
      </c>
      <c r="U284" s="363" t="s">
        <v>54</v>
      </c>
      <c r="V284" s="66" t="s">
        <v>118</v>
      </c>
      <c r="W284" s="12"/>
      <c r="X284" s="12"/>
      <c r="Y284" s="12"/>
    </row>
    <row r="285" spans="1:25" x14ac:dyDescent="0.2">
      <c r="A285" s="362" t="s">
        <v>33</v>
      </c>
      <c r="B285" s="373">
        <v>0</v>
      </c>
      <c r="C285" s="373">
        <v>0.01</v>
      </c>
      <c r="D285" s="373">
        <v>0.02</v>
      </c>
      <c r="E285" s="373">
        <v>0.05</v>
      </c>
      <c r="F285" s="373">
        <v>0.1</v>
      </c>
      <c r="G285" s="373">
        <v>0.2</v>
      </c>
      <c r="H285" s="373">
        <v>0.4</v>
      </c>
      <c r="I285" s="373">
        <v>0.8</v>
      </c>
      <c r="J285" s="373">
        <v>0.9</v>
      </c>
      <c r="K285" s="373">
        <v>1</v>
      </c>
      <c r="L285" s="373">
        <v>1.1000000000000001</v>
      </c>
      <c r="M285" s="373">
        <v>1.2</v>
      </c>
      <c r="N285" s="373">
        <v>1.3</v>
      </c>
      <c r="O285" s="373">
        <v>1.4</v>
      </c>
      <c r="P285" s="373">
        <v>1.55</v>
      </c>
      <c r="Q285" s="373">
        <v>1.6</v>
      </c>
      <c r="R285" s="373">
        <v>1.62</v>
      </c>
      <c r="S285" s="373">
        <v>1.64</v>
      </c>
      <c r="T285" s="373">
        <v>1.66</v>
      </c>
      <c r="U285" s="373">
        <v>1.67</v>
      </c>
      <c r="V285" s="373">
        <v>1.68</v>
      </c>
      <c r="W285" s="533">
        <v>1.69</v>
      </c>
      <c r="X285" s="533">
        <v>1.7</v>
      </c>
      <c r="Y285" s="381">
        <v>1000</v>
      </c>
    </row>
    <row r="286" spans="1:25" x14ac:dyDescent="0.2">
      <c r="A286" s="378" t="s">
        <v>34</v>
      </c>
      <c r="B286" s="373">
        <v>0</v>
      </c>
      <c r="C286" s="373">
        <v>492.25</v>
      </c>
      <c r="D286" s="373">
        <v>1369.46</v>
      </c>
      <c r="E286" s="373">
        <v>1236.01</v>
      </c>
      <c r="F286" s="373">
        <v>1279.47</v>
      </c>
      <c r="G286" s="373">
        <v>1311.39</v>
      </c>
      <c r="H286" s="373">
        <v>1331.39</v>
      </c>
      <c r="I286" s="373">
        <v>1304.08</v>
      </c>
      <c r="J286" s="373">
        <v>1280.6199999999999</v>
      </c>
      <c r="K286" s="373">
        <v>1249.8599999999999</v>
      </c>
      <c r="L286" s="373">
        <v>1217.94</v>
      </c>
      <c r="M286" s="373">
        <v>1199.29</v>
      </c>
      <c r="N286" s="373">
        <v>1158.77</v>
      </c>
      <c r="O286" s="373">
        <v>1112.56</v>
      </c>
      <c r="P286" s="373">
        <v>941.81</v>
      </c>
      <c r="Q286" s="373">
        <v>726.07</v>
      </c>
      <c r="R286" s="373">
        <v>559.16999999999996</v>
      </c>
      <c r="S286" s="373">
        <v>399.95</v>
      </c>
      <c r="T286" s="373">
        <v>317.66000000000003</v>
      </c>
      <c r="U286" s="373">
        <v>247.28</v>
      </c>
      <c r="V286" s="373">
        <v>198.05</v>
      </c>
      <c r="W286" s="373">
        <v>67.3</v>
      </c>
      <c r="X286" s="373">
        <v>0</v>
      </c>
      <c r="Y286" s="382">
        <v>0</v>
      </c>
    </row>
    <row r="287" spans="1:25" ht="13.5" thickBot="1" x14ac:dyDescent="0.25">
      <c r="A287" s="379" t="s">
        <v>116</v>
      </c>
      <c r="B287" s="374">
        <f t="shared" ref="B287:V287" si="96">(C286+B286)*(C285-B285)/2</f>
        <v>2.4612500000000002</v>
      </c>
      <c r="C287" s="375">
        <f t="shared" si="96"/>
        <v>9.3085500000000003</v>
      </c>
      <c r="D287" s="375">
        <f t="shared" si="96"/>
        <v>39.08205000000001</v>
      </c>
      <c r="E287" s="375">
        <f t="shared" si="96"/>
        <v>62.887</v>
      </c>
      <c r="F287" s="375">
        <f t="shared" si="96"/>
        <v>129.54300000000001</v>
      </c>
      <c r="G287" s="375">
        <f t="shared" si="96"/>
        <v>264.27800000000002</v>
      </c>
      <c r="H287" s="375">
        <f t="shared" si="96"/>
        <v>527.09400000000005</v>
      </c>
      <c r="I287" s="375">
        <f t="shared" si="96"/>
        <v>129.23499999999996</v>
      </c>
      <c r="J287" s="375">
        <f>(K286+J286)*(K285-J285)/2</f>
        <v>126.52399999999994</v>
      </c>
      <c r="K287" s="375">
        <f t="shared" si="96"/>
        <v>123.39000000000011</v>
      </c>
      <c r="L287" s="375">
        <f t="shared" si="96"/>
        <v>120.86149999999984</v>
      </c>
      <c r="M287" s="375">
        <f t="shared" si="96"/>
        <v>117.90300000000011</v>
      </c>
      <c r="N287" s="375">
        <f t="shared" si="96"/>
        <v>113.56649999999985</v>
      </c>
      <c r="O287" s="375">
        <f t="shared" si="96"/>
        <v>154.07775000000012</v>
      </c>
      <c r="P287" s="375">
        <f t="shared" si="96"/>
        <v>41.697000000000038</v>
      </c>
      <c r="Q287" s="375">
        <f t="shared" si="96"/>
        <v>12.852400000000012</v>
      </c>
      <c r="R287" s="375">
        <f t="shared" si="96"/>
        <v>9.5911999999999011</v>
      </c>
      <c r="S287" s="375">
        <f>(T286+S286)*(T285-S285)/2</f>
        <v>7.1761000000000061</v>
      </c>
      <c r="T287" s="375">
        <f t="shared" si="96"/>
        <v>2.8247000000000027</v>
      </c>
      <c r="U287" s="375">
        <f t="shared" si="96"/>
        <v>2.226650000000002</v>
      </c>
      <c r="V287" s="375">
        <f t="shared" si="96"/>
        <v>1.3267500000000012</v>
      </c>
      <c r="W287" s="375">
        <f>(X286+W286)*(X285-W285)/2</f>
        <v>0.3365000000000003</v>
      </c>
      <c r="X287" s="375">
        <f>(Y286+X286)*(Y285-X285)/2</f>
        <v>0</v>
      </c>
      <c r="Y287" s="369"/>
    </row>
    <row r="288" spans="1:25" ht="13.5" thickBot="1" x14ac:dyDescent="0.25">
      <c r="A288" s="12"/>
      <c r="L288" s="12"/>
      <c r="M288" s="12"/>
      <c r="N288" s="12"/>
      <c r="O288" s="12"/>
      <c r="P288" s="12"/>
      <c r="Q288" s="12"/>
      <c r="R288" s="12"/>
      <c r="S288" s="12"/>
      <c r="T288" s="12"/>
      <c r="U288" s="12"/>
      <c r="V288" s="12"/>
      <c r="W288" s="12"/>
      <c r="X288" s="12"/>
      <c r="Y288" s="12"/>
    </row>
    <row r="289" spans="1:25" ht="13.5" thickBot="1" x14ac:dyDescent="0.25">
      <c r="A289" s="361" t="s">
        <v>550</v>
      </c>
      <c r="B289" s="359">
        <f>ROW(A289)</f>
        <v>289</v>
      </c>
      <c r="C289" s="363" t="s">
        <v>115</v>
      </c>
      <c r="D289" s="353">
        <f>SUM(B292:Y292)</f>
        <v>3739.0284999999994</v>
      </c>
      <c r="E289" s="363" t="s">
        <v>114</v>
      </c>
      <c r="F289" s="354">
        <f>D289/g/J289</f>
        <v>203.4941790441234</v>
      </c>
      <c r="G289" s="363" t="s">
        <v>56</v>
      </c>
      <c r="H289" s="64">
        <v>3.5110000000000001</v>
      </c>
      <c r="I289" s="363" t="s">
        <v>271</v>
      </c>
      <c r="J289" s="355">
        <f>H289-L289</f>
        <v>1.8730000000000002</v>
      </c>
      <c r="K289" s="363" t="s">
        <v>272</v>
      </c>
      <c r="L289" s="64">
        <v>1.6379999999999999</v>
      </c>
      <c r="M289" s="363" t="s">
        <v>57</v>
      </c>
      <c r="N289" s="65">
        <v>243</v>
      </c>
      <c r="O289" s="363" t="s">
        <v>59</v>
      </c>
      <c r="P289" s="65">
        <v>249</v>
      </c>
      <c r="Q289" s="363" t="s">
        <v>60</v>
      </c>
      <c r="R289" s="65">
        <v>498</v>
      </c>
      <c r="S289" s="363" t="s">
        <v>61</v>
      </c>
      <c r="T289" s="65">
        <v>75</v>
      </c>
      <c r="U289" s="363" t="s">
        <v>54</v>
      </c>
      <c r="V289" s="66" t="s">
        <v>118</v>
      </c>
      <c r="W289" s="12"/>
      <c r="X289" s="12"/>
      <c r="Y289" s="12"/>
    </row>
    <row r="290" spans="1:25" x14ac:dyDescent="0.2">
      <c r="A290" s="362" t="s">
        <v>33</v>
      </c>
      <c r="B290" s="370">
        <v>0</v>
      </c>
      <c r="C290" s="371">
        <v>0.01</v>
      </c>
      <c r="D290" s="371">
        <v>0.1</v>
      </c>
      <c r="E290" s="371">
        <v>0.12</v>
      </c>
      <c r="F290" s="371">
        <v>0.26</v>
      </c>
      <c r="G290" s="371">
        <v>0.71</v>
      </c>
      <c r="H290" s="371">
        <v>1.28</v>
      </c>
      <c r="I290" s="371">
        <v>2.0499999999999998</v>
      </c>
      <c r="J290" s="371">
        <v>2.41</v>
      </c>
      <c r="K290" s="371">
        <v>2.83</v>
      </c>
      <c r="L290" s="371">
        <v>3.25</v>
      </c>
      <c r="M290" s="371">
        <v>3.65</v>
      </c>
      <c r="N290" s="371">
        <v>3.8</v>
      </c>
      <c r="O290" s="371">
        <v>4</v>
      </c>
      <c r="P290" s="371">
        <v>4.0999999999999996</v>
      </c>
      <c r="Q290" s="371">
        <v>4.1900000000000004</v>
      </c>
      <c r="R290" s="371">
        <v>4.3099999999999996</v>
      </c>
      <c r="S290" s="371">
        <v>4.41</v>
      </c>
      <c r="T290" s="371">
        <v>4.5199999999999996</v>
      </c>
      <c r="U290" s="371">
        <v>4.5999999999999996</v>
      </c>
      <c r="V290" s="371">
        <v>4.6500000000000004</v>
      </c>
      <c r="W290" s="371">
        <v>4.67</v>
      </c>
      <c r="X290" s="371">
        <v>4.68</v>
      </c>
      <c r="Y290" s="381">
        <v>1000</v>
      </c>
    </row>
    <row r="291" spans="1:25" x14ac:dyDescent="0.2">
      <c r="A291" s="378" t="s">
        <v>34</v>
      </c>
      <c r="B291" s="372">
        <v>27</v>
      </c>
      <c r="C291" s="373">
        <v>402.4</v>
      </c>
      <c r="D291" s="373">
        <v>1286</v>
      </c>
      <c r="E291" s="373">
        <v>1257</v>
      </c>
      <c r="F291" s="373">
        <v>1042</v>
      </c>
      <c r="G291" s="373">
        <v>1027</v>
      </c>
      <c r="H291" s="373">
        <v>998.4</v>
      </c>
      <c r="I291" s="373">
        <v>901.4</v>
      </c>
      <c r="J291" s="373">
        <v>849.6</v>
      </c>
      <c r="K291" s="373">
        <v>763.5</v>
      </c>
      <c r="L291" s="373">
        <v>707.1</v>
      </c>
      <c r="M291" s="373">
        <v>655.1</v>
      </c>
      <c r="N291" s="373">
        <v>651.70000000000005</v>
      </c>
      <c r="O291" s="373">
        <v>624.1</v>
      </c>
      <c r="P291" s="373">
        <v>601.29999999999995</v>
      </c>
      <c r="Q291" s="373">
        <v>536.20000000000005</v>
      </c>
      <c r="R291" s="373">
        <v>415.7</v>
      </c>
      <c r="S291" s="373">
        <v>270.2</v>
      </c>
      <c r="T291" s="373">
        <v>140.19999999999999</v>
      </c>
      <c r="U291" s="373">
        <v>76.900000000000006</v>
      </c>
      <c r="V291" s="373">
        <v>54.9</v>
      </c>
      <c r="W291" s="373">
        <v>40.200000000000003</v>
      </c>
      <c r="X291" s="373">
        <v>0</v>
      </c>
      <c r="Y291" s="382">
        <v>0</v>
      </c>
    </row>
    <row r="292" spans="1:25" ht="13.5" thickBot="1" x14ac:dyDescent="0.25">
      <c r="A292" s="379" t="s">
        <v>116</v>
      </c>
      <c r="B292" s="374">
        <f t="shared" ref="B292:V292" si="97">(C291+B291)*(C290-B290)/2</f>
        <v>2.1469999999999998</v>
      </c>
      <c r="C292" s="375">
        <f t="shared" si="97"/>
        <v>75.978000000000009</v>
      </c>
      <c r="D292" s="375">
        <f t="shared" si="97"/>
        <v>25.429999999999989</v>
      </c>
      <c r="E292" s="375">
        <f t="shared" si="97"/>
        <v>160.93</v>
      </c>
      <c r="F292" s="375">
        <f t="shared" si="97"/>
        <v>465.52499999999998</v>
      </c>
      <c r="G292" s="375">
        <f t="shared" si="97"/>
        <v>577.23900000000003</v>
      </c>
      <c r="H292" s="375">
        <f t="shared" si="97"/>
        <v>731.42299999999977</v>
      </c>
      <c r="I292" s="375">
        <f t="shared" si="97"/>
        <v>315.18000000000029</v>
      </c>
      <c r="J292" s="375">
        <f>(K291+J291)*(K290-J290)/2</f>
        <v>338.75099999999992</v>
      </c>
      <c r="K292" s="375">
        <f t="shared" si="97"/>
        <v>308.82599999999991</v>
      </c>
      <c r="L292" s="375">
        <f t="shared" si="97"/>
        <v>272.43999999999994</v>
      </c>
      <c r="M292" s="375">
        <f t="shared" si="97"/>
        <v>98.009999999999962</v>
      </c>
      <c r="N292" s="375">
        <f t="shared" si="97"/>
        <v>127.58000000000013</v>
      </c>
      <c r="O292" s="375">
        <f t="shared" si="97"/>
        <v>61.26999999999979</v>
      </c>
      <c r="P292" s="375">
        <f t="shared" si="97"/>
        <v>51.187500000000426</v>
      </c>
      <c r="Q292" s="375">
        <f t="shared" si="97"/>
        <v>57.113999999999635</v>
      </c>
      <c r="R292" s="375">
        <f t="shared" si="97"/>
        <v>34.295000000000179</v>
      </c>
      <c r="S292" s="375">
        <f>(T291+S291)*(T290-S290)/2</f>
        <v>22.571999999999882</v>
      </c>
      <c r="T292" s="375">
        <f t="shared" si="97"/>
        <v>8.6840000000000082</v>
      </c>
      <c r="U292" s="375">
        <f t="shared" si="97"/>
        <v>3.295000000000047</v>
      </c>
      <c r="V292" s="375">
        <f t="shared" si="97"/>
        <v>0.95099999999997964</v>
      </c>
      <c r="W292" s="375">
        <f>(X291+W291)*(X290-W290)/2</f>
        <v>0.20099999999999574</v>
      </c>
      <c r="X292" s="375">
        <f>(Y291+X291)*(Y290-X290)/2</f>
        <v>0</v>
      </c>
      <c r="Y292" s="369"/>
    </row>
    <row r="293" spans="1:25" ht="13.5" thickBot="1" x14ac:dyDescent="0.25">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row>
    <row r="294" spans="1:25" ht="13.5" thickBot="1" x14ac:dyDescent="0.25">
      <c r="A294" s="361" t="s">
        <v>556</v>
      </c>
      <c r="B294" s="359">
        <f>ROW(A294)</f>
        <v>294</v>
      </c>
      <c r="C294" s="363" t="s">
        <v>115</v>
      </c>
      <c r="D294" s="353">
        <f>SUM(B297:Y297)</f>
        <v>14273.976008499998</v>
      </c>
      <c r="E294" s="363" t="s">
        <v>114</v>
      </c>
      <c r="F294" s="354">
        <f>D294/g/J294</f>
        <v>169.50645688990159</v>
      </c>
      <c r="G294" s="363" t="s">
        <v>56</v>
      </c>
      <c r="H294" s="64">
        <v>13.247999999999999</v>
      </c>
      <c r="I294" s="363" t="s">
        <v>271</v>
      </c>
      <c r="J294" s="355">
        <f>H294-L294</f>
        <v>8.5839999999999996</v>
      </c>
      <c r="K294" s="363" t="s">
        <v>272</v>
      </c>
      <c r="L294" s="64">
        <v>4.6639999999999997</v>
      </c>
      <c r="M294" s="363" t="s">
        <v>57</v>
      </c>
      <c r="N294" s="65">
        <f>R294/2</f>
        <v>505</v>
      </c>
      <c r="O294" s="363" t="s">
        <v>59</v>
      </c>
      <c r="P294" s="65">
        <v>505</v>
      </c>
      <c r="Q294" s="363" t="s">
        <v>60</v>
      </c>
      <c r="R294" s="65">
        <v>1010</v>
      </c>
      <c r="S294" s="363" t="s">
        <v>61</v>
      </c>
      <c r="T294" s="65">
        <v>98</v>
      </c>
      <c r="U294" s="363" t="s">
        <v>54</v>
      </c>
      <c r="V294" s="66" t="s">
        <v>118</v>
      </c>
      <c r="W294" s="12"/>
      <c r="X294" s="12"/>
      <c r="Y294" s="12"/>
    </row>
    <row r="295" spans="1:25" x14ac:dyDescent="0.2">
      <c r="A295" s="362" t="s">
        <v>33</v>
      </c>
      <c r="B295" s="370">
        <v>0</v>
      </c>
      <c r="C295" s="371">
        <v>0.04</v>
      </c>
      <c r="D295" s="371">
        <v>0.08</v>
      </c>
      <c r="E295" s="371">
        <v>0.20100000000000001</v>
      </c>
      <c r="F295" s="371">
        <v>0.44700000000000001</v>
      </c>
      <c r="G295" s="371">
        <v>0.67800000000000005</v>
      </c>
      <c r="H295" s="371">
        <v>0.75800000000000001</v>
      </c>
      <c r="I295" s="371">
        <v>0.85299999999999998</v>
      </c>
      <c r="J295" s="371">
        <v>2.4249999999999998</v>
      </c>
      <c r="K295" s="371">
        <v>2.52</v>
      </c>
      <c r="L295" s="371">
        <v>2.7610000000000001</v>
      </c>
      <c r="M295" s="371">
        <v>3.4340000000000002</v>
      </c>
      <c r="N295" s="371">
        <v>3.7149999999999999</v>
      </c>
      <c r="O295" s="371">
        <v>4.077</v>
      </c>
      <c r="P295" s="371">
        <v>4.96</v>
      </c>
      <c r="Q295" s="371">
        <v>5.492</v>
      </c>
      <c r="R295" s="371">
        <v>6.1050000000000004</v>
      </c>
      <c r="S295" s="371">
        <v>6.4459999999999997</v>
      </c>
      <c r="T295" s="371">
        <v>6.6470000000000002</v>
      </c>
      <c r="U295" s="371">
        <v>7.0739999999999998</v>
      </c>
      <c r="V295" s="371">
        <v>7.2389999999999999</v>
      </c>
      <c r="W295" s="533">
        <v>7.2539999999999996</v>
      </c>
      <c r="X295" s="371">
        <v>8</v>
      </c>
      <c r="Y295" s="381">
        <v>1000</v>
      </c>
    </row>
    <row r="296" spans="1:25" x14ac:dyDescent="0.2">
      <c r="A296" s="378" t="s">
        <v>34</v>
      </c>
      <c r="B296" s="372">
        <v>0</v>
      </c>
      <c r="C296" s="373">
        <v>1382.46</v>
      </c>
      <c r="D296" s="373">
        <v>1699.1469999999999</v>
      </c>
      <c r="E296" s="373">
        <v>1781.364</v>
      </c>
      <c r="F296" s="373">
        <v>1793.5440000000001</v>
      </c>
      <c r="G296" s="373">
        <v>1820.95</v>
      </c>
      <c r="H296" s="373">
        <v>1927.527</v>
      </c>
      <c r="I296" s="373">
        <v>1842.2660000000001</v>
      </c>
      <c r="J296" s="373">
        <v>2088.9160000000002</v>
      </c>
      <c r="K296" s="373">
        <v>2180.268</v>
      </c>
      <c r="L296" s="373">
        <v>2198.538</v>
      </c>
      <c r="M296" s="373">
        <v>2213.7640000000001</v>
      </c>
      <c r="N296" s="373">
        <v>2268.5749999999998</v>
      </c>
      <c r="O296" s="373">
        <v>2299.0259999999998</v>
      </c>
      <c r="P296" s="373">
        <v>2238.1239999999998</v>
      </c>
      <c r="Q296" s="373">
        <v>2161.998</v>
      </c>
      <c r="R296" s="373">
        <v>2024.97</v>
      </c>
      <c r="S296" s="373">
        <v>1878.806</v>
      </c>
      <c r="T296" s="373">
        <v>1668.6969999999999</v>
      </c>
      <c r="U296" s="373">
        <v>602.923</v>
      </c>
      <c r="V296" s="373">
        <v>140.07300000000001</v>
      </c>
      <c r="W296" s="373">
        <v>0</v>
      </c>
      <c r="X296" s="373">
        <v>0</v>
      </c>
      <c r="Y296" s="382">
        <v>0</v>
      </c>
    </row>
    <row r="297" spans="1:25" ht="13.5" thickBot="1" x14ac:dyDescent="0.25">
      <c r="A297" s="379" t="s">
        <v>116</v>
      </c>
      <c r="B297" s="374">
        <f t="shared" ref="B297:X297" si="98">(C296+B296)*(C295-B295)/2</f>
        <v>27.6492</v>
      </c>
      <c r="C297" s="375">
        <f t="shared" si="98"/>
        <v>61.63214</v>
      </c>
      <c r="D297" s="375">
        <f t="shared" si="98"/>
        <v>210.57091550000001</v>
      </c>
      <c r="E297" s="375">
        <f t="shared" si="98"/>
        <v>439.71368400000006</v>
      </c>
      <c r="F297" s="375">
        <f t="shared" si="98"/>
        <v>417.47405700000007</v>
      </c>
      <c r="G297" s="375">
        <f t="shared" si="98"/>
        <v>149.93907999999993</v>
      </c>
      <c r="H297" s="375">
        <f t="shared" si="98"/>
        <v>179.06516749999994</v>
      </c>
      <c r="I297" s="375">
        <f t="shared" si="98"/>
        <v>3089.909052</v>
      </c>
      <c r="J297" s="375">
        <f t="shared" si="98"/>
        <v>202.78624000000042</v>
      </c>
      <c r="K297" s="375">
        <f t="shared" si="98"/>
        <v>527.64612300000033</v>
      </c>
      <c r="L297" s="375">
        <f t="shared" si="98"/>
        <v>1484.7396229999999</v>
      </c>
      <c r="M297" s="375">
        <f t="shared" si="98"/>
        <v>629.76862949999929</v>
      </c>
      <c r="N297" s="375">
        <f t="shared" si="98"/>
        <v>826.7357810000002</v>
      </c>
      <c r="O297" s="375">
        <f t="shared" si="98"/>
        <v>2003.1517249999999</v>
      </c>
      <c r="P297" s="375">
        <f t="shared" si="98"/>
        <v>1170.432452</v>
      </c>
      <c r="Q297" s="375">
        <f t="shared" si="98"/>
        <v>1283.3056920000008</v>
      </c>
      <c r="R297" s="375">
        <f t="shared" si="98"/>
        <v>665.5938079999986</v>
      </c>
      <c r="S297" s="375">
        <f t="shared" si="98"/>
        <v>356.52405150000089</v>
      </c>
      <c r="T297" s="375">
        <f t="shared" si="98"/>
        <v>484.99086999999952</v>
      </c>
      <c r="U297" s="375">
        <f t="shared" si="98"/>
        <v>61.297170000000008</v>
      </c>
      <c r="V297" s="375">
        <f t="shared" si="98"/>
        <v>1.0505474999999778</v>
      </c>
      <c r="W297" s="375">
        <f t="shared" si="98"/>
        <v>0</v>
      </c>
      <c r="X297" s="375">
        <f t="shared" si="98"/>
        <v>0</v>
      </c>
      <c r="Y297" s="369"/>
    </row>
    <row r="298" spans="1:25" ht="13.5" thickBot="1" x14ac:dyDescent="0.25">
      <c r="A298" s="12"/>
      <c r="L298" s="12"/>
      <c r="M298" s="12"/>
      <c r="N298" s="12"/>
      <c r="O298" s="12"/>
      <c r="P298" s="12"/>
      <c r="Q298" s="12"/>
      <c r="R298" s="12"/>
      <c r="S298" s="12"/>
      <c r="T298" s="12"/>
      <c r="U298" s="12"/>
      <c r="V298" s="12"/>
      <c r="W298" s="12"/>
      <c r="X298" s="12"/>
      <c r="Y298" s="12"/>
    </row>
    <row r="299" spans="1:25" ht="13.5" thickBot="1" x14ac:dyDescent="0.25">
      <c r="A299" s="361" t="s">
        <v>318</v>
      </c>
      <c r="B299" s="359">
        <f>ROW(A299)</f>
        <v>299</v>
      </c>
      <c r="C299" s="363" t="s">
        <v>115</v>
      </c>
      <c r="D299" s="353">
        <f>SUM(B302:Y302)</f>
        <v>7412.4371409999985</v>
      </c>
      <c r="E299" s="363" t="s">
        <v>114</v>
      </c>
      <c r="F299" s="354">
        <f>D299/g/J299</f>
        <v>223.28608637999045</v>
      </c>
      <c r="G299" s="363" t="s">
        <v>56</v>
      </c>
      <c r="H299" s="64">
        <v>6.25</v>
      </c>
      <c r="I299" s="363" t="s">
        <v>271</v>
      </c>
      <c r="J299" s="355">
        <f>H299-L299</f>
        <v>3.3839999999999999</v>
      </c>
      <c r="K299" s="363" t="s">
        <v>272</v>
      </c>
      <c r="L299" s="64">
        <v>2.8660000000000001</v>
      </c>
      <c r="M299" s="363" t="s">
        <v>57</v>
      </c>
      <c r="N299" s="65">
        <v>290</v>
      </c>
      <c r="O299" s="363" t="s">
        <v>59</v>
      </c>
      <c r="P299" s="65">
        <v>290</v>
      </c>
      <c r="Q299" s="363" t="s">
        <v>60</v>
      </c>
      <c r="R299" s="65">
        <v>579</v>
      </c>
      <c r="S299" s="363" t="s">
        <v>61</v>
      </c>
      <c r="T299" s="65">
        <v>98</v>
      </c>
      <c r="U299" s="363" t="s">
        <v>54</v>
      </c>
      <c r="V299" s="66" t="s">
        <v>118</v>
      </c>
      <c r="W299" s="12"/>
      <c r="X299" s="12"/>
      <c r="Y299" s="12"/>
    </row>
    <row r="300" spans="1:25" x14ac:dyDescent="0.2">
      <c r="A300" s="362" t="s">
        <v>33</v>
      </c>
      <c r="B300" s="370">
        <v>0</v>
      </c>
      <c r="C300" s="371">
        <v>1.7000000000000001E-2</v>
      </c>
      <c r="D300" s="371">
        <v>5.1999999999999998E-2</v>
      </c>
      <c r="E300" s="371">
        <v>8.7999999999999995E-2</v>
      </c>
      <c r="F300" s="371">
        <v>0.108</v>
      </c>
      <c r="G300" s="371">
        <v>0.127</v>
      </c>
      <c r="H300" s="371">
        <v>0.17399999999999999</v>
      </c>
      <c r="I300" s="371">
        <v>0.25700000000000001</v>
      </c>
      <c r="J300" s="371">
        <v>0.40300000000000002</v>
      </c>
      <c r="K300" s="371">
        <v>0.76200000000000001</v>
      </c>
      <c r="L300" s="371">
        <v>0.97699999999999998</v>
      </c>
      <c r="M300" s="371">
        <v>1.341</v>
      </c>
      <c r="N300" s="371">
        <v>1.5009999999999999</v>
      </c>
      <c r="O300" s="371">
        <v>1.661</v>
      </c>
      <c r="P300" s="371">
        <v>1.96</v>
      </c>
      <c r="Q300" s="371">
        <v>2.4039999999999999</v>
      </c>
      <c r="R300" s="371">
        <v>2.641</v>
      </c>
      <c r="S300" s="371">
        <v>2.7160000000000002</v>
      </c>
      <c r="T300" s="371">
        <v>2.8210000000000002</v>
      </c>
      <c r="U300" s="371">
        <v>2.8919999999999999</v>
      </c>
      <c r="V300" s="371">
        <v>2.92</v>
      </c>
      <c r="W300" s="371">
        <v>2.97</v>
      </c>
      <c r="X300" s="371">
        <v>3</v>
      </c>
      <c r="Y300" s="381">
        <v>1000</v>
      </c>
    </row>
    <row r="301" spans="1:25" x14ac:dyDescent="0.2">
      <c r="A301" s="378" t="s">
        <v>34</v>
      </c>
      <c r="B301" s="372">
        <v>0</v>
      </c>
      <c r="C301" s="373">
        <v>329.84699999999998</v>
      </c>
      <c r="D301" s="373">
        <v>1003.68</v>
      </c>
      <c r="E301" s="373">
        <v>2346.62</v>
      </c>
      <c r="F301" s="373">
        <v>2549.2399999999998</v>
      </c>
      <c r="G301" s="373">
        <v>2605.79</v>
      </c>
      <c r="H301" s="373">
        <v>2520.9699999999998</v>
      </c>
      <c r="I301" s="373">
        <v>2516.2600000000002</v>
      </c>
      <c r="J301" s="373">
        <v>2596.37</v>
      </c>
      <c r="K301" s="373">
        <v>2808.41</v>
      </c>
      <c r="L301" s="373">
        <v>2954.49</v>
      </c>
      <c r="M301" s="373">
        <v>2959.2</v>
      </c>
      <c r="N301" s="373">
        <v>2907.36</v>
      </c>
      <c r="O301" s="373">
        <v>2869.67</v>
      </c>
      <c r="P301" s="373">
        <v>2695.32</v>
      </c>
      <c r="Q301" s="373">
        <v>2351.34</v>
      </c>
      <c r="R301" s="373">
        <v>2228.8200000000002</v>
      </c>
      <c r="S301" s="373">
        <v>2007.35</v>
      </c>
      <c r="T301" s="373">
        <v>1427.77</v>
      </c>
      <c r="U301" s="373">
        <v>504.19400000000002</v>
      </c>
      <c r="V301" s="373">
        <v>334.55900000000003</v>
      </c>
      <c r="W301" s="373">
        <v>122.515</v>
      </c>
      <c r="X301" s="373">
        <v>0</v>
      </c>
      <c r="Y301" s="382">
        <v>0</v>
      </c>
    </row>
    <row r="302" spans="1:25" ht="13.5" thickBot="1" x14ac:dyDescent="0.25">
      <c r="A302" s="379" t="s">
        <v>116</v>
      </c>
      <c r="B302" s="374">
        <f t="shared" ref="B302:X302" si="99">(C301+B301)*(C300-B300)/2</f>
        <v>2.8036995</v>
      </c>
      <c r="C302" s="375">
        <f t="shared" si="99"/>
        <v>23.336722499999997</v>
      </c>
      <c r="D302" s="375">
        <f t="shared" si="99"/>
        <v>60.305399999999992</v>
      </c>
      <c r="E302" s="375">
        <f t="shared" si="99"/>
        <v>48.958600000000004</v>
      </c>
      <c r="F302" s="375">
        <f t="shared" si="99"/>
        <v>48.972785000000002</v>
      </c>
      <c r="G302" s="375">
        <f t="shared" si="99"/>
        <v>120.47885999999997</v>
      </c>
      <c r="H302" s="375">
        <f t="shared" si="99"/>
        <v>209.04504500000002</v>
      </c>
      <c r="I302" s="375">
        <f t="shared" si="99"/>
        <v>373.22199000000006</v>
      </c>
      <c r="J302" s="375">
        <f t="shared" si="99"/>
        <v>970.15800999999988</v>
      </c>
      <c r="K302" s="375">
        <f t="shared" si="99"/>
        <v>619.51174999999989</v>
      </c>
      <c r="L302" s="375">
        <f t="shared" si="99"/>
        <v>1076.2915799999998</v>
      </c>
      <c r="M302" s="375">
        <f t="shared" si="99"/>
        <v>469.3247999999997</v>
      </c>
      <c r="N302" s="375">
        <f t="shared" si="99"/>
        <v>462.16240000000045</v>
      </c>
      <c r="O302" s="375">
        <f t="shared" si="99"/>
        <v>831.96600499999977</v>
      </c>
      <c r="P302" s="375">
        <f t="shared" si="99"/>
        <v>1120.3585199999998</v>
      </c>
      <c r="Q302" s="375">
        <f t="shared" si="99"/>
        <v>542.74896000000024</v>
      </c>
      <c r="R302" s="375">
        <f t="shared" si="99"/>
        <v>158.85637500000038</v>
      </c>
      <c r="S302" s="375">
        <f t="shared" si="99"/>
        <v>180.34379999999996</v>
      </c>
      <c r="T302" s="375">
        <f t="shared" si="99"/>
        <v>68.584721999999744</v>
      </c>
      <c r="U302" s="375">
        <f t="shared" si="99"/>
        <v>11.742542000000011</v>
      </c>
      <c r="V302" s="375">
        <f t="shared" si="99"/>
        <v>11.42685000000006</v>
      </c>
      <c r="W302" s="375">
        <f t="shared" si="99"/>
        <v>1.8377249999999881</v>
      </c>
      <c r="X302" s="375">
        <f t="shared" si="99"/>
        <v>0</v>
      </c>
      <c r="Y302" s="369"/>
    </row>
    <row r="303" spans="1:25" ht="13.5" thickBot="1" x14ac:dyDescent="0.25">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row>
    <row r="304" spans="1:25" ht="13.5" thickBot="1" x14ac:dyDescent="0.25">
      <c r="A304" s="361" t="s">
        <v>551</v>
      </c>
      <c r="B304" s="359">
        <f>ROW(A304)</f>
        <v>304</v>
      </c>
      <c r="C304" s="363" t="s">
        <v>115</v>
      </c>
      <c r="D304" s="353">
        <f>SUM(B307:Y307)</f>
        <v>17734.977350500001</v>
      </c>
      <c r="E304" s="363" t="s">
        <v>114</v>
      </c>
      <c r="F304" s="354">
        <f>D304/g/J304</f>
        <v>192.73420306179892</v>
      </c>
      <c r="G304" s="363" t="s">
        <v>56</v>
      </c>
      <c r="H304" s="64">
        <v>14.747999999999999</v>
      </c>
      <c r="I304" s="363" t="s">
        <v>271</v>
      </c>
      <c r="J304" s="355">
        <f>H304-L304</f>
        <v>9.379999999999999</v>
      </c>
      <c r="K304" s="363" t="s">
        <v>272</v>
      </c>
      <c r="L304" s="64">
        <v>5.3680000000000003</v>
      </c>
      <c r="M304" s="363" t="s">
        <v>57</v>
      </c>
      <c r="N304" s="65">
        <v>500</v>
      </c>
      <c r="O304" s="363" t="s">
        <v>59</v>
      </c>
      <c r="P304" s="65">
        <v>500</v>
      </c>
      <c r="Q304" s="363" t="s">
        <v>60</v>
      </c>
      <c r="R304" s="65">
        <v>1046</v>
      </c>
      <c r="S304" s="363" t="s">
        <v>61</v>
      </c>
      <c r="T304" s="65">
        <v>98</v>
      </c>
      <c r="U304" s="363" t="s">
        <v>54</v>
      </c>
      <c r="V304" s="66" t="s">
        <v>118</v>
      </c>
      <c r="W304" s="12"/>
      <c r="X304" s="12"/>
      <c r="Y304" s="12"/>
    </row>
    <row r="305" spans="1:25" x14ac:dyDescent="0.2">
      <c r="A305" s="362" t="s">
        <v>33</v>
      </c>
      <c r="B305" s="370">
        <v>0</v>
      </c>
      <c r="C305" s="371">
        <v>3.0000000000000001E-3</v>
      </c>
      <c r="D305" s="371">
        <v>0.05</v>
      </c>
      <c r="E305" s="371">
        <v>7.8E-2</v>
      </c>
      <c r="F305" s="371">
        <v>0.121</v>
      </c>
      <c r="G305" s="371">
        <v>0.65200000000000002</v>
      </c>
      <c r="H305" s="371">
        <v>1.123</v>
      </c>
      <c r="I305" s="371">
        <v>1.655</v>
      </c>
      <c r="J305" s="371">
        <v>2.3530000000000002</v>
      </c>
      <c r="K305" s="371">
        <v>3.0350000000000001</v>
      </c>
      <c r="L305" s="371">
        <v>3.7</v>
      </c>
      <c r="M305" s="371">
        <v>3.7330000000000001</v>
      </c>
      <c r="N305" s="371">
        <v>3.887</v>
      </c>
      <c r="O305" s="371">
        <v>4.0359999999999996</v>
      </c>
      <c r="P305" s="371">
        <v>4.1970000000000001</v>
      </c>
      <c r="Q305" s="371">
        <v>4.2619999999999996</v>
      </c>
      <c r="R305" s="371">
        <v>4.3</v>
      </c>
      <c r="S305" s="371">
        <v>5</v>
      </c>
      <c r="T305" s="371">
        <v>5</v>
      </c>
      <c r="U305" s="371">
        <v>5</v>
      </c>
      <c r="V305" s="371">
        <v>5</v>
      </c>
      <c r="W305" s="371">
        <v>5</v>
      </c>
      <c r="X305" s="371">
        <v>5</v>
      </c>
      <c r="Y305" s="381">
        <v>1000</v>
      </c>
    </row>
    <row r="306" spans="1:25" x14ac:dyDescent="0.2">
      <c r="A306" s="378" t="s">
        <v>34</v>
      </c>
      <c r="B306" s="372">
        <v>0</v>
      </c>
      <c r="C306" s="373">
        <v>203.87700000000001</v>
      </c>
      <c r="D306" s="373">
        <v>2362.8789999999999</v>
      </c>
      <c r="E306" s="373">
        <v>3946.8449999999998</v>
      </c>
      <c r="F306" s="373">
        <v>4281.4120000000003</v>
      </c>
      <c r="G306" s="373">
        <v>4370.2809999999999</v>
      </c>
      <c r="H306" s="373">
        <v>4453.9229999999998</v>
      </c>
      <c r="I306" s="373">
        <v>4772.8069999999998</v>
      </c>
      <c r="J306" s="373">
        <v>4621.2060000000001</v>
      </c>
      <c r="K306" s="373">
        <v>4511.4269999999997</v>
      </c>
      <c r="L306" s="373">
        <v>4375.509</v>
      </c>
      <c r="M306" s="373">
        <v>4182.0870000000004</v>
      </c>
      <c r="N306" s="373">
        <v>2969.2820000000002</v>
      </c>
      <c r="O306" s="373">
        <v>1589.193</v>
      </c>
      <c r="P306" s="373">
        <v>533.21600000000001</v>
      </c>
      <c r="Q306" s="373">
        <v>240.47</v>
      </c>
      <c r="R306" s="373">
        <v>0</v>
      </c>
      <c r="S306" s="373">
        <v>0</v>
      </c>
      <c r="T306" s="373">
        <v>0</v>
      </c>
      <c r="U306" s="373">
        <v>0</v>
      </c>
      <c r="V306" s="373">
        <v>0</v>
      </c>
      <c r="W306" s="373">
        <v>0</v>
      </c>
      <c r="X306" s="373">
        <v>0</v>
      </c>
      <c r="Y306" s="382">
        <v>0</v>
      </c>
    </row>
    <row r="307" spans="1:25" ht="13.5" thickBot="1" x14ac:dyDescent="0.25">
      <c r="A307" s="379" t="s">
        <v>116</v>
      </c>
      <c r="B307" s="374">
        <f t="shared" ref="B307" si="100">(C306+B306)*(C305-B305)/2</f>
        <v>0.30581550000000002</v>
      </c>
      <c r="C307" s="375">
        <f t="shared" ref="C307" si="101">(D306+C306)*(D305-C305)/2</f>
        <v>60.318765999999997</v>
      </c>
      <c r="D307" s="375">
        <f t="shared" ref="D307" si="102">(E306+D306)*(E305-D305)/2</f>
        <v>88.336135999999996</v>
      </c>
      <c r="E307" s="375">
        <f t="shared" ref="E307" si="103">(F306+E306)*(F305-E305)/2</f>
        <v>176.90752549999999</v>
      </c>
      <c r="F307" s="375">
        <f t="shared" ref="F307" si="104">(G306+F306)*(G305-F305)/2</f>
        <v>2297.0244914999998</v>
      </c>
      <c r="G307" s="375">
        <f t="shared" ref="G307" si="105">(H306+G306)*(H305-G305)/2</f>
        <v>2078.100042</v>
      </c>
      <c r="H307" s="375">
        <f t="shared" ref="H307" si="106">(I306+H306)*(I305-H305)/2</f>
        <v>2454.3101799999999</v>
      </c>
      <c r="I307" s="375">
        <f t="shared" ref="I307" si="107">(J306+I306)*(J305-I305)/2</f>
        <v>3278.5105370000006</v>
      </c>
      <c r="J307" s="375">
        <f t="shared" ref="J307" si="108">(K306+J306)*(K305-J305)/2</f>
        <v>3114.2278529999999</v>
      </c>
      <c r="K307" s="375">
        <f t="shared" ref="K307" si="109">(L306+K306)*(L305-K305)/2</f>
        <v>2954.9062199999998</v>
      </c>
      <c r="L307" s="375">
        <f t="shared" ref="L307" si="110">(M306+L306)*(M305-L305)/2</f>
        <v>141.20033399999969</v>
      </c>
      <c r="M307" s="375">
        <f t="shared" ref="M307" si="111">(N306+M306)*(N305-M305)/2</f>
        <v>550.65541299999973</v>
      </c>
      <c r="N307" s="375">
        <f t="shared" ref="N307" si="112">(O306+N306)*(O305-N305)/2</f>
        <v>339.60638749999907</v>
      </c>
      <c r="O307" s="375">
        <f t="shared" ref="O307" si="113">(P306+O306)*(P305-O305)/2</f>
        <v>170.85392450000052</v>
      </c>
      <c r="P307" s="375">
        <f t="shared" ref="P307" si="114">(Q306+P306)*(Q305-P305)/2</f>
        <v>25.14479499999981</v>
      </c>
      <c r="Q307" s="375">
        <f t="shared" ref="Q307" si="115">(R306+Q306)*(R305-Q305)/2</f>
        <v>4.568930000000031</v>
      </c>
      <c r="R307" s="375">
        <f t="shared" ref="R307" si="116">(S306+R306)*(S305-R305)/2</f>
        <v>0</v>
      </c>
      <c r="S307" s="375">
        <f t="shared" ref="S307" si="117">(T306+S306)*(T305-S305)/2</f>
        <v>0</v>
      </c>
      <c r="T307" s="375">
        <f t="shared" ref="T307" si="118">(U306+T306)*(U305-T305)/2</f>
        <v>0</v>
      </c>
      <c r="U307" s="375">
        <f t="shared" ref="U307" si="119">(V306+U306)*(V305-U305)/2</f>
        <v>0</v>
      </c>
      <c r="V307" s="375">
        <f t="shared" ref="V307" si="120">(W306+V306)*(W305-V305)/2</f>
        <v>0</v>
      </c>
      <c r="W307" s="375">
        <f t="shared" ref="W307" si="121">(X306+W306)*(X305-W305)/2</f>
        <v>0</v>
      </c>
      <c r="X307" s="375">
        <f t="shared" ref="X307" si="122">(Y306+X306)*(Y305-X305)/2</f>
        <v>0</v>
      </c>
      <c r="Y307" s="369"/>
    </row>
    <row r="308" spans="1:25" ht="13.5" thickBot="1" x14ac:dyDescent="0.25">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row>
    <row r="309" spans="1:25" ht="13.5" thickBot="1" x14ac:dyDescent="0.25">
      <c r="A309" s="361" t="s">
        <v>44</v>
      </c>
      <c r="B309" s="359">
        <f>ROW(A309)</f>
        <v>309</v>
      </c>
      <c r="C309" s="363" t="s">
        <v>115</v>
      </c>
      <c r="D309" s="353">
        <f>SUM(B312:Y312)</f>
        <v>1E-3</v>
      </c>
      <c r="E309" s="363" t="s">
        <v>114</v>
      </c>
      <c r="F309" s="354">
        <f>D309/g/J309</f>
        <v>1.019367991845056</v>
      </c>
      <c r="G309" s="363" t="s">
        <v>56</v>
      </c>
      <c r="H309" s="64">
        <v>1E-4</v>
      </c>
      <c r="I309" s="363" t="s">
        <v>271</v>
      </c>
      <c r="J309" s="355">
        <f>H309-L309</f>
        <v>1E-4</v>
      </c>
      <c r="K309" s="363" t="s">
        <v>272</v>
      </c>
      <c r="L309" s="64">
        <v>0</v>
      </c>
      <c r="M309" s="363" t="s">
        <v>57</v>
      </c>
      <c r="N309" s="65">
        <v>0</v>
      </c>
      <c r="O309" s="363" t="s">
        <v>59</v>
      </c>
      <c r="P309" s="65">
        <v>0</v>
      </c>
      <c r="Q309" s="363" t="s">
        <v>60</v>
      </c>
      <c r="R309" s="65">
        <v>0</v>
      </c>
      <c r="S309" s="363" t="s">
        <v>61</v>
      </c>
      <c r="T309" s="65">
        <v>0</v>
      </c>
      <c r="U309" s="363" t="s">
        <v>54</v>
      </c>
      <c r="V309" s="66" t="s">
        <v>118</v>
      </c>
      <c r="W309" s="12"/>
      <c r="X309" s="12"/>
      <c r="Y309" s="12"/>
    </row>
    <row r="310" spans="1:25" x14ac:dyDescent="0.2">
      <c r="A310" s="362" t="s">
        <v>33</v>
      </c>
      <c r="B310" s="370">
        <v>0</v>
      </c>
      <c r="C310" s="371">
        <v>0.1</v>
      </c>
      <c r="D310" s="371">
        <v>0.2</v>
      </c>
      <c r="E310" s="371">
        <v>1</v>
      </c>
      <c r="F310" s="371">
        <v>1</v>
      </c>
      <c r="G310" s="371">
        <v>1</v>
      </c>
      <c r="H310" s="371">
        <v>1</v>
      </c>
      <c r="I310" s="371">
        <v>1</v>
      </c>
      <c r="J310" s="371">
        <v>1</v>
      </c>
      <c r="K310" s="371">
        <v>1</v>
      </c>
      <c r="L310" s="371">
        <v>1</v>
      </c>
      <c r="M310" s="371">
        <v>1</v>
      </c>
      <c r="N310" s="371">
        <v>1</v>
      </c>
      <c r="O310" s="371">
        <v>1</v>
      </c>
      <c r="P310" s="371">
        <v>1</v>
      </c>
      <c r="Q310" s="371">
        <v>1</v>
      </c>
      <c r="R310" s="371">
        <v>1</v>
      </c>
      <c r="S310" s="371">
        <v>1</v>
      </c>
      <c r="T310" s="371">
        <v>1</v>
      </c>
      <c r="U310" s="371">
        <v>1</v>
      </c>
      <c r="V310" s="371">
        <v>1</v>
      </c>
      <c r="W310" s="371">
        <v>1</v>
      </c>
      <c r="X310" s="371">
        <v>1</v>
      </c>
      <c r="Y310" s="381">
        <v>1000</v>
      </c>
    </row>
    <row r="311" spans="1:25" x14ac:dyDescent="0.2">
      <c r="A311" s="378" t="s">
        <v>34</v>
      </c>
      <c r="B311" s="372">
        <v>0</v>
      </c>
      <c r="C311" s="373">
        <v>0.01</v>
      </c>
      <c r="D311" s="373">
        <v>0</v>
      </c>
      <c r="E311" s="373">
        <v>0</v>
      </c>
      <c r="F311" s="373">
        <v>0</v>
      </c>
      <c r="G311" s="373">
        <v>0</v>
      </c>
      <c r="H311" s="373">
        <v>0</v>
      </c>
      <c r="I311" s="373">
        <v>0</v>
      </c>
      <c r="J311" s="373">
        <v>0</v>
      </c>
      <c r="K311" s="373">
        <v>0</v>
      </c>
      <c r="L311" s="373">
        <v>0</v>
      </c>
      <c r="M311" s="373">
        <v>0</v>
      </c>
      <c r="N311" s="373">
        <v>0</v>
      </c>
      <c r="O311" s="373">
        <v>0</v>
      </c>
      <c r="P311" s="373">
        <v>0</v>
      </c>
      <c r="Q311" s="373">
        <v>0</v>
      </c>
      <c r="R311" s="373">
        <v>0</v>
      </c>
      <c r="S311" s="373">
        <v>0</v>
      </c>
      <c r="T311" s="373">
        <v>0</v>
      </c>
      <c r="U311" s="373">
        <v>0</v>
      </c>
      <c r="V311" s="373">
        <v>0</v>
      </c>
      <c r="W311" s="373">
        <v>0</v>
      </c>
      <c r="X311" s="373">
        <v>0</v>
      </c>
      <c r="Y311" s="382">
        <v>0</v>
      </c>
    </row>
    <row r="312" spans="1:25" ht="13.5" thickBot="1" x14ac:dyDescent="0.25">
      <c r="A312" s="379" t="s">
        <v>116</v>
      </c>
      <c r="B312" s="374">
        <f t="shared" ref="B312:G312" si="123">(C311+B311)*(C310-B310)/2</f>
        <v>5.0000000000000001E-4</v>
      </c>
      <c r="C312" s="375">
        <f t="shared" si="123"/>
        <v>5.0000000000000001E-4</v>
      </c>
      <c r="D312" s="375">
        <f t="shared" si="123"/>
        <v>0</v>
      </c>
      <c r="E312" s="375">
        <f t="shared" si="123"/>
        <v>0</v>
      </c>
      <c r="F312" s="375">
        <f t="shared" si="123"/>
        <v>0</v>
      </c>
      <c r="G312" s="375">
        <f t="shared" si="123"/>
        <v>0</v>
      </c>
      <c r="H312" s="375">
        <f t="shared" ref="H312:V312" si="124">(I311+H311)*(I310-H310)/2</f>
        <v>0</v>
      </c>
      <c r="I312" s="375">
        <f t="shared" si="124"/>
        <v>0</v>
      </c>
      <c r="J312" s="375">
        <f>(K311+J311)*(K310-J310)/2</f>
        <v>0</v>
      </c>
      <c r="K312" s="375">
        <f t="shared" si="124"/>
        <v>0</v>
      </c>
      <c r="L312" s="375">
        <f t="shared" si="124"/>
        <v>0</v>
      </c>
      <c r="M312" s="375">
        <f t="shared" si="124"/>
        <v>0</v>
      </c>
      <c r="N312" s="375">
        <f t="shared" si="124"/>
        <v>0</v>
      </c>
      <c r="O312" s="375">
        <f t="shared" si="124"/>
        <v>0</v>
      </c>
      <c r="P312" s="375">
        <f t="shared" si="124"/>
        <v>0</v>
      </c>
      <c r="Q312" s="375">
        <f t="shared" si="124"/>
        <v>0</v>
      </c>
      <c r="R312" s="375">
        <f t="shared" si="124"/>
        <v>0</v>
      </c>
      <c r="S312" s="375">
        <f>(T311+S311)*(T310-S310)/2</f>
        <v>0</v>
      </c>
      <c r="T312" s="375">
        <f t="shared" si="124"/>
        <v>0</v>
      </c>
      <c r="U312" s="375">
        <f t="shared" si="124"/>
        <v>0</v>
      </c>
      <c r="V312" s="375">
        <f t="shared" si="124"/>
        <v>0</v>
      </c>
      <c r="W312" s="375">
        <f>(X311+W311)*(X310-W310)/2</f>
        <v>0</v>
      </c>
      <c r="X312" s="375">
        <f>(Y311+X311)*(Y310-X310)/2</f>
        <v>0</v>
      </c>
      <c r="Y312" s="369"/>
    </row>
    <row r="314" spans="1:25" x14ac:dyDescent="0.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row>
    <row r="316" spans="1:25" x14ac:dyDescent="0.2">
      <c r="A316" s="397" t="str">
        <f>IF(Lang="Français","Liste des propu affichés :","Motor list (shown):")</f>
        <v>Liste des propu affichés :</v>
      </c>
      <c r="C316" s="640" t="s">
        <v>276</v>
      </c>
      <c r="D316" s="641"/>
      <c r="F316" s="640" t="s">
        <v>181</v>
      </c>
      <c r="G316" s="641"/>
      <c r="H316" s="12"/>
      <c r="I316" s="640" t="s">
        <v>397</v>
      </c>
      <c r="J316" s="641"/>
      <c r="K316" s="12"/>
      <c r="L316" s="640" t="s">
        <v>182</v>
      </c>
      <c r="M316" s="641"/>
      <c r="O316" s="640" t="s">
        <v>396</v>
      </c>
      <c r="P316" s="641"/>
      <c r="R316" s="640" t="s">
        <v>118</v>
      </c>
      <c r="S316" s="641"/>
    </row>
    <row r="317" spans="1:25" x14ac:dyDescent="0.2">
      <c r="A317" s="398" t="str">
        <f t="array" ref="A317:A346">IF(RIGHT(Type_fusee,1)=".",Liste_fusex, IF(LEFT(Type_fusee,4)="Mini",Liste_minif, IF(LEFT(Type_fusee,5)="Micro",Liste_µfu, IF(RIGHT(Type_fusee,1)=" ",Liste_H2O, IF(LEFT(Type_fusee,1)="R",Liste_RC, IF(LEFT(Type_fusee,1)=",",Liste_minifT))))))</f>
        <v>p29-1G 57F59</v>
      </c>
      <c r="C317" s="642" t="str">
        <f>A26</f>
        <v>H2O 1.5L 300g 6bar</v>
      </c>
      <c r="D317" s="643"/>
      <c r="F317" s="642" t="str">
        <f>A67</f>
        <v>µ-propu A8-3</v>
      </c>
      <c r="G317" s="643"/>
      <c r="H317" s="472"/>
      <c r="I317" s="644" t="str">
        <f>A148</f>
        <v>p29-1G 56F31</v>
      </c>
      <c r="J317" s="645"/>
      <c r="K317" s="472"/>
      <c r="L317" s="644" t="str">
        <f>A158</f>
        <v>p29-1G 57F59</v>
      </c>
      <c r="M317" s="645"/>
      <c r="O317" s="642" t="str">
        <f>A108</f>
        <v>p24-1G 24E22</v>
      </c>
      <c r="P317" s="643"/>
      <c r="R317" s="642" t="str">
        <f>A284</f>
        <v>Pro54-5G WT</v>
      </c>
      <c r="S317" s="643"/>
    </row>
    <row r="318" spans="1:25" x14ac:dyDescent="0.2">
      <c r="A318" s="398" t="str">
        <v>p24-3G 74F85</v>
      </c>
      <c r="C318" s="642" t="str">
        <f>A31</f>
        <v>H2O 1.5L 450g 6bar</v>
      </c>
      <c r="D318" s="643"/>
      <c r="F318" s="642" t="str">
        <f>A72</f>
        <v>µ-propu B4-4</v>
      </c>
      <c r="G318" s="643"/>
      <c r="H318" s="472"/>
      <c r="I318" s="644" t="str">
        <f>A153</f>
        <v>p29-1G 56F120</v>
      </c>
      <c r="J318" s="645"/>
      <c r="K318" s="472"/>
      <c r="L318" s="644" t="str">
        <f>A183</f>
        <v>p24-3G 74F85</v>
      </c>
      <c r="M318" s="645"/>
      <c r="O318" s="642" t="str">
        <f>A113</f>
        <v>p24-1G 25E75 (Rufina)</v>
      </c>
      <c r="P318" s="643"/>
      <c r="R318" s="642" t="str">
        <f>A279</f>
        <v>Barasinga (Pro54-5G C)</v>
      </c>
      <c r="S318" s="643"/>
    </row>
    <row r="319" spans="1:25" x14ac:dyDescent="0.2">
      <c r="A319" s="398" t="str">
        <v>p24-3G 75F51</v>
      </c>
      <c r="C319" s="642" t="str">
        <f>A36</f>
        <v>H2O 1.5L 600g 6bar</v>
      </c>
      <c r="D319" s="643"/>
      <c r="F319" s="642" t="str">
        <f>A77</f>
        <v>µ-propu C6-3</v>
      </c>
      <c r="G319" s="643"/>
      <c r="H319" s="472"/>
      <c r="I319" s="644" t="str">
        <f>A158</f>
        <v>p29-1G 57F59</v>
      </c>
      <c r="J319" s="645"/>
      <c r="K319" s="472"/>
      <c r="L319" s="644" t="str">
        <f>A188</f>
        <v>p24-3G 75F51</v>
      </c>
      <c r="M319" s="645"/>
      <c r="O319" s="642" t="str">
        <f>A118</f>
        <v>p24-1G 26E31</v>
      </c>
      <c r="P319" s="643"/>
      <c r="R319" s="642" t="str">
        <f>A289</f>
        <v>Orignal (Pro75-3G C)</v>
      </c>
      <c r="S319" s="643"/>
    </row>
    <row r="320" spans="1:25" x14ac:dyDescent="0.2">
      <c r="A320" s="398" t="str">
        <v>p29-2G 116G126</v>
      </c>
      <c r="C320" s="642" t="str">
        <f>A41</f>
        <v>H2O 1.5L 750g 6bar</v>
      </c>
      <c r="D320" s="643"/>
      <c r="F320" s="642" t="str">
        <f>A82</f>
        <v>µ-propu C6-3 x2</v>
      </c>
      <c r="G320" s="643"/>
      <c r="H320" s="472"/>
      <c r="I320" s="644" t="str">
        <f>A183</f>
        <v>p24-3G 74F85</v>
      </c>
      <c r="J320" s="645"/>
      <c r="K320" s="472"/>
      <c r="L320" s="644" t="str">
        <f>A228</f>
        <v>p29-2G 116G126</v>
      </c>
      <c r="M320" s="645"/>
      <c r="O320" s="642" t="str">
        <f>A123</f>
        <v>p24-2G 50E51</v>
      </c>
      <c r="P320" s="643"/>
      <c r="R320" s="642" t="str">
        <f>A294</f>
        <v>Pro98-6G Green</v>
      </c>
      <c r="S320" s="643"/>
    </row>
    <row r="321" spans="1:19" x14ac:dyDescent="0.2">
      <c r="A321" s="398" t="str">
        <v>Pandora (Pro24-6G BS)</v>
      </c>
      <c r="C321" s="642" t="str">
        <f>A46</f>
        <v>H2O 2.0L 400g 6bar</v>
      </c>
      <c r="D321" s="643"/>
      <c r="F321" s="642" t="str">
        <f>A87</f>
        <v>µ-propu C6-3 x3</v>
      </c>
      <c r="G321" s="643"/>
      <c r="H321" s="472"/>
      <c r="I321" s="644" t="str">
        <f>A188</f>
        <v>p24-3G 75F51</v>
      </c>
      <c r="J321" s="645"/>
      <c r="K321" s="472"/>
      <c r="L321" s="644" t="str">
        <f>A198</f>
        <v>Pandora (Pro24-6G BS)</v>
      </c>
      <c r="M321" s="645"/>
      <c r="O321" s="642" t="str">
        <f>A128</f>
        <v>p24-1G 53E70</v>
      </c>
      <c r="P321" s="643"/>
      <c r="R321" s="642" t="s">
        <v>183</v>
      </c>
      <c r="S321" s="643"/>
    </row>
    <row r="322" spans="1:19" x14ac:dyDescent="0.2">
      <c r="A322" s="398" t="str">
        <v>Klima D9-7</v>
      </c>
      <c r="C322" s="642" t="str">
        <f>A51</f>
        <v>H2O 2.0L 600g 6bar</v>
      </c>
      <c r="D322" s="643"/>
      <c r="F322" s="642" t="s">
        <v>183</v>
      </c>
      <c r="G322" s="643"/>
      <c r="H322" s="472"/>
      <c r="I322" s="644" t="s">
        <v>183</v>
      </c>
      <c r="J322" s="645"/>
      <c r="K322" s="472"/>
      <c r="L322" s="642" t="str">
        <f>A92</f>
        <v>Klima D9-7</v>
      </c>
      <c r="M322" s="643"/>
      <c r="O322" s="642" t="str">
        <f>A133</f>
        <v>p29-1G 41F36</v>
      </c>
      <c r="P322" s="643"/>
      <c r="R322" s="642" t="s">
        <v>183</v>
      </c>
      <c r="S322" s="643"/>
    </row>
    <row r="323" spans="1:19" x14ac:dyDescent="0.2">
      <c r="A323" s="398" t="str">
        <v>Klima D9-7 x2</v>
      </c>
      <c r="C323" s="642" t="str">
        <f>A56</f>
        <v>H2O 2.0L 800g 6bar</v>
      </c>
      <c r="D323" s="643"/>
      <c r="F323" s="642" t="s">
        <v>183</v>
      </c>
      <c r="G323" s="643"/>
      <c r="H323" s="472"/>
      <c r="I323" s="644" t="s">
        <v>183</v>
      </c>
      <c r="J323" s="645"/>
      <c r="K323" s="472"/>
      <c r="L323" s="642" t="str">
        <f>A97</f>
        <v>Klima D9-7 x2</v>
      </c>
      <c r="M323" s="643"/>
      <c r="O323" s="642" t="str">
        <f>A138</f>
        <v>p29-1G 51F36</v>
      </c>
      <c r="P323" s="643"/>
      <c r="R323" s="642" t="s">
        <v>183</v>
      </c>
      <c r="S323" s="643"/>
    </row>
    <row r="324" spans="1:19" x14ac:dyDescent="0.2">
      <c r="A324" s="398" t="str">
        <v>Klima D9-7 x3</v>
      </c>
      <c r="C324" s="642" t="str">
        <f>A61</f>
        <v>H2O 2.0L 1000g 6bar</v>
      </c>
      <c r="D324" s="643"/>
      <c r="F324" s="642" t="s">
        <v>183</v>
      </c>
      <c r="G324" s="643"/>
      <c r="H324" s="472"/>
      <c r="I324" s="644" t="s">
        <v>183</v>
      </c>
      <c r="J324" s="645"/>
      <c r="K324" s="472"/>
      <c r="L324" s="642" t="str">
        <f>A102</f>
        <v>Klima D9-7 x3</v>
      </c>
      <c r="M324" s="643"/>
      <c r="O324" s="642" t="str">
        <f>A143</f>
        <v>p29-1G 55F29</v>
      </c>
      <c r="P324" s="643"/>
      <c r="R324" s="642" t="s">
        <v>183</v>
      </c>
      <c r="S324" s="643"/>
    </row>
    <row r="325" spans="1:19" x14ac:dyDescent="0.2">
      <c r="A325" s="398" t="str">
        <v>Aucun (2e ét. inerte)</v>
      </c>
      <c r="C325" s="642" t="s">
        <v>183</v>
      </c>
      <c r="D325" s="643"/>
      <c r="F325" s="642" t="s">
        <v>183</v>
      </c>
      <c r="G325" s="643"/>
      <c r="H325" s="472"/>
      <c r="I325" s="644" t="s">
        <v>183</v>
      </c>
      <c r="J325" s="645"/>
      <c r="K325" s="472"/>
      <c r="L325" s="642" t="str">
        <f>A309</f>
        <v>Aucun (2e ét. inerte)</v>
      </c>
      <c r="M325" s="643"/>
      <c r="O325" s="642" t="str">
        <f>A153</f>
        <v>p29-1G 56F120</v>
      </c>
      <c r="P325" s="643"/>
      <c r="R325" s="642" t="s">
        <v>183</v>
      </c>
      <c r="S325" s="643"/>
    </row>
    <row r="326" spans="1:19" x14ac:dyDescent="0.2">
      <c r="A326" s="398" t="str">
        <v xml:space="preserve"> </v>
      </c>
      <c r="C326" s="642" t="s">
        <v>183</v>
      </c>
      <c r="D326" s="643"/>
      <c r="F326" s="642" t="s">
        <v>183</v>
      </c>
      <c r="G326" s="643"/>
      <c r="H326" s="472"/>
      <c r="I326" s="644" t="s">
        <v>183</v>
      </c>
      <c r="J326" s="645"/>
      <c r="K326" s="472"/>
      <c r="L326" s="642" t="s">
        <v>183</v>
      </c>
      <c r="M326" s="643"/>
      <c r="O326" s="642" t="str">
        <f>A158</f>
        <v>p29-1G 57F59</v>
      </c>
      <c r="P326" s="643"/>
      <c r="R326" s="642" t="s">
        <v>183</v>
      </c>
      <c r="S326" s="643"/>
    </row>
    <row r="327" spans="1:19" x14ac:dyDescent="0.2">
      <c r="A327" s="398" t="str">
        <v xml:space="preserve"> </v>
      </c>
      <c r="C327" s="642" t="s">
        <v>183</v>
      </c>
      <c r="D327" s="643"/>
      <c r="F327" s="642" t="s">
        <v>183</v>
      </c>
      <c r="G327" s="643"/>
      <c r="H327" s="472"/>
      <c r="I327" s="644" t="s">
        <v>183</v>
      </c>
      <c r="J327" s="645"/>
      <c r="K327" s="472"/>
      <c r="L327" s="642" t="s">
        <v>183</v>
      </c>
      <c r="M327" s="643"/>
      <c r="O327" s="642" t="str">
        <f>A163</f>
        <v>p24-3G 60F50</v>
      </c>
      <c r="P327" s="643"/>
      <c r="R327" s="642" t="s">
        <v>183</v>
      </c>
      <c r="S327" s="643"/>
    </row>
    <row r="328" spans="1:19" x14ac:dyDescent="0.2">
      <c r="A328" s="398" t="str">
        <v xml:space="preserve"> </v>
      </c>
      <c r="C328" s="642" t="s">
        <v>183</v>
      </c>
      <c r="D328" s="643"/>
      <c r="F328" s="642" t="s">
        <v>183</v>
      </c>
      <c r="G328" s="643"/>
      <c r="H328" s="472"/>
      <c r="I328" s="644" t="s">
        <v>183</v>
      </c>
      <c r="J328" s="645"/>
      <c r="K328" s="472"/>
      <c r="L328" s="642" t="s">
        <v>183</v>
      </c>
      <c r="M328" s="643"/>
      <c r="O328" s="642" t="str">
        <f>A168</f>
        <v>p24-3G 68F79</v>
      </c>
      <c r="P328" s="643"/>
      <c r="R328" s="642" t="s">
        <v>183</v>
      </c>
      <c r="S328" s="643"/>
    </row>
    <row r="329" spans="1:19" x14ac:dyDescent="0.2">
      <c r="A329" s="398" t="str">
        <v xml:space="preserve"> </v>
      </c>
      <c r="C329" s="642" t="s">
        <v>183</v>
      </c>
      <c r="D329" s="643"/>
      <c r="F329" s="642" t="s">
        <v>183</v>
      </c>
      <c r="G329" s="643"/>
      <c r="H329" s="472"/>
      <c r="I329" s="644" t="s">
        <v>183</v>
      </c>
      <c r="J329" s="645"/>
      <c r="K329" s="472"/>
      <c r="L329" s="642" t="s">
        <v>183</v>
      </c>
      <c r="M329" s="643"/>
      <c r="O329" s="642" t="str">
        <f>A173</f>
        <v>p24-3G 68F240</v>
      </c>
      <c r="P329" s="643"/>
      <c r="R329" s="642" t="s">
        <v>183</v>
      </c>
      <c r="S329" s="643"/>
    </row>
    <row r="330" spans="1:19" x14ac:dyDescent="0.2">
      <c r="A330" s="398" t="str">
        <v xml:space="preserve"> </v>
      </c>
      <c r="C330" s="642" t="s">
        <v>183</v>
      </c>
      <c r="D330" s="643"/>
      <c r="F330" s="642" t="s">
        <v>183</v>
      </c>
      <c r="G330" s="643"/>
      <c r="H330" s="472"/>
      <c r="I330" s="644" t="s">
        <v>183</v>
      </c>
      <c r="J330" s="645"/>
      <c r="K330" s="472"/>
      <c r="L330" s="642" t="s">
        <v>183</v>
      </c>
      <c r="M330" s="643"/>
      <c r="O330" s="642" t="str">
        <f>A178</f>
        <v>p24-3G 73F30</v>
      </c>
      <c r="P330" s="643"/>
      <c r="R330" s="642" t="s">
        <v>183</v>
      </c>
      <c r="S330" s="643"/>
    </row>
    <row r="331" spans="1:19" x14ac:dyDescent="0.2">
      <c r="A331" s="398" t="str">
        <v xml:space="preserve"> </v>
      </c>
      <c r="C331" s="642" t="s">
        <v>183</v>
      </c>
      <c r="D331" s="643"/>
      <c r="F331" s="642" t="s">
        <v>183</v>
      </c>
      <c r="G331" s="643"/>
      <c r="H331" s="472"/>
      <c r="I331" s="648" t="s">
        <v>183</v>
      </c>
      <c r="J331" s="649"/>
      <c r="K331" s="472"/>
      <c r="L331" s="642" t="s">
        <v>183</v>
      </c>
      <c r="M331" s="643"/>
      <c r="O331" s="642" t="str">
        <f>A183</f>
        <v>p24-3G 74F85</v>
      </c>
      <c r="P331" s="643"/>
      <c r="R331" s="642" t="s">
        <v>183</v>
      </c>
      <c r="S331" s="643"/>
    </row>
    <row r="332" spans="1:19" x14ac:dyDescent="0.2">
      <c r="A332" s="462" t="str">
        <v xml:space="preserve"> </v>
      </c>
      <c r="C332" s="646" t="s">
        <v>183</v>
      </c>
      <c r="D332" s="647"/>
      <c r="F332" s="646" t="s">
        <v>183</v>
      </c>
      <c r="G332" s="647"/>
      <c r="H332" s="472"/>
      <c r="I332" s="646" t="s">
        <v>183</v>
      </c>
      <c r="J332" s="647"/>
      <c r="K332" s="472"/>
      <c r="L332" s="646" t="s">
        <v>183</v>
      </c>
      <c r="M332" s="647"/>
      <c r="O332" s="642" t="str">
        <f>A188</f>
        <v>p24-3G 75F51</v>
      </c>
      <c r="P332" s="643"/>
      <c r="R332" s="646" t="s">
        <v>183</v>
      </c>
      <c r="S332" s="647"/>
    </row>
    <row r="333" spans="1:19" x14ac:dyDescent="0.2">
      <c r="A333" s="398" t="str">
        <v xml:space="preserve"> </v>
      </c>
      <c r="C333" s="637" t="s">
        <v>183</v>
      </c>
      <c r="D333" s="637"/>
      <c r="F333" s="637" t="s">
        <v>183</v>
      </c>
      <c r="G333" s="637"/>
      <c r="I333" s="639" t="s">
        <v>183</v>
      </c>
      <c r="J333" s="639"/>
      <c r="L333" s="639" t="s">
        <v>183</v>
      </c>
      <c r="M333" s="639"/>
      <c r="O333" s="642" t="str">
        <f>A213</f>
        <v>p29-2G 84G88</v>
      </c>
      <c r="P333" s="643"/>
      <c r="R333" s="651" t="s">
        <v>183</v>
      </c>
      <c r="S333" s="651"/>
    </row>
    <row r="334" spans="1:19" x14ac:dyDescent="0.2">
      <c r="A334" s="398" t="str">
        <v xml:space="preserve"> </v>
      </c>
      <c r="C334" s="638" t="s">
        <v>183</v>
      </c>
      <c r="D334" s="638"/>
      <c r="F334" s="638" t="s">
        <v>183</v>
      </c>
      <c r="G334" s="638"/>
      <c r="I334" s="639" t="s">
        <v>183</v>
      </c>
      <c r="J334" s="639"/>
      <c r="L334" s="639" t="s">
        <v>183</v>
      </c>
      <c r="M334" s="639"/>
      <c r="O334" s="642" t="str">
        <f>A218</f>
        <v>p29-2G 93G80</v>
      </c>
      <c r="P334" s="643"/>
      <c r="R334" s="650" t="str">
        <f>A269</f>
        <v>Isard</v>
      </c>
      <c r="S334" s="650"/>
    </row>
    <row r="335" spans="1:19" x14ac:dyDescent="0.2">
      <c r="A335" s="398" t="str">
        <v xml:space="preserve"> </v>
      </c>
      <c r="C335" s="638" t="s">
        <v>183</v>
      </c>
      <c r="D335" s="638"/>
      <c r="F335" s="638" t="s">
        <v>183</v>
      </c>
      <c r="G335" s="638"/>
      <c r="I335" s="639" t="s">
        <v>183</v>
      </c>
      <c r="J335" s="639"/>
      <c r="L335" s="639" t="s">
        <v>183</v>
      </c>
      <c r="M335" s="639"/>
      <c r="O335" s="642" t="str">
        <f>A223</f>
        <v>p29-2G 110G250</v>
      </c>
      <c r="P335" s="643"/>
      <c r="R335" s="650" t="str">
        <f>A274</f>
        <v>Chamois</v>
      </c>
      <c r="S335" s="650"/>
    </row>
    <row r="336" spans="1:19" x14ac:dyDescent="0.2">
      <c r="A336" s="398" t="str">
        <v xml:space="preserve"> </v>
      </c>
      <c r="C336" s="638" t="s">
        <v>183</v>
      </c>
      <c r="D336" s="638"/>
      <c r="F336" s="638" t="s">
        <v>183</v>
      </c>
      <c r="G336" s="638"/>
      <c r="I336" s="639" t="s">
        <v>183</v>
      </c>
      <c r="J336" s="639"/>
      <c r="L336" s="639" t="s">
        <v>183</v>
      </c>
      <c r="M336" s="639"/>
      <c r="O336" s="642" t="str">
        <f>A228</f>
        <v>p29-2G 116G126</v>
      </c>
      <c r="P336" s="643"/>
      <c r="R336" s="650" t="str">
        <f>A284</f>
        <v>Pro54-5G WT</v>
      </c>
      <c r="S336" s="650"/>
    </row>
    <row r="337" spans="1:19" x14ac:dyDescent="0.2">
      <c r="A337" s="398" t="str">
        <v xml:space="preserve"> </v>
      </c>
      <c r="C337" s="638" t="s">
        <v>183</v>
      </c>
      <c r="D337" s="638"/>
      <c r="F337" s="638" t="s">
        <v>183</v>
      </c>
      <c r="G337" s="638"/>
      <c r="I337" s="639" t="s">
        <v>183</v>
      </c>
      <c r="J337" s="639"/>
      <c r="L337" s="639" t="s">
        <v>183</v>
      </c>
      <c r="M337" s="639"/>
      <c r="O337" s="642" t="str">
        <f>A233</f>
        <v>p29-3G 125G131</v>
      </c>
      <c r="P337" s="643"/>
      <c r="R337" s="650" t="str">
        <f>A294</f>
        <v>Pro98-6G Green</v>
      </c>
      <c r="S337" s="650"/>
    </row>
    <row r="338" spans="1:19" x14ac:dyDescent="0.2">
      <c r="A338" s="398" t="str">
        <v xml:space="preserve"> </v>
      </c>
      <c r="C338" s="638" t="s">
        <v>183</v>
      </c>
      <c r="D338" s="638"/>
      <c r="F338" s="638" t="s">
        <v>183</v>
      </c>
      <c r="G338" s="638"/>
      <c r="I338" s="639" t="s">
        <v>183</v>
      </c>
      <c r="J338" s="639"/>
      <c r="L338" s="639" t="s">
        <v>183</v>
      </c>
      <c r="M338" s="639"/>
      <c r="O338" s="642" t="str">
        <f>A248</f>
        <v>p38-1G 128G185</v>
      </c>
      <c r="P338" s="643"/>
      <c r="R338" s="650" t="str">
        <f>A299</f>
        <v>Pro98-3G WT</v>
      </c>
      <c r="S338" s="650"/>
    </row>
    <row r="339" spans="1:19" x14ac:dyDescent="0.2">
      <c r="A339" s="398" t="str">
        <v xml:space="preserve"> </v>
      </c>
      <c r="C339" s="638" t="s">
        <v>183</v>
      </c>
      <c r="D339" s="638"/>
      <c r="F339" s="638" t="s">
        <v>183</v>
      </c>
      <c r="G339" s="638"/>
      <c r="I339" s="639" t="s">
        <v>183</v>
      </c>
      <c r="J339" s="639"/>
      <c r="L339" s="639" t="s">
        <v>183</v>
      </c>
      <c r="M339" s="639"/>
      <c r="O339" s="642" t="str">
        <f>A243</f>
        <v>p38-1G 137G58</v>
      </c>
      <c r="P339" s="643"/>
      <c r="R339" s="650" t="str">
        <f>A309</f>
        <v>Aucun (2e ét. inerte)</v>
      </c>
      <c r="S339" s="650"/>
    </row>
    <row r="340" spans="1:19" x14ac:dyDescent="0.2">
      <c r="A340" s="398" t="str">
        <v xml:space="preserve"> </v>
      </c>
      <c r="C340" s="638" t="s">
        <v>183</v>
      </c>
      <c r="D340" s="638"/>
      <c r="F340" s="638" t="s">
        <v>183</v>
      </c>
      <c r="G340" s="638"/>
      <c r="I340" s="639" t="s">
        <v>183</v>
      </c>
      <c r="J340" s="639"/>
      <c r="L340" s="639" t="s">
        <v>183</v>
      </c>
      <c r="M340" s="639"/>
      <c r="O340" s="642" t="str">
        <f>A253</f>
        <v>p38-1G 141G78</v>
      </c>
      <c r="P340" s="643"/>
      <c r="R340" s="639" t="s">
        <v>183</v>
      </c>
      <c r="S340" s="639"/>
    </row>
    <row r="341" spans="1:19" x14ac:dyDescent="0.2">
      <c r="A341" s="398" t="str">
        <v xml:space="preserve"> </v>
      </c>
      <c r="C341" s="638" t="s">
        <v>183</v>
      </c>
      <c r="D341" s="638"/>
      <c r="F341" s="638" t="s">
        <v>183</v>
      </c>
      <c r="G341" s="638"/>
      <c r="I341" s="638" t="s">
        <v>183</v>
      </c>
      <c r="J341" s="638"/>
      <c r="L341" s="639" t="s">
        <v>183</v>
      </c>
      <c r="M341" s="639"/>
      <c r="O341" s="642" t="str">
        <f>A193</f>
        <v>p24-6G 140G145 PK</v>
      </c>
      <c r="P341" s="643"/>
      <c r="R341" s="638" t="s">
        <v>183</v>
      </c>
      <c r="S341" s="638"/>
    </row>
    <row r="342" spans="1:19" x14ac:dyDescent="0.2">
      <c r="A342" s="398" t="str">
        <v xml:space="preserve"> </v>
      </c>
      <c r="C342" s="638" t="s">
        <v>183</v>
      </c>
      <c r="D342" s="638"/>
      <c r="F342" s="638" t="s">
        <v>183</v>
      </c>
      <c r="G342" s="638"/>
      <c r="I342" s="638" t="s">
        <v>183</v>
      </c>
      <c r="J342" s="638"/>
      <c r="L342" s="639" t="s">
        <v>183</v>
      </c>
      <c r="M342" s="639"/>
      <c r="O342" s="642" t="str">
        <f>A198</f>
        <v>Pandora (Pro24-6G BS)</v>
      </c>
      <c r="P342" s="643"/>
      <c r="R342" s="638" t="s">
        <v>183</v>
      </c>
      <c r="S342" s="638"/>
    </row>
    <row r="343" spans="1:19" x14ac:dyDescent="0.2">
      <c r="A343" s="398" t="str">
        <v xml:space="preserve"> </v>
      </c>
      <c r="C343" s="638" t="s">
        <v>183</v>
      </c>
      <c r="D343" s="638"/>
      <c r="F343" s="638" t="s">
        <v>183</v>
      </c>
      <c r="G343" s="638"/>
      <c r="I343" s="638" t="s">
        <v>183</v>
      </c>
      <c r="J343" s="638"/>
      <c r="L343" s="638" t="s">
        <v>183</v>
      </c>
      <c r="M343" s="638"/>
      <c r="O343" s="644" t="str">
        <f>A203</f>
        <v>p24-6G 142G117 WT</v>
      </c>
      <c r="P343" s="645"/>
      <c r="R343" s="638" t="s">
        <v>183</v>
      </c>
      <c r="S343" s="638"/>
    </row>
    <row r="344" spans="1:19" x14ac:dyDescent="0.2">
      <c r="A344" s="398" t="str">
        <v xml:space="preserve"> </v>
      </c>
      <c r="C344" s="638" t="s">
        <v>183</v>
      </c>
      <c r="D344" s="638"/>
      <c r="F344" s="638" t="s">
        <v>183</v>
      </c>
      <c r="G344" s="638"/>
      <c r="I344" s="638" t="s">
        <v>183</v>
      </c>
      <c r="J344" s="638"/>
      <c r="L344" s="638" t="s">
        <v>183</v>
      </c>
      <c r="M344" s="638"/>
      <c r="O344" s="644" t="str">
        <f>A208</f>
        <v>p24-6G 139G107 DT</v>
      </c>
      <c r="P344" s="645"/>
      <c r="R344" s="638" t="s">
        <v>183</v>
      </c>
      <c r="S344" s="638"/>
    </row>
    <row r="345" spans="1:19" x14ac:dyDescent="0.2">
      <c r="A345" s="398" t="str">
        <v xml:space="preserve"> </v>
      </c>
      <c r="C345" s="638" t="s">
        <v>183</v>
      </c>
      <c r="D345" s="638"/>
      <c r="F345" s="638" t="s">
        <v>183</v>
      </c>
      <c r="G345" s="638"/>
      <c r="I345" s="638" t="s">
        <v>183</v>
      </c>
      <c r="J345" s="638"/>
      <c r="L345" s="638" t="s">
        <v>183</v>
      </c>
      <c r="M345" s="638"/>
      <c r="O345" s="644" t="str">
        <f>A263</f>
        <v>Cariacou</v>
      </c>
      <c r="P345" s="645"/>
      <c r="R345" s="638" t="s">
        <v>183</v>
      </c>
      <c r="S345" s="638"/>
    </row>
    <row r="346" spans="1:19" x14ac:dyDescent="0.2">
      <c r="A346" s="473" t="str">
        <v xml:space="preserve"> </v>
      </c>
      <c r="C346" s="638" t="s">
        <v>183</v>
      </c>
      <c r="D346" s="638"/>
      <c r="F346" s="638" t="s">
        <v>183</v>
      </c>
      <c r="G346" s="638"/>
      <c r="I346" s="638" t="s">
        <v>183</v>
      </c>
      <c r="J346" s="638"/>
      <c r="L346" s="638" t="s">
        <v>183</v>
      </c>
      <c r="M346" s="638"/>
      <c r="O346" s="652" t="str">
        <f>A258</f>
        <v>Wapiti</v>
      </c>
      <c r="P346" s="653"/>
      <c r="R346" s="638" t="s">
        <v>183</v>
      </c>
      <c r="S346" s="638"/>
    </row>
  </sheetData>
  <dataConsolidate/>
  <mergeCells count="186">
    <mergeCell ref="R346:S346"/>
    <mergeCell ref="R342:S342"/>
    <mergeCell ref="F342:G342"/>
    <mergeCell ref="F343:G343"/>
    <mergeCell ref="F344:G344"/>
    <mergeCell ref="F345:G345"/>
    <mergeCell ref="F346:G346"/>
    <mergeCell ref="O346:P346"/>
    <mergeCell ref="L345:M345"/>
    <mergeCell ref="L346:M346"/>
    <mergeCell ref="I344:J344"/>
    <mergeCell ref="I346:J346"/>
    <mergeCell ref="I345:J345"/>
    <mergeCell ref="R340:S340"/>
    <mergeCell ref="R341:S341"/>
    <mergeCell ref="R343:S343"/>
    <mergeCell ref="R344:S344"/>
    <mergeCell ref="R345:S345"/>
    <mergeCell ref="O345:P345"/>
    <mergeCell ref="O340:P340"/>
    <mergeCell ref="R339:S339"/>
    <mergeCell ref="F332:G332"/>
    <mergeCell ref="O343:P343"/>
    <mergeCell ref="R338:S338"/>
    <mergeCell ref="R336:S336"/>
    <mergeCell ref="R337:S337"/>
    <mergeCell ref="R334:S334"/>
    <mergeCell ref="F341:G341"/>
    <mergeCell ref="O342:P342"/>
    <mergeCell ref="O335:P335"/>
    <mergeCell ref="O334:P334"/>
    <mergeCell ref="O339:P339"/>
    <mergeCell ref="O344:P344"/>
    <mergeCell ref="R335:S335"/>
    <mergeCell ref="R333:S333"/>
    <mergeCell ref="I337:J337"/>
    <mergeCell ref="I338:J338"/>
    <mergeCell ref="F336:G336"/>
    <mergeCell ref="F337:G337"/>
    <mergeCell ref="O327:P327"/>
    <mergeCell ref="O333:P333"/>
    <mergeCell ref="L328:M328"/>
    <mergeCell ref="I336:J336"/>
    <mergeCell ref="O332:P332"/>
    <mergeCell ref="L333:M333"/>
    <mergeCell ref="I341:J341"/>
    <mergeCell ref="O337:P337"/>
    <mergeCell ref="F339:G339"/>
    <mergeCell ref="F340:G340"/>
    <mergeCell ref="O338:P338"/>
    <mergeCell ref="O336:P336"/>
    <mergeCell ref="I328:J328"/>
    <mergeCell ref="I329:J329"/>
    <mergeCell ref="I330:J330"/>
    <mergeCell ref="I331:J331"/>
    <mergeCell ref="I335:J335"/>
    <mergeCell ref="L337:M337"/>
    <mergeCell ref="O341:P341"/>
    <mergeCell ref="L334:M334"/>
    <mergeCell ref="F329:G329"/>
    <mergeCell ref="F330:G330"/>
    <mergeCell ref="F331:G331"/>
    <mergeCell ref="F324:G324"/>
    <mergeCell ref="F321:G321"/>
    <mergeCell ref="F320:G320"/>
    <mergeCell ref="O323:P323"/>
    <mergeCell ref="O320:P320"/>
    <mergeCell ref="O319:P319"/>
    <mergeCell ref="O324:P324"/>
    <mergeCell ref="F319:G319"/>
    <mergeCell ref="O322:P322"/>
    <mergeCell ref="I320:J320"/>
    <mergeCell ref="L319:M319"/>
    <mergeCell ref="L326:M326"/>
    <mergeCell ref="L327:M327"/>
    <mergeCell ref="L321:M321"/>
    <mergeCell ref="L322:M322"/>
    <mergeCell ref="O325:P325"/>
    <mergeCell ref="O330:P330"/>
    <mergeCell ref="F327:G327"/>
    <mergeCell ref="F326:G326"/>
    <mergeCell ref="L316:M316"/>
    <mergeCell ref="C327:D327"/>
    <mergeCell ref="C326:D326"/>
    <mergeCell ref="C325:D325"/>
    <mergeCell ref="C324:D324"/>
    <mergeCell ref="C323:D323"/>
    <mergeCell ref="C322:D322"/>
    <mergeCell ref="O316:P316"/>
    <mergeCell ref="F318:G318"/>
    <mergeCell ref="F317:G317"/>
    <mergeCell ref="O318:P318"/>
    <mergeCell ref="O317:P317"/>
    <mergeCell ref="L318:M318"/>
    <mergeCell ref="C316:D316"/>
    <mergeCell ref="C317:D317"/>
    <mergeCell ref="C318:D318"/>
    <mergeCell ref="C319:D319"/>
    <mergeCell ref="C320:D320"/>
    <mergeCell ref="F316:G316"/>
    <mergeCell ref="L320:M320"/>
    <mergeCell ref="I316:J316"/>
    <mergeCell ref="I317:J317"/>
    <mergeCell ref="I318:J318"/>
    <mergeCell ref="I319:J319"/>
    <mergeCell ref="L317:M317"/>
    <mergeCell ref="C332:D332"/>
    <mergeCell ref="R322:S322"/>
    <mergeCell ref="R328:S328"/>
    <mergeCell ref="R332:S332"/>
    <mergeCell ref="F328:G328"/>
    <mergeCell ref="F322:G322"/>
    <mergeCell ref="O326:P326"/>
    <mergeCell ref="F323:G323"/>
    <mergeCell ref="O331:P331"/>
    <mergeCell ref="R330:S330"/>
    <mergeCell ref="R329:S329"/>
    <mergeCell ref="O329:P329"/>
    <mergeCell ref="R331:S331"/>
    <mergeCell ref="L331:M331"/>
    <mergeCell ref="L332:M332"/>
    <mergeCell ref="L329:M329"/>
    <mergeCell ref="L330:M330"/>
    <mergeCell ref="L325:M325"/>
    <mergeCell ref="C329:D329"/>
    <mergeCell ref="C330:D330"/>
    <mergeCell ref="I332:J332"/>
    <mergeCell ref="C331:D331"/>
    <mergeCell ref="F325:G325"/>
    <mergeCell ref="R316:S316"/>
    <mergeCell ref="R317:S317"/>
    <mergeCell ref="R318:S318"/>
    <mergeCell ref="R319:S319"/>
    <mergeCell ref="R320:S320"/>
    <mergeCell ref="C328:D328"/>
    <mergeCell ref="O328:P328"/>
    <mergeCell ref="R327:S327"/>
    <mergeCell ref="R326:S326"/>
    <mergeCell ref="C321:D321"/>
    <mergeCell ref="O321:P321"/>
    <mergeCell ref="R321:S321"/>
    <mergeCell ref="R325:S325"/>
    <mergeCell ref="R324:S324"/>
    <mergeCell ref="R323:S323"/>
    <mergeCell ref="I321:J321"/>
    <mergeCell ref="I322:J322"/>
    <mergeCell ref="I323:J323"/>
    <mergeCell ref="I324:J324"/>
    <mergeCell ref="I325:J325"/>
    <mergeCell ref="I326:J326"/>
    <mergeCell ref="I327:J327"/>
    <mergeCell ref="L323:M323"/>
    <mergeCell ref="L324:M324"/>
    <mergeCell ref="C345:D345"/>
    <mergeCell ref="C346:D346"/>
    <mergeCell ref="C335:D335"/>
    <mergeCell ref="C336:D336"/>
    <mergeCell ref="C337:D337"/>
    <mergeCell ref="C338:D338"/>
    <mergeCell ref="C339:D339"/>
    <mergeCell ref="C340:D340"/>
    <mergeCell ref="C334:D334"/>
    <mergeCell ref="C333:D333"/>
    <mergeCell ref="L343:M343"/>
    <mergeCell ref="L344:M344"/>
    <mergeCell ref="F338:G338"/>
    <mergeCell ref="C341:D341"/>
    <mergeCell ref="C342:D342"/>
    <mergeCell ref="C343:D343"/>
    <mergeCell ref="I342:J342"/>
    <mergeCell ref="I343:J343"/>
    <mergeCell ref="L341:M341"/>
    <mergeCell ref="L342:M342"/>
    <mergeCell ref="C344:D344"/>
    <mergeCell ref="L338:M338"/>
    <mergeCell ref="F333:G333"/>
    <mergeCell ref="L335:M335"/>
    <mergeCell ref="L336:M336"/>
    <mergeCell ref="I333:J333"/>
    <mergeCell ref="I334:J334"/>
    <mergeCell ref="L339:M339"/>
    <mergeCell ref="L340:M340"/>
    <mergeCell ref="I340:J340"/>
    <mergeCell ref="I339:J339"/>
    <mergeCell ref="F334:G334"/>
    <mergeCell ref="F335:G335"/>
  </mergeCells>
  <phoneticPr fontId="8" type="noConversion"/>
  <pageMargins left="0.39370078740157483" right="0.39370078740157483" top="0.39370078740157483" bottom="0.39370078740157483" header="0" footer="0"/>
  <pageSetup scale="44" firstPageNumber="0" fitToHeight="3" orientation="landscape" horizontalDpi="300" verticalDpi="300" r:id="rId1"/>
  <headerFooter alignWithMargins="0"/>
  <ignoredErrors>
    <ignoredError sqref="S318 C317:D324 F317:G321 O322:P339 O342:P342 R334:S339 O340:O341 O317:P319 O320:P321 P341 M324 S317" unlockedFormula="1"/>
  </ignoredError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4">
    <pageSetUpPr fitToPage="1"/>
  </sheetPr>
  <dimension ref="A1:IN1075"/>
  <sheetViews>
    <sheetView showGridLines="0" workbookViewId="0">
      <pane xSplit="3" ySplit="7" topLeftCell="D8" activePane="bottomRight" state="frozen"/>
      <selection pane="topRight" activeCell="D1" sqref="D1"/>
      <selection pane="bottomLeft" activeCell="A8" sqref="A8"/>
      <selection pane="bottomRight" activeCell="K2" sqref="K1:K1048576"/>
    </sheetView>
  </sheetViews>
  <sheetFormatPr baseColWidth="10" defaultColWidth="11.5703125" defaultRowHeight="12.75" x14ac:dyDescent="0.2"/>
  <cols>
    <col min="1" max="1" width="4.5703125" style="7" bestFit="1" customWidth="1"/>
    <col min="2" max="2" width="6" style="7" bestFit="1" customWidth="1"/>
    <col min="3" max="3" width="1.42578125" style="8" customWidth="1"/>
    <col min="4" max="4" width="7.140625" style="7" customWidth="1"/>
    <col min="5" max="6" width="7.42578125" style="7" customWidth="1"/>
    <col min="7" max="7" width="7.140625" style="7" customWidth="1"/>
    <col min="8" max="8" width="7.42578125" style="7" customWidth="1"/>
    <col min="9" max="9" width="7.140625" style="7" customWidth="1"/>
    <col min="10" max="12" width="7.5703125" style="7" bestFit="1" customWidth="1"/>
    <col min="13" max="13" width="5.85546875" style="7" customWidth="1"/>
    <col min="14" max="14" width="6.42578125" style="7" customWidth="1"/>
    <col min="15" max="15" width="1.42578125" style="8" customWidth="1"/>
    <col min="16" max="16" width="4" style="7" customWidth="1"/>
    <col min="17" max="17" width="8.5703125" style="7" customWidth="1"/>
    <col min="18" max="18" width="5.85546875" style="7" customWidth="1"/>
    <col min="19" max="19" width="5.140625" style="7" customWidth="1"/>
    <col min="20" max="20" width="6" style="7" customWidth="1"/>
    <col min="21" max="21" width="8.85546875" style="7" customWidth="1"/>
    <col min="22" max="22" width="6.85546875" style="7" customWidth="1"/>
    <col min="23" max="23" width="7.140625" style="7" customWidth="1"/>
    <col min="24" max="24" width="1.42578125" style="8" customWidth="1"/>
    <col min="25" max="25" width="15.85546875" style="7" customWidth="1"/>
    <col min="26" max="26" width="5.85546875" style="7" customWidth="1"/>
    <col min="27" max="27" width="7.85546875" style="7" customWidth="1"/>
    <col min="28" max="28" width="1.5703125" style="7" customWidth="1"/>
    <col min="29" max="29" width="7.140625" style="7" bestFit="1" customWidth="1"/>
    <col min="30" max="31" width="6.85546875" style="7" bestFit="1" customWidth="1"/>
    <col min="32" max="32" width="1.85546875" style="7" customWidth="1"/>
    <col min="33" max="238" width="11.42578125" style="7" customWidth="1"/>
    <col min="239" max="239" width="11" style="7" customWidth="1"/>
  </cols>
  <sheetData>
    <row r="1" spans="1:248" ht="13.5" thickBot="1" x14ac:dyDescent="0.25">
      <c r="D1" s="654" t="s">
        <v>265</v>
      </c>
      <c r="E1" s="655"/>
      <c r="F1" s="655"/>
      <c r="G1" s="655"/>
      <c r="H1" s="655"/>
      <c r="I1" s="655"/>
      <c r="J1" s="655"/>
      <c r="K1" s="655"/>
      <c r="L1" s="655"/>
      <c r="M1" s="655"/>
      <c r="N1" s="656"/>
      <c r="P1" s="654" t="s">
        <v>17</v>
      </c>
      <c r="Q1" s="655"/>
      <c r="R1" s="655"/>
      <c r="S1" s="655"/>
      <c r="T1" s="655"/>
      <c r="U1" s="655"/>
      <c r="V1" s="655"/>
      <c r="W1" s="656"/>
      <c r="Y1" s="9"/>
      <c r="Z1" s="9"/>
      <c r="AA1" s="9"/>
      <c r="AC1" s="661" t="s">
        <v>185</v>
      </c>
      <c r="AD1" s="661"/>
      <c r="AE1" s="661"/>
      <c r="AG1" s="657" t="s">
        <v>18</v>
      </c>
      <c r="AH1" s="657"/>
    </row>
    <row r="2" spans="1:248" s="12" customFormat="1" x14ac:dyDescent="0.2">
      <c r="A2" s="330" t="s">
        <v>19</v>
      </c>
      <c r="B2" s="331" t="s">
        <v>2</v>
      </c>
      <c r="C2" s="10"/>
      <c r="D2" s="334" t="s">
        <v>192</v>
      </c>
      <c r="E2" s="335" t="s">
        <v>193</v>
      </c>
      <c r="F2" s="331" t="s">
        <v>194</v>
      </c>
      <c r="G2" s="334" t="s">
        <v>189</v>
      </c>
      <c r="H2" s="335" t="s">
        <v>190</v>
      </c>
      <c r="I2" s="331" t="s">
        <v>191</v>
      </c>
      <c r="J2" s="334" t="s">
        <v>186</v>
      </c>
      <c r="K2" s="335" t="s">
        <v>187</v>
      </c>
      <c r="L2" s="331" t="s">
        <v>188</v>
      </c>
      <c r="M2" s="330" t="s">
        <v>20</v>
      </c>
      <c r="N2" s="331" t="s">
        <v>21</v>
      </c>
      <c r="O2" s="10"/>
      <c r="P2" s="330" t="s">
        <v>26</v>
      </c>
      <c r="Q2" s="331" t="s">
        <v>25</v>
      </c>
      <c r="R2" s="330" t="s">
        <v>22</v>
      </c>
      <c r="S2" s="335" t="s">
        <v>38</v>
      </c>
      <c r="T2" s="331" t="s">
        <v>27</v>
      </c>
      <c r="U2" s="338" t="s">
        <v>28</v>
      </c>
      <c r="V2" s="330" t="s">
        <v>24</v>
      </c>
      <c r="W2" s="331" t="s">
        <v>23</v>
      </c>
      <c r="X2" s="11"/>
      <c r="Y2" s="658" t="s">
        <v>184</v>
      </c>
      <c r="Z2" s="659"/>
      <c r="AA2" s="660"/>
      <c r="AC2" s="330" t="s">
        <v>11</v>
      </c>
      <c r="AD2" s="335" t="s">
        <v>3</v>
      </c>
      <c r="AE2" s="331" t="s">
        <v>29</v>
      </c>
      <c r="AG2" s="345" t="s">
        <v>31</v>
      </c>
      <c r="AH2" s="346" t="s">
        <v>30</v>
      </c>
      <c r="IF2"/>
      <c r="IG2"/>
      <c r="IH2"/>
      <c r="II2"/>
      <c r="IJ2"/>
      <c r="IK2"/>
      <c r="IL2"/>
      <c r="IM2"/>
      <c r="IN2"/>
    </row>
    <row r="3" spans="1:248" s="12" customFormat="1" x14ac:dyDescent="0.2">
      <c r="A3" s="332" t="s">
        <v>153</v>
      </c>
      <c r="B3" s="333" t="s">
        <v>153</v>
      </c>
      <c r="C3" s="10"/>
      <c r="D3" s="336" t="s">
        <v>7</v>
      </c>
      <c r="E3" s="337" t="s">
        <v>7</v>
      </c>
      <c r="F3" s="333" t="s">
        <v>7</v>
      </c>
      <c r="G3" s="336" t="s">
        <v>154</v>
      </c>
      <c r="H3" s="337" t="s">
        <v>154</v>
      </c>
      <c r="I3" s="333" t="s">
        <v>154</v>
      </c>
      <c r="J3" s="336" t="s">
        <v>38</v>
      </c>
      <c r="K3" s="337" t="s">
        <v>38</v>
      </c>
      <c r="L3" s="333" t="s">
        <v>38</v>
      </c>
      <c r="M3" s="332" t="s">
        <v>243</v>
      </c>
      <c r="N3" s="333" t="s">
        <v>155</v>
      </c>
      <c r="O3" s="10"/>
      <c r="P3" s="336" t="s">
        <v>14</v>
      </c>
      <c r="Q3" s="339" t="s">
        <v>226</v>
      </c>
      <c r="R3" s="336" t="s">
        <v>244</v>
      </c>
      <c r="S3" s="340" t="s">
        <v>227</v>
      </c>
      <c r="T3" s="339" t="s">
        <v>226</v>
      </c>
      <c r="U3" s="341" t="s">
        <v>226</v>
      </c>
      <c r="V3" s="336" t="s">
        <v>8</v>
      </c>
      <c r="W3" s="339" t="s">
        <v>226</v>
      </c>
      <c r="X3" s="11"/>
      <c r="Y3" s="342"/>
      <c r="Z3" s="343"/>
      <c r="AA3" s="344"/>
      <c r="AC3" s="336" t="s">
        <v>153</v>
      </c>
      <c r="AD3" s="340" t="s">
        <v>38</v>
      </c>
      <c r="AE3" s="339" t="s">
        <v>38</v>
      </c>
      <c r="AG3" s="342" t="s">
        <v>7</v>
      </c>
      <c r="AH3" s="339" t="s">
        <v>7</v>
      </c>
      <c r="IF3"/>
      <c r="IG3"/>
      <c r="IH3"/>
      <c r="II3"/>
      <c r="IJ3"/>
      <c r="IK3"/>
      <c r="IL3"/>
      <c r="IM3"/>
      <c r="IN3"/>
    </row>
    <row r="4" spans="1:248" x14ac:dyDescent="0.2">
      <c r="A4" s="292" t="s">
        <v>14</v>
      </c>
      <c r="B4" s="349">
        <f>T_ini</f>
        <v>3.2</v>
      </c>
      <c r="D4" s="292" t="s">
        <v>14</v>
      </c>
      <c r="E4" s="293" t="s">
        <v>14</v>
      </c>
      <c r="F4" s="294" t="s">
        <v>14</v>
      </c>
      <c r="G4" s="292">
        <f>vit_xz*COS(Beta)</f>
        <v>37.013074267370328</v>
      </c>
      <c r="H4" s="293">
        <f>vit_xz*SIN(Beta)</f>
        <v>170.13154336654688</v>
      </c>
      <c r="I4" s="349">
        <f>V_ini</f>
        <v>174.11119928081908</v>
      </c>
      <c r="J4" s="350">
        <f>X_ini</f>
        <v>98.964688107976272</v>
      </c>
      <c r="K4" s="351">
        <f>Z_ini</f>
        <v>487.84771914632313</v>
      </c>
      <c r="L4" s="327">
        <f t="shared" ref="L4:L67" si="0">SQRT(pos_x^2+pos_z^2)</f>
        <v>497.78449811999849</v>
      </c>
      <c r="M4" s="292">
        <f>RADIANS(N4)</f>
        <v>1.3565787430226373</v>
      </c>
      <c r="N4" s="349">
        <f>Beta_rampe</f>
        <v>77.726236552359381</v>
      </c>
      <c r="P4" s="292" t="s">
        <v>14</v>
      </c>
      <c r="Q4" s="294" t="s">
        <v>14</v>
      </c>
      <c r="R4" s="292" t="s">
        <v>14</v>
      </c>
      <c r="S4" s="351">
        <f ca="1">m_tot</f>
        <v>2.5951000000000004</v>
      </c>
      <c r="T4" s="327">
        <f t="shared" ref="T4:T67" ca="1" si="1">m*g</f>
        <v>25.457931000000006</v>
      </c>
      <c r="U4" s="328">
        <f t="shared" ref="U4:U67" si="2">IF(pos_xz&lt;L_rampe,Poids*COS(Beta),0)</f>
        <v>0</v>
      </c>
      <c r="V4" s="329">
        <f t="shared" ref="V4:V67" si="3">Rho_moyen*(20000-Alt_rampe-pos_z)/(20000+Alt_rampe+pos_z)</f>
        <v>1.1666616655740014</v>
      </c>
      <c r="W4" s="327">
        <f t="shared" ref="W4:W67" si="4">1/2*Rho*Sref*Cx*vit_xz^2</f>
        <v>72.422116264538886</v>
      </c>
      <c r="Y4" s="295" t="s">
        <v>14</v>
      </c>
      <c r="Z4" s="296" t="s">
        <v>14</v>
      </c>
      <c r="AA4" s="297" t="s">
        <v>14</v>
      </c>
      <c r="AC4" s="320">
        <f>IF(ABS(t-ROUND(t,0))&lt;0.001,t,-1)</f>
        <v>-1</v>
      </c>
      <c r="AD4" s="321">
        <f>IF(ABS(t-ROUND(t,0))&lt;0.001,pos_x,-1)</f>
        <v>-1</v>
      </c>
      <c r="AE4" s="322">
        <f t="shared" ref="AE4:AE67" si="5">IF(t&lt;T_para, pos_z, NA())</f>
        <v>487.84771914632313</v>
      </c>
      <c r="AG4" s="292" t="s">
        <v>14</v>
      </c>
      <c r="AH4" s="294" t="s">
        <v>14</v>
      </c>
    </row>
    <row r="5" spans="1:248" x14ac:dyDescent="0.2">
      <c r="A5" s="347">
        <f t="shared" ref="A5:A68" ca="1" si="6">IF(B4+0.01&lt;=T_ini+ROUNDUP(Temps_fin_propu,0), 0.01, IF(K4&gt;0, 0.1, 0.0001))</f>
        <v>0.01</v>
      </c>
      <c r="B5" s="304">
        <f t="shared" ref="B5:B68" ca="1" si="7">B4+pas</f>
        <v>3.21</v>
      </c>
      <c r="D5" s="306">
        <f t="shared" ref="D5:D68" ca="1" si="8">IF(AND(L4&lt;L_rampe,Poussee&lt;Poids*SIN(M4)),0,(-W4+Poussee)/m*COS(M4)-U4/m*SIN(M4))</f>
        <v>-5.9325669855877807</v>
      </c>
      <c r="E5" s="307">
        <f t="shared" ref="E5:E68" ca="1" si="9">IF(AND(L4&lt;L_rampe,Poussee&lt;Poids*SIN(M4)),0,(-W4+Poussee)/m*SIN(M4)+U4/m*COS(M4)-Poids/m)</f>
        <v>-37.079196016858738</v>
      </c>
      <c r="F5" s="304">
        <f t="shared" ref="F5:F68" ca="1" si="10">SQRT(acc_x^2+acc_z^2)</f>
        <v>37.550793976893736</v>
      </c>
      <c r="G5" s="306">
        <f t="shared" ref="G5:G68" ca="1" si="11">G4+acc_x*pas</f>
        <v>36.953748597514448</v>
      </c>
      <c r="H5" s="307">
        <f t="shared" ref="H5:H68" ca="1" si="12">H4+acc_z*pas</f>
        <v>169.76075140637829</v>
      </c>
      <c r="I5" s="304">
        <f t="shared" ref="I5:I68" ca="1" si="13">SQRT(vit_x^2+vit_z^2)</f>
        <v>173.73627212953107</v>
      </c>
      <c r="J5" s="306">
        <f t="shared" ref="J5:J68" ca="1" si="14">J4+0.5*(vit_x+G4)*pas*(K4&gt;=0)</f>
        <v>99.334522222300691</v>
      </c>
      <c r="K5" s="307">
        <f t="shared" ref="K5:K68" ca="1" si="15">K4+0.5*(vit_z+H4)*pas</f>
        <v>489.54718062018776</v>
      </c>
      <c r="L5" s="304">
        <f t="shared" ca="1" si="0"/>
        <v>499.52356236548792</v>
      </c>
      <c r="M5" s="306">
        <f t="shared" ref="M5:M68" ca="1" si="16">IF(AND(L4&gt;L_rampe,G5&gt;0),ATAN2(G5,H5),$M$4)</f>
        <v>1.3564587082811417</v>
      </c>
      <c r="N5" s="304">
        <f t="shared" ref="N5:N68" ca="1" si="17">DEGREES(Beta)</f>
        <v>77.719359068276745</v>
      </c>
      <c r="P5" s="310">
        <f t="shared" ref="P5:P68" ca="1" si="18">MATCH(t-pas/2-T_ini,CdP_t)</f>
        <v>1</v>
      </c>
      <c r="Q5" s="304">
        <f t="shared" ref="Q5:Q68" ca="1" si="19">(INDEX(CdP,2,i_P+1)-INDEX(CdP,2,i_P+0))/(INDEX(CdP,1,i_P+1)-INDEX(CdP,1,i_P+0))*(t-pas/2-T_ini-INDEX(CdP,1,i_P+0))+INDEX(CdP,2,i_P+0)</f>
        <v>4.9999999999998928E-4</v>
      </c>
      <c r="R5" s="306">
        <f t="shared" ref="R5:R68" ca="1" si="20">Poussee/(g*ISP)</f>
        <v>4.9999999999998925E-5</v>
      </c>
      <c r="S5" s="307">
        <f t="shared" ref="S5:S68" ca="1" si="21">S4-Débit*pas</f>
        <v>2.5950995000000003</v>
      </c>
      <c r="T5" s="304">
        <f t="shared" ca="1" si="1"/>
        <v>25.457926095000005</v>
      </c>
      <c r="U5" s="311">
        <f t="shared" ca="1" si="2"/>
        <v>0</v>
      </c>
      <c r="V5" s="306">
        <f t="shared" ca="1" si="3"/>
        <v>1.1664632943350797</v>
      </c>
      <c r="W5" s="304">
        <f t="shared" ca="1" si="4"/>
        <v>72.098286578305107</v>
      </c>
      <c r="Y5" s="314" t="str">
        <f t="shared" ref="Y5:Y68" ca="1" si="22">IF(AND(pos_z&lt;=0,K4&gt;0),"Impact balistique","") &amp; IF(AND(H6&lt;0,vit_z&gt;=0),"Apogée","") &amp; IF(AND(Poussee=0,Q4&gt;0),"Fin de propulsion","") &amp; IF(AND(L6&gt;L_rampe,pos_xz&lt;=L_rampe),"Sortie de rampe","")</f>
        <v/>
      </c>
      <c r="Z5" s="315" t="str">
        <f t="shared" ref="Z5:Z68" ca="1" si="23">IF(ABS(t-T_para)&lt;pas/2,"Para","")</f>
        <v/>
      </c>
      <c r="AA5" s="316" t="str">
        <f t="shared" ref="AA5:AA68" ca="1" si="24">IF(ABS(t-T_satellite)&lt;pas/2,"Satellite","")</f>
        <v/>
      </c>
      <c r="AC5" s="310" t="e">
        <f t="shared" ref="AC5:AC68" ca="1" si="25">IF(ABS(t-ROUND(t,0))&lt;0.001,t,NA())</f>
        <v>#N/A</v>
      </c>
      <c r="AD5" s="323" t="e">
        <f t="shared" ref="AD5:AD68" ca="1" si="26">IF(ABS(t-ROUND(t,0))&lt;0.001,pos_x,NA())</f>
        <v>#N/A</v>
      </c>
      <c r="AE5" s="324">
        <f t="shared" ca="1" si="5"/>
        <v>489.54718062018776</v>
      </c>
      <c r="AG5" s="306">
        <f t="shared" ref="AG5:AG68" ca="1" si="27">IF(AND(L4&lt;L_rampe,Poussee&lt;Poids*SIN(M4)),0,(-W4+Poussee)/m-Poids*SIN(M4)/m)</f>
        <v>-37.492840291358284</v>
      </c>
      <c r="AH5" s="304">
        <f t="shared" ref="AH5:AH68" ca="1" si="28">IF(AND(L4&lt;L_rampe,Poussee&lt;Poids*SIN(M4)), g*SIN(M4), (-W4+Poussee)/m)</f>
        <v>-27.907067249074217</v>
      </c>
    </row>
    <row r="6" spans="1:248" x14ac:dyDescent="0.2">
      <c r="A6" s="347">
        <f t="shared" ca="1" si="6"/>
        <v>0.01</v>
      </c>
      <c r="B6" s="304">
        <f t="shared" ca="1" si="7"/>
        <v>3.2199999999999998</v>
      </c>
      <c r="D6" s="306">
        <f t="shared" ca="1" si="8"/>
        <v>-5.9092198303188805</v>
      </c>
      <c r="E6" s="307">
        <f t="shared" ca="1" si="9"/>
        <v>-36.956193192640754</v>
      </c>
      <c r="F6" s="304">
        <f t="shared" ca="1" si="10"/>
        <v>37.425647546766918</v>
      </c>
      <c r="G6" s="306">
        <f t="shared" ca="1" si="11"/>
        <v>36.894656399211257</v>
      </c>
      <c r="H6" s="307">
        <f t="shared" ca="1" si="12"/>
        <v>169.39118947445189</v>
      </c>
      <c r="I6" s="304">
        <f t="shared" ca="1" si="13"/>
        <v>173.36259902985282</v>
      </c>
      <c r="J6" s="306">
        <f t="shared" ca="1" si="14"/>
        <v>99.703764247284326</v>
      </c>
      <c r="K6" s="307">
        <f t="shared" ca="1" si="15"/>
        <v>491.24294032459193</v>
      </c>
      <c r="L6" s="304">
        <f t="shared" ca="1" si="0"/>
        <v>501.25888223933612</v>
      </c>
      <c r="M6" s="306">
        <f t="shared" ca="1" si="16"/>
        <v>1.3563383484414868</v>
      </c>
      <c r="N6" s="304">
        <f t="shared" ca="1" si="17"/>
        <v>77.712462957441659</v>
      </c>
      <c r="P6" s="310">
        <f t="shared" ca="1" si="18"/>
        <v>1</v>
      </c>
      <c r="Q6" s="304">
        <f t="shared" ca="1" si="19"/>
        <v>1.4999999999999679E-3</v>
      </c>
      <c r="R6" s="306">
        <f t="shared" ca="1" si="20"/>
        <v>1.4999999999999679E-4</v>
      </c>
      <c r="S6" s="307">
        <f t="shared" ca="1" si="21"/>
        <v>2.5950980000000001</v>
      </c>
      <c r="T6" s="304">
        <f t="shared" ca="1" si="1"/>
        <v>25.457911380000002</v>
      </c>
      <c r="U6" s="311">
        <f t="shared" ca="1" si="2"/>
        <v>0</v>
      </c>
      <c r="V6" s="306">
        <f t="shared" ca="1" si="3"/>
        <v>1.1662653879854794</v>
      </c>
      <c r="W6" s="304">
        <f t="shared" ca="1" si="4"/>
        <v>71.776301287553892</v>
      </c>
      <c r="Y6" s="314" t="str">
        <f t="shared" ca="1" si="22"/>
        <v/>
      </c>
      <c r="Z6" s="315" t="str">
        <f t="shared" ca="1" si="23"/>
        <v/>
      </c>
      <c r="AA6" s="316" t="str">
        <f t="shared" ca="1" si="24"/>
        <v/>
      </c>
      <c r="AC6" s="310" t="e">
        <f t="shared" ca="1" si="25"/>
        <v>#N/A</v>
      </c>
      <c r="AD6" s="323" t="e">
        <f t="shared" ca="1" si="26"/>
        <v>#N/A</v>
      </c>
      <c r="AE6" s="324">
        <f t="shared" ca="1" si="5"/>
        <v>491.24294032459193</v>
      </c>
      <c r="AG6" s="306">
        <f t="shared" ca="1" si="27"/>
        <v>-37.367435538612128</v>
      </c>
      <c r="AH6" s="304">
        <f t="shared" ca="1" si="28"/>
        <v>-27.781912890497818</v>
      </c>
    </row>
    <row r="7" spans="1:248" x14ac:dyDescent="0.2">
      <c r="A7" s="347">
        <f t="shared" ca="1" si="6"/>
        <v>0.01</v>
      </c>
      <c r="B7" s="304">
        <f t="shared" ca="1" si="7"/>
        <v>3.2299999999999995</v>
      </c>
      <c r="D7" s="306">
        <f t="shared" ca="1" si="8"/>
        <v>-5.8860055088162806</v>
      </c>
      <c r="E7" s="307">
        <f t="shared" ca="1" si="9"/>
        <v>-36.833899168576643</v>
      </c>
      <c r="F7" s="304">
        <f t="shared" ca="1" si="10"/>
        <v>37.301222350087762</v>
      </c>
      <c r="G7" s="306">
        <f t="shared" ca="1" si="11"/>
        <v>36.835796344123096</v>
      </c>
      <c r="H7" s="307">
        <f t="shared" ca="1" si="12"/>
        <v>169.02285048276613</v>
      </c>
      <c r="I7" s="304">
        <f t="shared" ca="1" si="13"/>
        <v>172.99017277760385</v>
      </c>
      <c r="J7" s="306">
        <f t="shared" ca="1" si="14"/>
        <v>100.07241651100099</v>
      </c>
      <c r="K7" s="307">
        <f t="shared" ca="1" si="15"/>
        <v>492.93501052437801</v>
      </c>
      <c r="L7" s="304">
        <f t="shared" ca="1" si="0"/>
        <v>502.99047023479471</v>
      </c>
      <c r="M7" s="306">
        <f t="shared" ca="1" si="16"/>
        <v>1.356217662790649</v>
      </c>
      <c r="N7" s="304">
        <f t="shared" ca="1" si="17"/>
        <v>77.705548179000857</v>
      </c>
      <c r="P7" s="310">
        <f t="shared" ca="1" si="18"/>
        <v>1</v>
      </c>
      <c r="Q7" s="304">
        <f t="shared" ca="1" si="19"/>
        <v>2.4999999999999467E-3</v>
      </c>
      <c r="R7" s="306">
        <f t="shared" ca="1" si="20"/>
        <v>2.4999999999999469E-4</v>
      </c>
      <c r="S7" s="307">
        <f t="shared" ca="1" si="21"/>
        <v>2.5950955000000002</v>
      </c>
      <c r="T7" s="304">
        <f t="shared" ca="1" si="1"/>
        <v>25.457886855000002</v>
      </c>
      <c r="U7" s="311">
        <f t="shared" ca="1" si="2"/>
        <v>0</v>
      </c>
      <c r="V7" s="306">
        <f t="shared" ca="1" si="3"/>
        <v>1.1660679448715128</v>
      </c>
      <c r="W7" s="304">
        <f t="shared" ca="1" si="4"/>
        <v>71.456146384914121</v>
      </c>
      <c r="Y7" s="314" t="str">
        <f t="shared" ca="1" si="22"/>
        <v/>
      </c>
      <c r="Z7" s="315" t="str">
        <f t="shared" ca="1" si="23"/>
        <v/>
      </c>
      <c r="AA7" s="316" t="str">
        <f t="shared" ca="1" si="24"/>
        <v/>
      </c>
      <c r="AC7" s="310" t="e">
        <f t="shared" ca="1" si="25"/>
        <v>#N/A</v>
      </c>
      <c r="AD7" s="323" t="e">
        <f t="shared" ca="1" si="26"/>
        <v>#N/A</v>
      </c>
      <c r="AE7" s="324">
        <f t="shared" ca="1" si="5"/>
        <v>492.93501052437801</v>
      </c>
      <c r="AG7" s="306">
        <f t="shared" ca="1" si="27"/>
        <v>-37.242751205218511</v>
      </c>
      <c r="AH7" s="304">
        <f t="shared" ca="1" si="28"/>
        <v>-27.65747976810637</v>
      </c>
    </row>
    <row r="8" spans="1:248" x14ac:dyDescent="0.2">
      <c r="A8" s="347">
        <f t="shared" ca="1" si="6"/>
        <v>0.01</v>
      </c>
      <c r="B8" s="304">
        <f t="shared" ca="1" si="7"/>
        <v>3.2399999999999993</v>
      </c>
      <c r="D8" s="306">
        <f t="shared" ca="1" si="8"/>
        <v>-5.8629229970166028</v>
      </c>
      <c r="E8" s="307">
        <f t="shared" ca="1" si="9"/>
        <v>-36.712308500649833</v>
      </c>
      <c r="F8" s="304">
        <f t="shared" ca="1" si="10"/>
        <v>37.177512847362884</v>
      </c>
      <c r="G8" s="306">
        <f t="shared" ca="1" si="11"/>
        <v>36.777167114152931</v>
      </c>
      <c r="H8" s="307">
        <f t="shared" ca="1" si="12"/>
        <v>168.65572739775962</v>
      </c>
      <c r="I8" s="304">
        <f t="shared" ca="1" si="13"/>
        <v>172.61898622402384</v>
      </c>
      <c r="J8" s="306">
        <f t="shared" ca="1" si="14"/>
        <v>100.44048132829238</v>
      </c>
      <c r="K8" s="307">
        <f t="shared" ca="1" si="15"/>
        <v>494.62340341378064</v>
      </c>
      <c r="L8" s="304">
        <f t="shared" ca="1" si="0"/>
        <v>504.7183387733109</v>
      </c>
      <c r="M8" s="306">
        <f t="shared" ca="1" si="16"/>
        <v>1.3560966506126573</v>
      </c>
      <c r="N8" s="304">
        <f t="shared" ca="1" si="17"/>
        <v>77.698614691932249</v>
      </c>
      <c r="P8" s="310">
        <f t="shared" ca="1" si="18"/>
        <v>1</v>
      </c>
      <c r="Q8" s="304">
        <f t="shared" ca="1" si="19"/>
        <v>3.499999999999925E-3</v>
      </c>
      <c r="R8" s="306">
        <f t="shared" ca="1" si="20"/>
        <v>3.4999999999999252E-4</v>
      </c>
      <c r="S8" s="307">
        <f t="shared" ca="1" si="21"/>
        <v>2.5950920000000002</v>
      </c>
      <c r="T8" s="304">
        <f t="shared" ca="1" si="1"/>
        <v>25.457852520000003</v>
      </c>
      <c r="U8" s="311">
        <f t="shared" ca="1" si="2"/>
        <v>0</v>
      </c>
      <c r="V8" s="306">
        <f t="shared" ca="1" si="3"/>
        <v>1.1658709633492503</v>
      </c>
      <c r="W8" s="304">
        <f t="shared" ca="1" si="4"/>
        <v>71.137807997271636</v>
      </c>
      <c r="Y8" s="314" t="str">
        <f t="shared" ca="1" si="22"/>
        <v/>
      </c>
      <c r="Z8" s="315" t="str">
        <f t="shared" ca="1" si="23"/>
        <v/>
      </c>
      <c r="AA8" s="316" t="str">
        <f t="shared" ca="1" si="24"/>
        <v/>
      </c>
      <c r="AC8" s="310" t="e">
        <f t="shared" ca="1" si="25"/>
        <v>#N/A</v>
      </c>
      <c r="AD8" s="323" t="e">
        <f t="shared" ca="1" si="26"/>
        <v>#N/A</v>
      </c>
      <c r="AE8" s="324">
        <f t="shared" ca="1" si="5"/>
        <v>494.62340341378064</v>
      </c>
      <c r="AG8" s="306">
        <f t="shared" ca="1" si="27"/>
        <v>-37.118781749163141</v>
      </c>
      <c r="AH8" s="304">
        <f t="shared" ca="1" si="28"/>
        <v>-27.533762342496573</v>
      </c>
    </row>
    <row r="9" spans="1:248" x14ac:dyDescent="0.2">
      <c r="A9" s="347">
        <f t="shared" ca="1" si="6"/>
        <v>0.01</v>
      </c>
      <c r="B9" s="304">
        <f t="shared" ca="1" si="7"/>
        <v>3.2499999999999991</v>
      </c>
      <c r="D9" s="306">
        <f t="shared" ca="1" si="8"/>
        <v>-5.8399712807121551</v>
      </c>
      <c r="E9" s="307">
        <f t="shared" ca="1" si="9"/>
        <v>-36.591415797289585</v>
      </c>
      <c r="F9" s="304">
        <f t="shared" ca="1" si="10"/>
        <v>37.054513552463163</v>
      </c>
      <c r="G9" s="306">
        <f t="shared" ca="1" si="11"/>
        <v>36.718767401345808</v>
      </c>
      <c r="H9" s="307">
        <f t="shared" ca="1" si="12"/>
        <v>168.28981323978672</v>
      </c>
      <c r="I9" s="304">
        <f t="shared" ca="1" si="13"/>
        <v>172.2490322752393</v>
      </c>
      <c r="J9" s="306">
        <f t="shared" ca="1" si="14"/>
        <v>100.80796100086987</v>
      </c>
      <c r="K9" s="307">
        <f t="shared" ca="1" si="15"/>
        <v>496.30813111696835</v>
      </c>
      <c r="L9" s="304">
        <f t="shared" ca="1" si="0"/>
        <v>506.44250020507832</v>
      </c>
      <c r="M9" s="306">
        <f t="shared" ca="1" si="16"/>
        <v>1.3559753111885824</v>
      </c>
      <c r="N9" s="304">
        <f t="shared" ca="1" si="17"/>
        <v>77.691662455044209</v>
      </c>
      <c r="P9" s="310">
        <f t="shared" ca="1" si="18"/>
        <v>1</v>
      </c>
      <c r="Q9" s="304">
        <f t="shared" ca="1" si="19"/>
        <v>4.4999999999999034E-3</v>
      </c>
      <c r="R9" s="306">
        <f t="shared" ca="1" si="20"/>
        <v>4.4999999999999034E-4</v>
      </c>
      <c r="S9" s="307">
        <f t="shared" ca="1" si="21"/>
        <v>2.5950875</v>
      </c>
      <c r="T9" s="304">
        <f t="shared" ca="1" si="1"/>
        <v>25.457808375000003</v>
      </c>
      <c r="U9" s="311">
        <f t="shared" ca="1" si="2"/>
        <v>0</v>
      </c>
      <c r="V9" s="306">
        <f t="shared" ca="1" si="3"/>
        <v>1.1656744417844429</v>
      </c>
      <c r="W9" s="304">
        <f t="shared" ca="1" si="4"/>
        <v>70.821272384221587</v>
      </c>
      <c r="Y9" s="314" t="str">
        <f t="shared" ca="1" si="22"/>
        <v/>
      </c>
      <c r="Z9" s="315" t="str">
        <f t="shared" ca="1" si="23"/>
        <v/>
      </c>
      <c r="AA9" s="316" t="str">
        <f t="shared" ca="1" si="24"/>
        <v/>
      </c>
      <c r="AC9" s="310" t="e">
        <f t="shared" ca="1" si="25"/>
        <v>#N/A</v>
      </c>
      <c r="AD9" s="323" t="e">
        <f t="shared" ca="1" si="26"/>
        <v>#N/A</v>
      </c>
      <c r="AE9" s="324">
        <f t="shared" ca="1" si="5"/>
        <v>496.30813111696835</v>
      </c>
      <c r="AG9" s="306">
        <f t="shared" ca="1" si="27"/>
        <v>-36.995521681783444</v>
      </c>
      <c r="AH9" s="304">
        <f t="shared" ca="1" si="28"/>
        <v>-27.41075512762928</v>
      </c>
    </row>
    <row r="10" spans="1:248" x14ac:dyDescent="0.2">
      <c r="A10" s="347">
        <f t="shared" ca="1" si="6"/>
        <v>0.01</v>
      </c>
      <c r="B10" s="304">
        <f t="shared" ca="1" si="7"/>
        <v>3.2599999999999989</v>
      </c>
      <c r="D10" s="306">
        <f t="shared" ca="1" si="8"/>
        <v>-5.8171493554368858</v>
      </c>
      <c r="E10" s="307">
        <f t="shared" ca="1" si="9"/>
        <v>-36.471215718764526</v>
      </c>
      <c r="F10" s="304">
        <f t="shared" ca="1" si="10"/>
        <v>36.932219032006678</v>
      </c>
      <c r="G10" s="306">
        <f t="shared" ca="1" si="11"/>
        <v>36.660595907791439</v>
      </c>
      <c r="H10" s="307">
        <f t="shared" ca="1" si="12"/>
        <v>167.92510108259907</v>
      </c>
      <c r="I10" s="304">
        <f t="shared" ca="1" si="13"/>
        <v>171.88030389173591</v>
      </c>
      <c r="J10" s="306">
        <f t="shared" ca="1" si="14"/>
        <v>101.17485781741556</v>
      </c>
      <c r="K10" s="307">
        <f t="shared" ca="1" si="15"/>
        <v>497.98920568858028</v>
      </c>
      <c r="L10" s="304">
        <f t="shared" ca="1" si="0"/>
        <v>508.162966809583</v>
      </c>
      <c r="M10" s="306">
        <f t="shared" ca="1" si="16"/>
        <v>1.3558536437965241</v>
      </c>
      <c r="N10" s="304">
        <f t="shared" ca="1" si="17"/>
        <v>77.684691426974908</v>
      </c>
      <c r="P10" s="310">
        <f t="shared" ca="1" si="18"/>
        <v>1</v>
      </c>
      <c r="Q10" s="304">
        <f t="shared" ca="1" si="19"/>
        <v>5.4999999999998826E-3</v>
      </c>
      <c r="R10" s="306">
        <f t="shared" ca="1" si="20"/>
        <v>5.4999999999998822E-4</v>
      </c>
      <c r="S10" s="307">
        <f t="shared" ca="1" si="21"/>
        <v>2.5950820000000001</v>
      </c>
      <c r="T10" s="304">
        <f t="shared" ca="1" si="1"/>
        <v>25.457754420000004</v>
      </c>
      <c r="U10" s="311">
        <f t="shared" ca="1" si="2"/>
        <v>0</v>
      </c>
      <c r="V10" s="306">
        <f t="shared" ca="1" si="3"/>
        <v>1.1654783785524472</v>
      </c>
      <c r="W10" s="304">
        <f t="shared" ca="1" si="4"/>
        <v>70.506525936541152</v>
      </c>
      <c r="Y10" s="314" t="str">
        <f t="shared" ca="1" si="22"/>
        <v/>
      </c>
      <c r="Z10" s="315" t="str">
        <f t="shared" ca="1" si="23"/>
        <v/>
      </c>
      <c r="AA10" s="316" t="str">
        <f t="shared" ca="1" si="24"/>
        <v/>
      </c>
      <c r="AC10" s="310" t="e">
        <f t="shared" ca="1" si="25"/>
        <v>#N/A</v>
      </c>
      <c r="AD10" s="323" t="e">
        <f t="shared" ca="1" si="26"/>
        <v>#N/A</v>
      </c>
      <c r="AE10" s="324">
        <f t="shared" ca="1" si="5"/>
        <v>497.98920568858028</v>
      </c>
      <c r="AG10" s="306">
        <f t="shared" ca="1" si="27"/>
        <v>-36.872965567151297</v>
      </c>
      <c r="AH10" s="304">
        <f t="shared" ca="1" si="28"/>
        <v>-27.288452690212328</v>
      </c>
    </row>
    <row r="11" spans="1:248" x14ac:dyDescent="0.2">
      <c r="A11" s="347">
        <f t="shared" ca="1" si="6"/>
        <v>0.01</v>
      </c>
      <c r="B11" s="304">
        <f t="shared" ca="1" si="7"/>
        <v>3.2699999999999987</v>
      </c>
      <c r="D11" s="306">
        <f t="shared" ca="1" si="8"/>
        <v>-5.7944562263539128</v>
      </c>
      <c r="E11" s="307">
        <f t="shared" ca="1" si="9"/>
        <v>-36.351702976584143</v>
      </c>
      <c r="F11" s="304">
        <f t="shared" ca="1" si="10"/>
        <v>36.810623904749676</v>
      </c>
      <c r="G11" s="306">
        <f t="shared" ca="1" si="11"/>
        <v>36.602651345527903</v>
      </c>
      <c r="H11" s="307">
        <f t="shared" ca="1" si="12"/>
        <v>167.56158405283324</v>
      </c>
      <c r="I11" s="304">
        <f t="shared" ca="1" si="13"/>
        <v>171.51279408783759</v>
      </c>
      <c r="J11" s="306">
        <f t="shared" ca="1" si="14"/>
        <v>101.54117405368216</v>
      </c>
      <c r="K11" s="307">
        <f t="shared" ca="1" si="15"/>
        <v>499.66663911425746</v>
      </c>
      <c r="L11" s="304">
        <f t="shared" ca="1" si="0"/>
        <v>509.87975079614387</v>
      </c>
      <c r="M11" s="306">
        <f t="shared" ca="1" si="16"/>
        <v>1.3557316477116002</v>
      </c>
      <c r="N11" s="304">
        <f t="shared" ca="1" si="17"/>
        <v>77.677701566191644</v>
      </c>
      <c r="P11" s="310">
        <f t="shared" ca="1" si="18"/>
        <v>1</v>
      </c>
      <c r="Q11" s="304">
        <f t="shared" ca="1" si="19"/>
        <v>6.4999999999998609E-3</v>
      </c>
      <c r="R11" s="306">
        <f t="shared" ca="1" si="20"/>
        <v>6.4999999999998609E-4</v>
      </c>
      <c r="S11" s="307">
        <f t="shared" ca="1" si="21"/>
        <v>2.5950755000000001</v>
      </c>
      <c r="T11" s="304">
        <f t="shared" ca="1" si="1"/>
        <v>25.457690655000004</v>
      </c>
      <c r="U11" s="311">
        <f t="shared" ca="1" si="2"/>
        <v>0</v>
      </c>
      <c r="V11" s="306">
        <f t="shared" ca="1" si="3"/>
        <v>1.1652827720381496</v>
      </c>
      <c r="W11" s="304">
        <f t="shared" ca="1" si="4"/>
        <v>70.193555174683368</v>
      </c>
      <c r="Y11" s="314" t="str">
        <f t="shared" ca="1" si="22"/>
        <v/>
      </c>
      <c r="Z11" s="315" t="str">
        <f t="shared" ca="1" si="23"/>
        <v/>
      </c>
      <c r="AA11" s="316" t="str">
        <f t="shared" ca="1" si="24"/>
        <v/>
      </c>
      <c r="AC11" s="310" t="e">
        <f t="shared" ca="1" si="25"/>
        <v>#N/A</v>
      </c>
      <c r="AD11" s="323" t="e">
        <f t="shared" ca="1" si="26"/>
        <v>#N/A</v>
      </c>
      <c r="AE11" s="324">
        <f t="shared" ca="1" si="5"/>
        <v>499.66663911425746</v>
      </c>
      <c r="AG11" s="306">
        <f t="shared" ca="1" si="27"/>
        <v>-36.751108021464063</v>
      </c>
      <c r="AH11" s="304">
        <f t="shared" ca="1" si="28"/>
        <v>-27.166849649091578</v>
      </c>
    </row>
    <row r="12" spans="1:248" x14ac:dyDescent="0.2">
      <c r="A12" s="347">
        <f t="shared" ca="1" si="6"/>
        <v>0.01</v>
      </c>
      <c r="B12" s="304">
        <f t="shared" ca="1" si="7"/>
        <v>3.2799999999999985</v>
      </c>
      <c r="D12" s="306">
        <f t="shared" ca="1" si="8"/>
        <v>-5.7718909081445418</v>
      </c>
      <c r="E12" s="307">
        <f t="shared" ca="1" si="9"/>
        <v>-36.232872332908499</v>
      </c>
      <c r="F12" s="304">
        <f t="shared" ca="1" si="10"/>
        <v>36.689722840985972</v>
      </c>
      <c r="G12" s="306">
        <f t="shared" ca="1" si="11"/>
        <v>36.544932436446459</v>
      </c>
      <c r="H12" s="307">
        <f t="shared" ca="1" si="12"/>
        <v>167.19925532950415</v>
      </c>
      <c r="I12" s="304">
        <f t="shared" ca="1" si="13"/>
        <v>171.14649593119094</v>
      </c>
      <c r="J12" s="306">
        <f t="shared" ca="1" si="14"/>
        <v>101.90691197259203</v>
      </c>
      <c r="K12" s="307">
        <f t="shared" ca="1" si="15"/>
        <v>501.34044331116917</v>
      </c>
      <c r="L12" s="304">
        <f t="shared" ca="1" si="0"/>
        <v>511.59286430444791</v>
      </c>
      <c r="M12" s="306">
        <f t="shared" ca="1" si="16"/>
        <v>1.3556093222059351</v>
      </c>
      <c r="N12" s="304">
        <f t="shared" ca="1" si="17"/>
        <v>77.670692830990234</v>
      </c>
      <c r="P12" s="310">
        <f t="shared" ca="1" si="18"/>
        <v>1</v>
      </c>
      <c r="Q12" s="304">
        <f t="shared" ca="1" si="19"/>
        <v>7.4999999999998393E-3</v>
      </c>
      <c r="R12" s="306">
        <f t="shared" ca="1" si="20"/>
        <v>7.4999999999998397E-4</v>
      </c>
      <c r="S12" s="307">
        <f t="shared" ca="1" si="21"/>
        <v>2.5950679999999999</v>
      </c>
      <c r="T12" s="304">
        <f t="shared" ca="1" si="1"/>
        <v>25.457617080000002</v>
      </c>
      <c r="U12" s="311">
        <f t="shared" ca="1" si="2"/>
        <v>0</v>
      </c>
      <c r="V12" s="306">
        <f t="shared" ca="1" si="3"/>
        <v>1.1650876206358936</v>
      </c>
      <c r="W12" s="304">
        <f t="shared" ca="1" si="4"/>
        <v>69.882346747290654</v>
      </c>
      <c r="Y12" s="314" t="str">
        <f t="shared" ca="1" si="22"/>
        <v/>
      </c>
      <c r="Z12" s="315" t="str">
        <f t="shared" ca="1" si="23"/>
        <v/>
      </c>
      <c r="AA12" s="316" t="str">
        <f t="shared" ca="1" si="24"/>
        <v/>
      </c>
      <c r="AC12" s="310" t="e">
        <f t="shared" ca="1" si="25"/>
        <v>#N/A</v>
      </c>
      <c r="AD12" s="323" t="e">
        <f t="shared" ca="1" si="26"/>
        <v>#N/A</v>
      </c>
      <c r="AE12" s="324">
        <f t="shared" ca="1" si="5"/>
        <v>501.34044331116917</v>
      </c>
      <c r="AG12" s="306">
        <f t="shared" ca="1" si="27"/>
        <v>-36.629943712443833</v>
      </c>
      <c r="AH12" s="304">
        <f t="shared" ca="1" si="28"/>
        <v>-27.045940674650289</v>
      </c>
    </row>
    <row r="13" spans="1:248" x14ac:dyDescent="0.2">
      <c r="A13" s="347">
        <f t="shared" ca="1" si="6"/>
        <v>0.01</v>
      </c>
      <c r="B13" s="304">
        <f t="shared" ca="1" si="7"/>
        <v>3.2899999999999983</v>
      </c>
      <c r="D13" s="306">
        <f t="shared" ca="1" si="8"/>
        <v>-5.7494524248987551</v>
      </c>
      <c r="E13" s="307">
        <f t="shared" ca="1" si="9"/>
        <v>-36.114718599965734</v>
      </c>
      <c r="F13" s="304">
        <f t="shared" ca="1" si="10"/>
        <v>36.569510561954274</v>
      </c>
      <c r="G13" s="306">
        <f t="shared" ca="1" si="11"/>
        <v>36.487437912197471</v>
      </c>
      <c r="H13" s="307">
        <f t="shared" ca="1" si="12"/>
        <v>166.83810814350448</v>
      </c>
      <c r="I13" s="304">
        <f t="shared" ca="1" si="13"/>
        <v>170.78140254225625</v>
      </c>
      <c r="J13" s="306">
        <f t="shared" ca="1" si="14"/>
        <v>102.27207382433525</v>
      </c>
      <c r="K13" s="307">
        <f t="shared" ca="1" si="15"/>
        <v>503.01063012853422</v>
      </c>
      <c r="L13" s="304">
        <f t="shared" ca="1" si="0"/>
        <v>513.30231940508054</v>
      </c>
      <c r="M13" s="306">
        <f t="shared" ca="1" si="16"/>
        <v>1.3554866665486467</v>
      </c>
      <c r="N13" s="304">
        <f t="shared" ca="1" si="17"/>
        <v>77.663665179494203</v>
      </c>
      <c r="P13" s="310">
        <f t="shared" ca="1" si="18"/>
        <v>1</v>
      </c>
      <c r="Q13" s="304">
        <f t="shared" ca="1" si="19"/>
        <v>8.4999999999998185E-3</v>
      </c>
      <c r="R13" s="306">
        <f t="shared" ca="1" si="20"/>
        <v>8.4999999999998185E-4</v>
      </c>
      <c r="S13" s="307">
        <f t="shared" ca="1" si="21"/>
        <v>2.5950595000000001</v>
      </c>
      <c r="T13" s="304">
        <f t="shared" ca="1" si="1"/>
        <v>25.457533695000002</v>
      </c>
      <c r="U13" s="311">
        <f t="shared" ca="1" si="2"/>
        <v>0</v>
      </c>
      <c r="V13" s="306">
        <f t="shared" ca="1" si="3"/>
        <v>1.1648929227494049</v>
      </c>
      <c r="W13" s="304">
        <f t="shared" ca="1" si="4"/>
        <v>69.572887429728681</v>
      </c>
      <c r="Y13" s="314" t="str">
        <f t="shared" ca="1" si="22"/>
        <v/>
      </c>
      <c r="Z13" s="315" t="str">
        <f t="shared" ca="1" si="23"/>
        <v/>
      </c>
      <c r="AA13" s="316" t="str">
        <f t="shared" ca="1" si="24"/>
        <v/>
      </c>
      <c r="AC13" s="310" t="e">
        <f t="shared" ca="1" si="25"/>
        <v>#N/A</v>
      </c>
      <c r="AD13" s="323" t="e">
        <f t="shared" ca="1" si="26"/>
        <v>#N/A</v>
      </c>
      <c r="AE13" s="324">
        <f t="shared" ca="1" si="5"/>
        <v>503.01063012853422</v>
      </c>
      <c r="AG13" s="306">
        <f t="shared" ca="1" si="27"/>
        <v>-36.509467358744715</v>
      </c>
      <c r="AH13" s="304">
        <f t="shared" ca="1" si="28"/>
        <v>-26.925720488216417</v>
      </c>
    </row>
    <row r="14" spans="1:248" x14ac:dyDescent="0.2">
      <c r="A14" s="347">
        <f t="shared" ca="1" si="6"/>
        <v>0.01</v>
      </c>
      <c r="B14" s="304">
        <f t="shared" ca="1" si="7"/>
        <v>3.299999999999998</v>
      </c>
      <c r="D14" s="306">
        <f t="shared" ca="1" si="8"/>
        <v>-5.7271398100072624</v>
      </c>
      <c r="E14" s="307">
        <f t="shared" ca="1" si="9"/>
        <v>-35.997236639477592</v>
      </c>
      <c r="F14" s="304">
        <f t="shared" ca="1" si="10"/>
        <v>36.44998183925361</v>
      </c>
      <c r="G14" s="306">
        <f t="shared" ca="1" si="11"/>
        <v>36.430166514097401</v>
      </c>
      <c r="H14" s="307">
        <f t="shared" ca="1" si="12"/>
        <v>166.47813577710971</v>
      </c>
      <c r="I14" s="304">
        <f t="shared" ca="1" si="13"/>
        <v>170.41750709380372</v>
      </c>
      <c r="J14" s="306">
        <f t="shared" ca="1" si="14"/>
        <v>102.63666184646672</v>
      </c>
      <c r="K14" s="307">
        <f t="shared" ca="1" si="15"/>
        <v>504.67721134813729</v>
      </c>
      <c r="L14" s="304">
        <f t="shared" ca="1" si="0"/>
        <v>515.00812810005084</v>
      </c>
      <c r="M14" s="306">
        <f t="shared" ca="1" si="16"/>
        <v>1.355363680005836</v>
      </c>
      <c r="N14" s="304">
        <f t="shared" ca="1" si="17"/>
        <v>77.656618569654242</v>
      </c>
      <c r="P14" s="310">
        <f t="shared" ca="1" si="18"/>
        <v>1</v>
      </c>
      <c r="Q14" s="304">
        <f t="shared" ca="1" si="19"/>
        <v>9.4999999999997968E-3</v>
      </c>
      <c r="R14" s="306">
        <f t="shared" ca="1" si="20"/>
        <v>9.4999999999997972E-4</v>
      </c>
      <c r="S14" s="307">
        <f t="shared" ca="1" si="21"/>
        <v>2.5950500000000001</v>
      </c>
      <c r="T14" s="304">
        <f t="shared" ca="1" si="1"/>
        <v>25.457440500000001</v>
      </c>
      <c r="U14" s="311">
        <f t="shared" ca="1" si="2"/>
        <v>0</v>
      </c>
      <c r="V14" s="306">
        <f t="shared" ca="1" si="3"/>
        <v>1.1646986767917211</v>
      </c>
      <c r="W14" s="304">
        <f t="shared" ca="1" si="4"/>
        <v>69.265164122639462</v>
      </c>
      <c r="Y14" s="314" t="str">
        <f t="shared" ca="1" si="22"/>
        <v/>
      </c>
      <c r="Z14" s="315" t="str">
        <f t="shared" ca="1" si="23"/>
        <v/>
      </c>
      <c r="AA14" s="316" t="str">
        <f t="shared" ca="1" si="24"/>
        <v/>
      </c>
      <c r="AC14" s="310" t="e">
        <f t="shared" ca="1" si="25"/>
        <v>#N/A</v>
      </c>
      <c r="AD14" s="323" t="e">
        <f t="shared" ca="1" si="26"/>
        <v>#N/A</v>
      </c>
      <c r="AE14" s="324">
        <f t="shared" ca="1" si="5"/>
        <v>504.67721134813729</v>
      </c>
      <c r="AG14" s="306">
        <f t="shared" ca="1" si="27"/>
        <v>-36.389673729368212</v>
      </c>
      <c r="AH14" s="304">
        <f t="shared" ca="1" si="28"/>
        <v>-26.806183861478075</v>
      </c>
    </row>
    <row r="15" spans="1:248" x14ac:dyDescent="0.2">
      <c r="A15" s="347">
        <f t="shared" ca="1" si="6"/>
        <v>0.01</v>
      </c>
      <c r="B15" s="304">
        <f t="shared" ca="1" si="7"/>
        <v>3.3099999999999978</v>
      </c>
      <c r="D15" s="306">
        <f t="shared" ca="1" si="8"/>
        <v>-5.7050322840489684</v>
      </c>
      <c r="E15" s="307">
        <f t="shared" ca="1" si="9"/>
        <v>-35.880787758523354</v>
      </c>
      <c r="F15" s="304">
        <f t="shared" ca="1" si="10"/>
        <v>36.331505935403236</v>
      </c>
      <c r="G15" s="306">
        <f t="shared" ca="1" si="11"/>
        <v>36.373116191256912</v>
      </c>
      <c r="H15" s="307">
        <f t="shared" ca="1" si="12"/>
        <v>166.11932789952448</v>
      </c>
      <c r="I15" s="304">
        <f t="shared" ca="1" si="13"/>
        <v>170.05479905975133</v>
      </c>
      <c r="J15" s="306">
        <f t="shared" ca="1" si="14"/>
        <v>103.00067825999349</v>
      </c>
      <c r="K15" s="307">
        <f t="shared" ca="1" si="15"/>
        <v>506.34019866652045</v>
      </c>
      <c r="L15" s="304">
        <f t="shared" ca="1" si="0"/>
        <v>516.71030230456029</v>
      </c>
      <c r="M15" s="306">
        <f t="shared" ca="1" si="16"/>
        <v>1.3552403618378546</v>
      </c>
      <c r="N15" s="304">
        <f t="shared" ca="1" si="17"/>
        <v>77.649552959091622</v>
      </c>
      <c r="P15" s="310">
        <f t="shared" ca="1" si="18"/>
        <v>2</v>
      </c>
      <c r="Q15" s="304">
        <f t="shared" ca="1" si="19"/>
        <v>9.5000000000002253E-3</v>
      </c>
      <c r="R15" s="306">
        <f t="shared" ca="1" si="20"/>
        <v>9.5000000000002255E-4</v>
      </c>
      <c r="S15" s="307">
        <f t="shared" ca="1" si="21"/>
        <v>2.5950405000000001</v>
      </c>
      <c r="T15" s="304">
        <f t="shared" ca="1" si="1"/>
        <v>25.457347305000003</v>
      </c>
      <c r="U15" s="311">
        <f t="shared" ca="1" si="2"/>
        <v>0</v>
      </c>
      <c r="V15" s="306">
        <f t="shared" ca="1" si="3"/>
        <v>1.1645048811872516</v>
      </c>
      <c r="W15" s="304">
        <f t="shared" ca="1" si="4"/>
        <v>68.959160808765702</v>
      </c>
      <c r="Y15" s="314" t="str">
        <f t="shared" ca="1" si="22"/>
        <v/>
      </c>
      <c r="Z15" s="315" t="str">
        <f t="shared" ca="1" si="23"/>
        <v/>
      </c>
      <c r="AA15" s="316" t="str">
        <f t="shared" ca="1" si="24"/>
        <v/>
      </c>
      <c r="AC15" s="310" t="e">
        <f t="shared" ca="1" si="25"/>
        <v>#N/A</v>
      </c>
      <c r="AD15" s="323" t="e">
        <f t="shared" ca="1" si="26"/>
        <v>#N/A</v>
      </c>
      <c r="AE15" s="324">
        <f t="shared" ca="1" si="5"/>
        <v>506.34019866652045</v>
      </c>
      <c r="AG15" s="306">
        <f t="shared" ca="1" si="27"/>
        <v>-36.270932709554096</v>
      </c>
      <c r="AH15" s="304">
        <f t="shared" ca="1" si="28"/>
        <v>-26.687700682374498</v>
      </c>
    </row>
    <row r="16" spans="1:248" x14ac:dyDescent="0.2">
      <c r="A16" s="347">
        <f t="shared" ca="1" si="6"/>
        <v>0.01</v>
      </c>
      <c r="B16" s="304">
        <f t="shared" ca="1" si="7"/>
        <v>3.3199999999999976</v>
      </c>
      <c r="D16" s="306">
        <f t="shared" ca="1" si="8"/>
        <v>-5.68312662370725</v>
      </c>
      <c r="E16" s="307">
        <f t="shared" ca="1" si="9"/>
        <v>-35.765355876961458</v>
      </c>
      <c r="F16" s="304">
        <f t="shared" ca="1" si="10"/>
        <v>36.214066455271102</v>
      </c>
      <c r="G16" s="306">
        <f t="shared" ca="1" si="11"/>
        <v>36.316284925019836</v>
      </c>
      <c r="H16" s="307">
        <f t="shared" ca="1" si="12"/>
        <v>165.76167434075487</v>
      </c>
      <c r="I16" s="304">
        <f t="shared" ca="1" si="13"/>
        <v>169.69326807804043</v>
      </c>
      <c r="J16" s="306">
        <f t="shared" ca="1" si="14"/>
        <v>103.36412526557487</v>
      </c>
      <c r="K16" s="307">
        <f t="shared" ca="1" si="15"/>
        <v>507.99960367772184</v>
      </c>
      <c r="L16" s="304">
        <f t="shared" ca="1" si="0"/>
        <v>518.40885382933027</v>
      </c>
      <c r="M16" s="306">
        <f t="shared" ca="1" si="16"/>
        <v>1.3551167112993201</v>
      </c>
      <c r="N16" s="304">
        <f t="shared" ca="1" si="17"/>
        <v>77.642468305099072</v>
      </c>
      <c r="P16" s="310">
        <f t="shared" ca="1" si="18"/>
        <v>2</v>
      </c>
      <c r="Q16" s="304">
        <f t="shared" ca="1" si="19"/>
        <v>8.5000000000002469E-3</v>
      </c>
      <c r="R16" s="306">
        <f t="shared" ca="1" si="20"/>
        <v>8.5000000000002467E-4</v>
      </c>
      <c r="S16" s="307">
        <f t="shared" ca="1" si="21"/>
        <v>2.5950320000000002</v>
      </c>
      <c r="T16" s="304">
        <f t="shared" ca="1" si="1"/>
        <v>25.457263920000003</v>
      </c>
      <c r="U16" s="311">
        <f t="shared" ca="1" si="2"/>
        <v>0</v>
      </c>
      <c r="V16" s="306">
        <f t="shared" ca="1" si="3"/>
        <v>1.1643115343737755</v>
      </c>
      <c r="W16" s="304">
        <f t="shared" ca="1" si="4"/>
        <v>68.654861712614732</v>
      </c>
      <c r="Y16" s="314" t="str">
        <f t="shared" ca="1" si="22"/>
        <v/>
      </c>
      <c r="Z16" s="315" t="str">
        <f t="shared" ca="1" si="23"/>
        <v/>
      </c>
      <c r="AA16" s="316" t="str">
        <f t="shared" ca="1" si="24"/>
        <v/>
      </c>
      <c r="AC16" s="310" t="e">
        <f t="shared" ca="1" si="25"/>
        <v>#N/A</v>
      </c>
      <c r="AD16" s="323" t="e">
        <f t="shared" ca="1" si="26"/>
        <v>#N/A</v>
      </c>
      <c r="AE16" s="324">
        <f t="shared" ca="1" si="5"/>
        <v>507.99960367772184</v>
      </c>
      <c r="AG16" s="306">
        <f t="shared" ca="1" si="27"/>
        <v>-36.15322789697732</v>
      </c>
      <c r="AH16" s="304">
        <f t="shared" ca="1" si="28"/>
        <v>-26.570254551298675</v>
      </c>
    </row>
    <row r="17" spans="1:34" x14ac:dyDescent="0.2">
      <c r="A17" s="347">
        <f t="shared" ca="1" si="6"/>
        <v>0.01</v>
      </c>
      <c r="B17" s="304">
        <f t="shared" ca="1" si="7"/>
        <v>3.3299999999999974</v>
      </c>
      <c r="D17" s="306">
        <f t="shared" ca="1" si="8"/>
        <v>-5.6613393696467353</v>
      </c>
      <c r="E17" s="307">
        <f t="shared" ca="1" si="9"/>
        <v>-35.650558715226673</v>
      </c>
      <c r="F17" s="304">
        <f t="shared" ca="1" si="10"/>
        <v>36.097272752468939</v>
      </c>
      <c r="G17" s="306">
        <f t="shared" ca="1" si="11"/>
        <v>36.25967153132337</v>
      </c>
      <c r="H17" s="307">
        <f t="shared" ca="1" si="12"/>
        <v>165.4051687536026</v>
      </c>
      <c r="I17" s="304">
        <f t="shared" ca="1" si="13"/>
        <v>169.33290769949949</v>
      </c>
      <c r="J17" s="306">
        <f t="shared" ca="1" si="14"/>
        <v>103.72700504785658</v>
      </c>
      <c r="K17" s="307">
        <f t="shared" ca="1" si="15"/>
        <v>509.65543789319361</v>
      </c>
      <c r="L17" s="304">
        <f t="shared" ca="1" si="0"/>
        <v>520.10379440098393</v>
      </c>
      <c r="M17" s="306">
        <f t="shared" ca="1" si="16"/>
        <v>1.3549927276418801</v>
      </c>
      <c r="N17" s="304">
        <f t="shared" ca="1" si="17"/>
        <v>77.635364564799161</v>
      </c>
      <c r="P17" s="310">
        <f t="shared" ca="1" si="18"/>
        <v>2</v>
      </c>
      <c r="Q17" s="304">
        <f t="shared" ca="1" si="19"/>
        <v>7.5000000000002669E-3</v>
      </c>
      <c r="R17" s="306">
        <f t="shared" ca="1" si="20"/>
        <v>7.5000000000002669E-4</v>
      </c>
      <c r="S17" s="307">
        <f t="shared" ca="1" si="21"/>
        <v>2.5950245000000001</v>
      </c>
      <c r="T17" s="304">
        <f t="shared" ca="1" si="1"/>
        <v>25.457190345000001</v>
      </c>
      <c r="U17" s="311">
        <f t="shared" ca="1" si="2"/>
        <v>0</v>
      </c>
      <c r="V17" s="306">
        <f t="shared" ca="1" si="3"/>
        <v>1.164118634800108</v>
      </c>
      <c r="W17" s="304">
        <f t="shared" ca="1" si="4"/>
        <v>68.352254324539913</v>
      </c>
      <c r="Y17" s="314" t="str">
        <f t="shared" ca="1" si="22"/>
        <v/>
      </c>
      <c r="Z17" s="315" t="str">
        <f t="shared" ca="1" si="23"/>
        <v/>
      </c>
      <c r="AA17" s="316" t="str">
        <f t="shared" ca="1" si="24"/>
        <v/>
      </c>
      <c r="AC17" s="310" t="e">
        <f t="shared" ca="1" si="25"/>
        <v>#N/A</v>
      </c>
      <c r="AD17" s="323" t="e">
        <f t="shared" ca="1" si="26"/>
        <v>#N/A</v>
      </c>
      <c r="AE17" s="324">
        <f t="shared" ca="1" si="5"/>
        <v>509.65543789319361</v>
      </c>
      <c r="AG17" s="306">
        <f t="shared" ca="1" si="27"/>
        <v>-36.036168002919297</v>
      </c>
      <c r="AH17" s="304">
        <f t="shared" ca="1" si="28"/>
        <v>-26.453454182268697</v>
      </c>
    </row>
    <row r="18" spans="1:34" x14ac:dyDescent="0.2">
      <c r="A18" s="347">
        <f t="shared" ca="1" si="6"/>
        <v>0.01</v>
      </c>
      <c r="B18" s="304">
        <f t="shared" ca="1" si="7"/>
        <v>3.3399999999999972</v>
      </c>
      <c r="D18" s="306">
        <f t="shared" ca="1" si="8"/>
        <v>-5.6396696596086304</v>
      </c>
      <c r="E18" s="307">
        <f t="shared" ca="1" si="9"/>
        <v>-35.536391673358118</v>
      </c>
      <c r="F18" s="304">
        <f t="shared" ca="1" si="10"/>
        <v>35.981120146985788</v>
      </c>
      <c r="G18" s="306">
        <f t="shared" ca="1" si="11"/>
        <v>36.203274834727281</v>
      </c>
      <c r="H18" s="307">
        <f t="shared" ca="1" si="12"/>
        <v>165.04980483686901</v>
      </c>
      <c r="I18" s="304">
        <f t="shared" ca="1" si="13"/>
        <v>168.97371152178479</v>
      </c>
      <c r="J18" s="306">
        <f t="shared" ca="1" si="14"/>
        <v>104.08931977968683</v>
      </c>
      <c r="K18" s="307">
        <f t="shared" ca="1" si="15"/>
        <v>511.30771276114598</v>
      </c>
      <c r="L18" s="304">
        <f t="shared" ca="1" si="0"/>
        <v>521.79513568184257</v>
      </c>
      <c r="M18" s="306">
        <f t="shared" ca="1" si="16"/>
        <v>1.3548684101141986</v>
      </c>
      <c r="N18" s="304">
        <f t="shared" ca="1" si="17"/>
        <v>77.628241695143515</v>
      </c>
      <c r="P18" s="310">
        <f t="shared" ca="1" si="18"/>
        <v>2</v>
      </c>
      <c r="Q18" s="304">
        <f t="shared" ca="1" si="19"/>
        <v>6.5000000000002885E-3</v>
      </c>
      <c r="R18" s="306">
        <f t="shared" ca="1" si="20"/>
        <v>6.5000000000002881E-4</v>
      </c>
      <c r="S18" s="307">
        <f t="shared" ca="1" si="21"/>
        <v>2.595018</v>
      </c>
      <c r="T18" s="304">
        <f t="shared" ca="1" si="1"/>
        <v>25.457126580000001</v>
      </c>
      <c r="U18" s="311">
        <f t="shared" ca="1" si="2"/>
        <v>0</v>
      </c>
      <c r="V18" s="306">
        <f t="shared" ca="1" si="3"/>
        <v>1.1639261809238308</v>
      </c>
      <c r="W18" s="304">
        <f t="shared" ca="1" si="4"/>
        <v>68.051326249771662</v>
      </c>
      <c r="Y18" s="314" t="str">
        <f t="shared" ca="1" si="22"/>
        <v/>
      </c>
      <c r="Z18" s="315" t="str">
        <f t="shared" ca="1" si="23"/>
        <v/>
      </c>
      <c r="AA18" s="316" t="str">
        <f t="shared" ca="1" si="24"/>
        <v/>
      </c>
      <c r="AC18" s="310" t="e">
        <f t="shared" ca="1" si="25"/>
        <v>#N/A</v>
      </c>
      <c r="AD18" s="323" t="e">
        <f t="shared" ca="1" si="26"/>
        <v>#N/A</v>
      </c>
      <c r="AE18" s="324">
        <f t="shared" ca="1" si="5"/>
        <v>511.30771276114598</v>
      </c>
      <c r="AG18" s="306">
        <f t="shared" ca="1" si="27"/>
        <v>-35.919748344618277</v>
      </c>
      <c r="AH18" s="304">
        <f t="shared" ca="1" si="28"/>
        <v>-26.337294895272368</v>
      </c>
    </row>
    <row r="19" spans="1:34" x14ac:dyDescent="0.2">
      <c r="A19" s="347">
        <f t="shared" ca="1" si="6"/>
        <v>0.01</v>
      </c>
      <c r="B19" s="304">
        <f t="shared" ca="1" si="7"/>
        <v>3.349999999999997</v>
      </c>
      <c r="D19" s="306">
        <f t="shared" ca="1" si="8"/>
        <v>-5.6181166392095285</v>
      </c>
      <c r="E19" s="307">
        <f t="shared" ca="1" si="9"/>
        <v>-35.422850193398368</v>
      </c>
      <c r="F19" s="304">
        <f t="shared" ca="1" si="10"/>
        <v>35.865604001545904</v>
      </c>
      <c r="G19" s="306">
        <f t="shared" ca="1" si="11"/>
        <v>36.147093668335188</v>
      </c>
      <c r="H19" s="307">
        <f t="shared" ca="1" si="12"/>
        <v>164.69557633493503</v>
      </c>
      <c r="I19" s="304">
        <f t="shared" ca="1" si="13"/>
        <v>168.61567318895302</v>
      </c>
      <c r="J19" s="306">
        <f t="shared" ca="1" si="14"/>
        <v>104.45107162220215</v>
      </c>
      <c r="K19" s="307">
        <f t="shared" ca="1" si="15"/>
        <v>512.95643966700504</v>
      </c>
      <c r="L19" s="304">
        <f t="shared" ca="1" si="0"/>
        <v>523.48288927039073</v>
      </c>
      <c r="M19" s="306">
        <f t="shared" ca="1" si="16"/>
        <v>1.3547437579619448</v>
      </c>
      <c r="N19" s="304">
        <f t="shared" ca="1" si="17"/>
        <v>77.62109965291215</v>
      </c>
      <c r="P19" s="310">
        <f t="shared" ca="1" si="18"/>
        <v>2</v>
      </c>
      <c r="Q19" s="304">
        <f t="shared" ca="1" si="19"/>
        <v>5.5000000000003102E-3</v>
      </c>
      <c r="R19" s="306">
        <f t="shared" ca="1" si="20"/>
        <v>5.5000000000003104E-4</v>
      </c>
      <c r="S19" s="307">
        <f t="shared" ca="1" si="21"/>
        <v>2.5950125000000002</v>
      </c>
      <c r="T19" s="304">
        <f t="shared" ca="1" si="1"/>
        <v>25.457072625000002</v>
      </c>
      <c r="U19" s="311">
        <f t="shared" ca="1" si="2"/>
        <v>0</v>
      </c>
      <c r="V19" s="306">
        <f t="shared" ca="1" si="3"/>
        <v>1.1637341712112286</v>
      </c>
      <c r="W19" s="304">
        <f t="shared" ca="1" si="4"/>
        <v>67.752065207153038</v>
      </c>
      <c r="Y19" s="314" t="str">
        <f t="shared" ca="1" si="22"/>
        <v/>
      </c>
      <c r="Z19" s="315" t="str">
        <f t="shared" ca="1" si="23"/>
        <v/>
      </c>
      <c r="AA19" s="316" t="str">
        <f t="shared" ca="1" si="24"/>
        <v/>
      </c>
      <c r="AC19" s="310" t="e">
        <f t="shared" ca="1" si="25"/>
        <v>#N/A</v>
      </c>
      <c r="AD19" s="323" t="e">
        <f t="shared" ca="1" si="26"/>
        <v>#N/A</v>
      </c>
      <c r="AE19" s="324">
        <f t="shared" ca="1" si="5"/>
        <v>512.95643966700504</v>
      </c>
      <c r="AG19" s="306">
        <f t="shared" ca="1" si="27"/>
        <v>-35.803964282035217</v>
      </c>
      <c r="AH19" s="304">
        <f t="shared" ca="1" si="28"/>
        <v>-26.221772053033138</v>
      </c>
    </row>
    <row r="20" spans="1:34" x14ac:dyDescent="0.2">
      <c r="A20" s="347">
        <f t="shared" ca="1" si="6"/>
        <v>0.01</v>
      </c>
      <c r="B20" s="304">
        <f t="shared" ca="1" si="7"/>
        <v>3.3599999999999968</v>
      </c>
      <c r="D20" s="306">
        <f t="shared" ca="1" si="8"/>
        <v>-5.5966794618550129</v>
      </c>
      <c r="E20" s="307">
        <f t="shared" ca="1" si="9"/>
        <v>-35.309929758932626</v>
      </c>
      <c r="F20" s="304">
        <f t="shared" ca="1" si="10"/>
        <v>35.750719721139959</v>
      </c>
      <c r="G20" s="306">
        <f t="shared" ca="1" si="11"/>
        <v>36.09112687371664</v>
      </c>
      <c r="H20" s="307">
        <f t="shared" ca="1" si="12"/>
        <v>164.3424770373457</v>
      </c>
      <c r="I20" s="304">
        <f t="shared" ca="1" si="13"/>
        <v>168.25878639103877</v>
      </c>
      <c r="J20" s="306">
        <f t="shared" ca="1" si="14"/>
        <v>104.81226272491242</v>
      </c>
      <c r="K20" s="307">
        <f t="shared" ca="1" si="15"/>
        <v>514.60162993386643</v>
      </c>
      <c r="L20" s="304">
        <f t="shared" ca="1" si="0"/>
        <v>525.16706670173835</v>
      </c>
      <c r="M20" s="306">
        <f t="shared" ca="1" si="16"/>
        <v>1.3546187704277799</v>
      </c>
      <c r="N20" s="304">
        <f t="shared" ca="1" si="17"/>
        <v>77.613938394712761</v>
      </c>
      <c r="P20" s="310">
        <f t="shared" ca="1" si="18"/>
        <v>2</v>
      </c>
      <c r="Q20" s="304">
        <f t="shared" ca="1" si="19"/>
        <v>4.5000000000003319E-3</v>
      </c>
      <c r="R20" s="306">
        <f t="shared" ca="1" si="20"/>
        <v>4.5000000000003316E-4</v>
      </c>
      <c r="S20" s="307">
        <f t="shared" ca="1" si="21"/>
        <v>2.595008</v>
      </c>
      <c r="T20" s="304">
        <f t="shared" ca="1" si="1"/>
        <v>25.457028480000002</v>
      </c>
      <c r="U20" s="311">
        <f t="shared" ca="1" si="2"/>
        <v>0</v>
      </c>
      <c r="V20" s="306">
        <f t="shared" ca="1" si="3"/>
        <v>1.1635426041372252</v>
      </c>
      <c r="W20" s="304">
        <f t="shared" ca="1" si="4"/>
        <v>67.454459027891559</v>
      </c>
      <c r="Y20" s="314" t="str">
        <f t="shared" ca="1" si="22"/>
        <v/>
      </c>
      <c r="Z20" s="315" t="str">
        <f t="shared" ca="1" si="23"/>
        <v/>
      </c>
      <c r="AA20" s="316" t="str">
        <f t="shared" ca="1" si="24"/>
        <v/>
      </c>
      <c r="AC20" s="310" t="e">
        <f t="shared" ca="1" si="25"/>
        <v>#N/A</v>
      </c>
      <c r="AD20" s="323" t="e">
        <f t="shared" ca="1" si="26"/>
        <v>#N/A</v>
      </c>
      <c r="AE20" s="324">
        <f t="shared" ca="1" si="5"/>
        <v>514.60162993386643</v>
      </c>
      <c r="AG20" s="306">
        <f t="shared" ca="1" si="27"/>
        <v>-35.688811217384846</v>
      </c>
      <c r="AH20" s="304">
        <f t="shared" ca="1" si="28"/>
        <v>-26.106881060541252</v>
      </c>
    </row>
    <row r="21" spans="1:34" x14ac:dyDescent="0.2">
      <c r="A21" s="347">
        <f t="shared" ca="1" si="6"/>
        <v>0.01</v>
      </c>
      <c r="B21" s="304">
        <f t="shared" ca="1" si="7"/>
        <v>3.3699999999999966</v>
      </c>
      <c r="D21" s="306">
        <f t="shared" ca="1" si="8"/>
        <v>-5.5753572886543949</v>
      </c>
      <c r="E21" s="307">
        <f t="shared" ca="1" si="9"/>
        <v>-35.197625894633816</v>
      </c>
      <c r="F21" s="304">
        <f t="shared" ca="1" si="10"/>
        <v>35.636462752562139</v>
      </c>
      <c r="G21" s="306">
        <f t="shared" ca="1" si="11"/>
        <v>36.035373300830095</v>
      </c>
      <c r="H21" s="307">
        <f t="shared" ca="1" si="12"/>
        <v>163.99050077839937</v>
      </c>
      <c r="I21" s="304">
        <f t="shared" ca="1" si="13"/>
        <v>167.90304486363664</v>
      </c>
      <c r="J21" s="306">
        <f t="shared" ca="1" si="14"/>
        <v>105.17289522578515</v>
      </c>
      <c r="K21" s="307">
        <f t="shared" ca="1" si="15"/>
        <v>516.24329482294513</v>
      </c>
      <c r="L21" s="304">
        <f t="shared" ca="1" si="0"/>
        <v>526.84767944807754</v>
      </c>
      <c r="M21" s="306">
        <f t="shared" ca="1" si="16"/>
        <v>1.3544934467513454</v>
      </c>
      <c r="N21" s="304">
        <f t="shared" ca="1" si="17"/>
        <v>77.606757876979998</v>
      </c>
      <c r="P21" s="310">
        <f t="shared" ca="1" si="18"/>
        <v>2</v>
      </c>
      <c r="Q21" s="304">
        <f t="shared" ca="1" si="19"/>
        <v>3.5000000000003527E-3</v>
      </c>
      <c r="R21" s="306">
        <f t="shared" ca="1" si="20"/>
        <v>3.5000000000003529E-4</v>
      </c>
      <c r="S21" s="307">
        <f t="shared" ca="1" si="21"/>
        <v>2.5950044999999999</v>
      </c>
      <c r="T21" s="304">
        <f t="shared" ca="1" si="1"/>
        <v>25.456994144999999</v>
      </c>
      <c r="U21" s="311">
        <f t="shared" ca="1" si="2"/>
        <v>0</v>
      </c>
      <c r="V21" s="306">
        <f t="shared" ca="1" si="3"/>
        <v>1.1633514781853183</v>
      </c>
      <c r="W21" s="304">
        <f t="shared" ca="1" si="4"/>
        <v>67.158495654327155</v>
      </c>
      <c r="Y21" s="314" t="str">
        <f t="shared" ca="1" si="22"/>
        <v/>
      </c>
      <c r="Z21" s="315" t="str">
        <f t="shared" ca="1" si="23"/>
        <v/>
      </c>
      <c r="AA21" s="316" t="str">
        <f t="shared" ca="1" si="24"/>
        <v/>
      </c>
      <c r="AC21" s="310" t="e">
        <f t="shared" ca="1" si="25"/>
        <v>#N/A</v>
      </c>
      <c r="AD21" s="323" t="e">
        <f t="shared" ca="1" si="26"/>
        <v>#N/A</v>
      </c>
      <c r="AE21" s="324">
        <f t="shared" ca="1" si="5"/>
        <v>516.24329482294513</v>
      </c>
      <c r="AG21" s="306">
        <f t="shared" ca="1" si="27"/>
        <v>-35.574284594672783</v>
      </c>
      <c r="AH21" s="304">
        <f t="shared" ca="1" si="28"/>
        <v>-25.992617364590913</v>
      </c>
    </row>
    <row r="22" spans="1:34" x14ac:dyDescent="0.2">
      <c r="A22" s="347">
        <f t="shared" ca="1" si="6"/>
        <v>0.01</v>
      </c>
      <c r="B22" s="304">
        <f t="shared" ca="1" si="7"/>
        <v>3.3799999999999963</v>
      </c>
      <c r="D22" s="306">
        <f t="shared" ca="1" si="8"/>
        <v>-5.5541492883365153</v>
      </c>
      <c r="E22" s="307">
        <f t="shared" ca="1" si="9"/>
        <v>-35.085934165813505</v>
      </c>
      <c r="F22" s="304">
        <f t="shared" ca="1" si="10"/>
        <v>35.522828583953284</v>
      </c>
      <c r="G22" s="306">
        <f t="shared" ca="1" si="11"/>
        <v>35.979831807946731</v>
      </c>
      <c r="H22" s="307">
        <f t="shared" ca="1" si="12"/>
        <v>163.63964143674124</v>
      </c>
      <c r="I22" s="304">
        <f t="shared" ca="1" si="13"/>
        <v>167.548442387488</v>
      </c>
      <c r="J22" s="306">
        <f t="shared" ca="1" si="14"/>
        <v>105.53297125132904</v>
      </c>
      <c r="K22" s="307">
        <f t="shared" ca="1" si="15"/>
        <v>517.88144553402083</v>
      </c>
      <c r="L22" s="304">
        <f t="shared" ca="1" si="0"/>
        <v>528.52473891913598</v>
      </c>
      <c r="M22" s="306">
        <f t="shared" ca="1" si="16"/>
        <v>1.3543677861692505</v>
      </c>
      <c r="N22" s="304">
        <f t="shared" ca="1" si="17"/>
        <v>77.599558055974796</v>
      </c>
      <c r="P22" s="310">
        <f t="shared" ca="1" si="18"/>
        <v>2</v>
      </c>
      <c r="Q22" s="304">
        <f t="shared" ca="1" si="19"/>
        <v>2.5000000000003743E-3</v>
      </c>
      <c r="R22" s="306">
        <f t="shared" ca="1" si="20"/>
        <v>2.5000000000003741E-4</v>
      </c>
      <c r="S22" s="307">
        <f t="shared" ca="1" si="21"/>
        <v>2.595002</v>
      </c>
      <c r="T22" s="304">
        <f t="shared" ca="1" si="1"/>
        <v>25.456969620000002</v>
      </c>
      <c r="U22" s="311">
        <f t="shared" ca="1" si="2"/>
        <v>0</v>
      </c>
      <c r="V22" s="306">
        <f t="shared" ca="1" si="3"/>
        <v>1.1631607918475166</v>
      </c>
      <c r="W22" s="304">
        <f t="shared" ca="1" si="4"/>
        <v>66.864163138715867</v>
      </c>
      <c r="Y22" s="314" t="str">
        <f t="shared" ca="1" si="22"/>
        <v/>
      </c>
      <c r="Z22" s="315" t="str">
        <f t="shared" ca="1" si="23"/>
        <v/>
      </c>
      <c r="AA22" s="316" t="str">
        <f t="shared" ca="1" si="24"/>
        <v/>
      </c>
      <c r="AC22" s="310" t="e">
        <f t="shared" ca="1" si="25"/>
        <v>#N/A</v>
      </c>
      <c r="AD22" s="323" t="e">
        <f t="shared" ca="1" si="26"/>
        <v>#N/A</v>
      </c>
      <c r="AE22" s="324">
        <f t="shared" ca="1" si="5"/>
        <v>517.88144553402083</v>
      </c>
      <c r="AG22" s="306">
        <f t="shared" ca="1" si="27"/>
        <v>-35.460379899238582</v>
      </c>
      <c r="AH22" s="304">
        <f t="shared" ca="1" si="28"/>
        <v>-25.878976453323411</v>
      </c>
    </row>
    <row r="23" spans="1:34" x14ac:dyDescent="0.2">
      <c r="A23" s="347">
        <f t="shared" ca="1" si="6"/>
        <v>0.01</v>
      </c>
      <c r="B23" s="304">
        <f t="shared" ca="1" si="7"/>
        <v>3.3899999999999961</v>
      </c>
      <c r="D23" s="306">
        <f t="shared" ca="1" si="8"/>
        <v>-5.5330546371666527</v>
      </c>
      <c r="E23" s="307">
        <f t="shared" ca="1" si="9"/>
        <v>-34.974850177978631</v>
      </c>
      <c r="F23" s="304">
        <f t="shared" ca="1" si="10"/>
        <v>35.409812744349878</v>
      </c>
      <c r="G23" s="306">
        <f t="shared" ca="1" si="11"/>
        <v>35.924501261575067</v>
      </c>
      <c r="H23" s="307">
        <f t="shared" ca="1" si="12"/>
        <v>163.28989293496144</v>
      </c>
      <c r="I23" s="304">
        <f t="shared" ca="1" si="13"/>
        <v>167.19497278807182</v>
      </c>
      <c r="J23" s="306">
        <f t="shared" ca="1" si="14"/>
        <v>105.89249291667666</v>
      </c>
      <c r="K23" s="307">
        <f t="shared" ca="1" si="15"/>
        <v>519.51609320587932</v>
      </c>
      <c r="L23" s="304">
        <f t="shared" ca="1" si="0"/>
        <v>530.19825646262586</v>
      </c>
      <c r="M23" s="306">
        <f t="shared" ca="1" si="16"/>
        <v>1.3542417879150586</v>
      </c>
      <c r="N23" s="304">
        <f t="shared" ca="1" si="17"/>
        <v>77.592338887783583</v>
      </c>
      <c r="P23" s="310">
        <f t="shared" ca="1" si="18"/>
        <v>2</v>
      </c>
      <c r="Q23" s="304">
        <f t="shared" ca="1" si="19"/>
        <v>1.5000000000003951E-3</v>
      </c>
      <c r="R23" s="306">
        <f t="shared" ca="1" si="20"/>
        <v>1.5000000000003951E-4</v>
      </c>
      <c r="S23" s="307">
        <f t="shared" ca="1" si="21"/>
        <v>2.5950004999999998</v>
      </c>
      <c r="T23" s="304">
        <f t="shared" ca="1" si="1"/>
        <v>25.456954905</v>
      </c>
      <c r="U23" s="311">
        <f t="shared" ca="1" si="2"/>
        <v>0</v>
      </c>
      <c r="V23" s="306">
        <f t="shared" ca="1" si="3"/>
        <v>1.1629705436242799</v>
      </c>
      <c r="W23" s="304">
        <f t="shared" ca="1" si="4"/>
        <v>66.571449642028853</v>
      </c>
      <c r="Y23" s="314" t="str">
        <f t="shared" ca="1" si="22"/>
        <v/>
      </c>
      <c r="Z23" s="315" t="str">
        <f t="shared" ca="1" si="23"/>
        <v/>
      </c>
      <c r="AA23" s="316" t="str">
        <f t="shared" ca="1" si="24"/>
        <v/>
      </c>
      <c r="AC23" s="310" t="e">
        <f t="shared" ca="1" si="25"/>
        <v>#N/A</v>
      </c>
      <c r="AD23" s="323" t="e">
        <f t="shared" ca="1" si="26"/>
        <v>#N/A</v>
      </c>
      <c r="AE23" s="324">
        <f t="shared" ca="1" si="5"/>
        <v>519.51609320587932</v>
      </c>
      <c r="AG23" s="306">
        <f t="shared" ca="1" si="27"/>
        <v>-35.347092657304628</v>
      </c>
      <c r="AH23" s="304">
        <f t="shared" ca="1" si="28"/>
        <v>-25.765953855776083</v>
      </c>
    </row>
    <row r="24" spans="1:34" x14ac:dyDescent="0.2">
      <c r="A24" s="347">
        <f t="shared" ca="1" si="6"/>
        <v>0.01</v>
      </c>
      <c r="B24" s="304">
        <f t="shared" ca="1" si="7"/>
        <v>3.3999999999999959</v>
      </c>
      <c r="D24" s="306">
        <f t="shared" ca="1" si="8"/>
        <v>-5.5120725188644766</v>
      </c>
      <c r="E24" s="307">
        <f t="shared" ca="1" si="9"/>
        <v>-34.864369576393692</v>
      </c>
      <c r="F24" s="304">
        <f t="shared" ca="1" si="10"/>
        <v>35.297410803238627</v>
      </c>
      <c r="G24" s="306">
        <f t="shared" ca="1" si="11"/>
        <v>35.869380536386423</v>
      </c>
      <c r="H24" s="307">
        <f t="shared" ca="1" si="12"/>
        <v>162.9412492391975</v>
      </c>
      <c r="I24" s="304">
        <f t="shared" ca="1" si="13"/>
        <v>166.84262993520085</v>
      </c>
      <c r="J24" s="306">
        <f t="shared" ca="1" si="14"/>
        <v>106.25146232566647</v>
      </c>
      <c r="K24" s="307">
        <f t="shared" ca="1" si="15"/>
        <v>521.14724891675007</v>
      </c>
      <c r="L24" s="304">
        <f t="shared" ca="1" si="0"/>
        <v>531.86824336468851</v>
      </c>
      <c r="M24" s="306">
        <f t="shared" ca="1" si="16"/>
        <v>1.3541154512192763</v>
      </c>
      <c r="N24" s="304">
        <f t="shared" ca="1" si="17"/>
        <v>77.585100328317637</v>
      </c>
      <c r="P24" s="310">
        <f t="shared" ca="1" si="18"/>
        <v>2</v>
      </c>
      <c r="Q24" s="304">
        <f t="shared" ca="1" si="19"/>
        <v>5.0000000000041678E-4</v>
      </c>
      <c r="R24" s="306">
        <f t="shared" ca="1" si="20"/>
        <v>5.0000000000041676E-5</v>
      </c>
      <c r="S24" s="307">
        <f t="shared" ca="1" si="21"/>
        <v>2.5949999999999998</v>
      </c>
      <c r="T24" s="304">
        <f t="shared" ca="1" si="1"/>
        <v>25.456949999999999</v>
      </c>
      <c r="U24" s="311">
        <f t="shared" ca="1" si="2"/>
        <v>0</v>
      </c>
      <c r="V24" s="306">
        <f t="shared" ca="1" si="3"/>
        <v>1.1627807320244519</v>
      </c>
      <c r="W24" s="304">
        <f t="shared" ca="1" si="4"/>
        <v>66.280343432767026</v>
      </c>
      <c r="Y24" s="314" t="str">
        <f t="shared" ca="1" si="22"/>
        <v/>
      </c>
      <c r="Z24" s="315" t="str">
        <f t="shared" ca="1" si="23"/>
        <v/>
      </c>
      <c r="AA24" s="316" t="str">
        <f t="shared" ca="1" si="24"/>
        <v/>
      </c>
      <c r="AC24" s="310" t="e">
        <f t="shared" ca="1" si="25"/>
        <v>#N/A</v>
      </c>
      <c r="AD24" s="323" t="e">
        <f t="shared" ca="1" si="26"/>
        <v>#N/A</v>
      </c>
      <c r="AE24" s="324">
        <f t="shared" ca="1" si="5"/>
        <v>521.14724891675007</v>
      </c>
      <c r="AG24" s="306">
        <f t="shared" ca="1" si="27"/>
        <v>-35.234418435530706</v>
      </c>
      <c r="AH24" s="304">
        <f t="shared" ca="1" si="28"/>
        <v>-25.65354514143694</v>
      </c>
    </row>
    <row r="25" spans="1:34" x14ac:dyDescent="0.2">
      <c r="A25" s="347">
        <f t="shared" ca="1" si="6"/>
        <v>0.01</v>
      </c>
      <c r="B25" s="304">
        <f t="shared" ca="1" si="7"/>
        <v>3.4099999999999957</v>
      </c>
      <c r="D25" s="306">
        <f t="shared" ca="1" si="8"/>
        <v>-5.4911617588005157</v>
      </c>
      <c r="E25" s="307">
        <f t="shared" ca="1" si="9"/>
        <v>-34.754304679190959</v>
      </c>
      <c r="F25" s="304">
        <f t="shared" ca="1" si="10"/>
        <v>35.185430950826053</v>
      </c>
      <c r="G25" s="306">
        <f t="shared" ca="1" si="11"/>
        <v>35.814468918798418</v>
      </c>
      <c r="H25" s="307">
        <f t="shared" ca="1" si="12"/>
        <v>162.59370619240559</v>
      </c>
      <c r="I25" s="304">
        <f t="shared" ca="1" si="13"/>
        <v>166.49140962018998</v>
      </c>
      <c r="J25" s="306">
        <f t="shared" ca="1" si="14"/>
        <v>106.60988157294238</v>
      </c>
      <c r="K25" s="307">
        <f t="shared" ca="1" si="15"/>
        <v>522.77492369390814</v>
      </c>
      <c r="L25" s="304">
        <f t="shared" ca="1" si="0"/>
        <v>533.53471085972308</v>
      </c>
      <c r="M25" s="306">
        <f t="shared" ca="1" si="16"/>
        <v>1.353988775310768</v>
      </c>
      <c r="N25" s="304">
        <f t="shared" ca="1" si="17"/>
        <v>77.57784233339413</v>
      </c>
      <c r="P25" s="310">
        <f t="shared" ca="1" si="18"/>
        <v>3</v>
      </c>
      <c r="Q25" s="304">
        <f t="shared" ca="1" si="19"/>
        <v>0</v>
      </c>
      <c r="R25" s="306">
        <f t="shared" ca="1" si="20"/>
        <v>0</v>
      </c>
      <c r="S25" s="307">
        <f t="shared" ca="1" si="21"/>
        <v>2.5949999999999998</v>
      </c>
      <c r="T25" s="304">
        <f t="shared" ca="1" si="1"/>
        <v>25.456949999999999</v>
      </c>
      <c r="U25" s="311">
        <f t="shared" ca="1" si="2"/>
        <v>0</v>
      </c>
      <c r="V25" s="306">
        <f t="shared" ca="1" si="3"/>
        <v>1.1625913555641363</v>
      </c>
      <c r="W25" s="304">
        <f t="shared" ca="1" si="4"/>
        <v>65.990834374123068</v>
      </c>
      <c r="Y25" s="314" t="str">
        <f t="shared" ca="1" si="22"/>
        <v>Fin de propulsion</v>
      </c>
      <c r="Z25" s="315" t="str">
        <f t="shared" ca="1" si="23"/>
        <v/>
      </c>
      <c r="AA25" s="316" t="str">
        <f t="shared" ca="1" si="24"/>
        <v/>
      </c>
      <c r="AC25" s="310" t="e">
        <f t="shared" ca="1" si="25"/>
        <v>#N/A</v>
      </c>
      <c r="AD25" s="323" t="e">
        <f t="shared" ca="1" si="26"/>
        <v>#N/A</v>
      </c>
      <c r="AE25" s="324">
        <f t="shared" ca="1" si="5"/>
        <v>522.77492369390814</v>
      </c>
      <c r="AG25" s="306">
        <f t="shared" ca="1" si="27"/>
        <v>-35.122165083685253</v>
      </c>
      <c r="AH25" s="304">
        <f t="shared" ca="1" si="28"/>
        <v>-25.541558162916004</v>
      </c>
    </row>
    <row r="26" spans="1:34" x14ac:dyDescent="0.2">
      <c r="A26" s="347">
        <f t="shared" ca="1" si="6"/>
        <v>0.01</v>
      </c>
      <c r="B26" s="304">
        <f t="shared" ca="1" si="7"/>
        <v>3.4199999999999955</v>
      </c>
      <c r="D26" s="306">
        <f t="shared" ca="1" si="8"/>
        <v>-5.4703226492269907</v>
      </c>
      <c r="E26" s="307">
        <f t="shared" ca="1" si="9"/>
        <v>-34.644656507756366</v>
      </c>
      <c r="F26" s="304">
        <f t="shared" ca="1" si="10"/>
        <v>35.073874243189493</v>
      </c>
      <c r="G26" s="306">
        <f t="shared" ca="1" si="11"/>
        <v>35.759765692306146</v>
      </c>
      <c r="H26" s="307">
        <f t="shared" ca="1" si="12"/>
        <v>162.24725962732802</v>
      </c>
      <c r="I26" s="304">
        <f t="shared" ca="1" si="13"/>
        <v>166.14130762380023</v>
      </c>
      <c r="J26" s="306">
        <f t="shared" ca="1" si="14"/>
        <v>106.96775274599791</v>
      </c>
      <c r="K26" s="307">
        <f t="shared" ca="1" si="15"/>
        <v>524.39912852300677</v>
      </c>
      <c r="L26" s="304">
        <f t="shared" ca="1" si="0"/>
        <v>535.19767013993805</v>
      </c>
      <c r="M26" s="306">
        <f t="shared" ca="1" si="16"/>
        <v>1.3538617594167304</v>
      </c>
      <c r="N26" s="304">
        <f t="shared" ca="1" si="17"/>
        <v>77.570564858734684</v>
      </c>
      <c r="P26" s="310">
        <f t="shared" ca="1" si="18"/>
        <v>3</v>
      </c>
      <c r="Q26" s="304">
        <f t="shared" ca="1" si="19"/>
        <v>0</v>
      </c>
      <c r="R26" s="306">
        <f t="shared" ca="1" si="20"/>
        <v>0</v>
      </c>
      <c r="S26" s="307">
        <f t="shared" ca="1" si="21"/>
        <v>2.5949999999999998</v>
      </c>
      <c r="T26" s="304">
        <f t="shared" ca="1" si="1"/>
        <v>25.456949999999999</v>
      </c>
      <c r="U26" s="311">
        <f t="shared" ca="1" si="2"/>
        <v>0</v>
      </c>
      <c r="V26" s="306">
        <f t="shared" ca="1" si="3"/>
        <v>1.1624024127655999</v>
      </c>
      <c r="W26" s="304">
        <f t="shared" ca="1" si="4"/>
        <v>65.702912378107811</v>
      </c>
      <c r="Y26" s="314" t="str">
        <f t="shared" ca="1" si="22"/>
        <v/>
      </c>
      <c r="Z26" s="315" t="str">
        <f t="shared" ca="1" si="23"/>
        <v/>
      </c>
      <c r="AA26" s="316" t="str">
        <f t="shared" ca="1" si="24"/>
        <v/>
      </c>
      <c r="AC26" s="310" t="e">
        <f t="shared" ca="1" si="25"/>
        <v>#N/A</v>
      </c>
      <c r="AD26" s="323" t="e">
        <f t="shared" ca="1" si="26"/>
        <v>#N/A</v>
      </c>
      <c r="AE26" s="324">
        <f t="shared" ca="1" si="5"/>
        <v>524.39912852300677</v>
      </c>
      <c r="AG26" s="306">
        <f t="shared" ca="1" si="27"/>
        <v>-35.010333657170456</v>
      </c>
      <c r="AH26" s="304">
        <f t="shared" ca="1" si="28"/>
        <v>-25.429993978467465</v>
      </c>
    </row>
    <row r="27" spans="1:34" x14ac:dyDescent="0.2">
      <c r="A27" s="347">
        <f t="shared" ca="1" si="6"/>
        <v>0.01</v>
      </c>
      <c r="B27" s="304">
        <f t="shared" ca="1" si="7"/>
        <v>3.4299999999999953</v>
      </c>
      <c r="D27" s="306">
        <f t="shared" ca="1" si="8"/>
        <v>-5.4495958904543302</v>
      </c>
      <c r="E27" s="307">
        <f t="shared" ca="1" si="9"/>
        <v>-34.535609415634369</v>
      </c>
      <c r="F27" s="304">
        <f t="shared" ca="1" si="10"/>
        <v>34.962929126125999</v>
      </c>
      <c r="G27" s="306">
        <f t="shared" ca="1" si="11"/>
        <v>35.7052697334016</v>
      </c>
      <c r="H27" s="307">
        <f t="shared" ca="1" si="12"/>
        <v>161.90190353317169</v>
      </c>
      <c r="I27" s="304">
        <f t="shared" ca="1" si="13"/>
        <v>165.79231783891373</v>
      </c>
      <c r="J27" s="306">
        <f t="shared" ca="1" si="14"/>
        <v>107.32507792312646</v>
      </c>
      <c r="K27" s="307">
        <f t="shared" ca="1" si="15"/>
        <v>526.01987433880925</v>
      </c>
      <c r="L27" s="304">
        <f t="shared" ca="1" si="0"/>
        <v>536.85713234586149</v>
      </c>
      <c r="M27" s="306">
        <f t="shared" ca="1" si="16"/>
        <v>1.3537344027612241</v>
      </c>
      <c r="N27" s="304">
        <f t="shared" ca="1" si="17"/>
        <v>77.563267859881279</v>
      </c>
      <c r="P27" s="310">
        <f t="shared" ca="1" si="18"/>
        <v>3</v>
      </c>
      <c r="Q27" s="304">
        <f t="shared" ca="1" si="19"/>
        <v>0</v>
      </c>
      <c r="R27" s="306">
        <f t="shared" ca="1" si="20"/>
        <v>0</v>
      </c>
      <c r="S27" s="307">
        <f t="shared" ca="1" si="21"/>
        <v>2.5949999999999998</v>
      </c>
      <c r="T27" s="304">
        <f t="shared" ca="1" si="1"/>
        <v>25.456949999999999</v>
      </c>
      <c r="U27" s="311">
        <f t="shared" ca="1" si="2"/>
        <v>0</v>
      </c>
      <c r="V27" s="306">
        <f t="shared" ca="1" si="3"/>
        <v>1.1622139021583406</v>
      </c>
      <c r="W27" s="304">
        <f t="shared" ca="1" si="4"/>
        <v>65.416565923913467</v>
      </c>
      <c r="Y27" s="314" t="str">
        <f t="shared" ca="1" si="22"/>
        <v/>
      </c>
      <c r="Z27" s="315" t="str">
        <f t="shared" ca="1" si="23"/>
        <v/>
      </c>
      <c r="AA27" s="316" t="str">
        <f t="shared" ca="1" si="24"/>
        <v/>
      </c>
      <c r="AC27" s="310" t="e">
        <f t="shared" ca="1" si="25"/>
        <v>#N/A</v>
      </c>
      <c r="AD27" s="323" t="e">
        <f t="shared" ca="1" si="26"/>
        <v>#N/A</v>
      </c>
      <c r="AE27" s="324">
        <f t="shared" ca="1" si="5"/>
        <v>526.01987433880925</v>
      </c>
      <c r="AG27" s="306">
        <f t="shared" ca="1" si="27"/>
        <v>-34.899112943879459</v>
      </c>
      <c r="AH27" s="304">
        <f t="shared" ca="1" si="28"/>
        <v>-25.319041378846944</v>
      </c>
    </row>
    <row r="28" spans="1:34" x14ac:dyDescent="0.2">
      <c r="A28" s="347">
        <f t="shared" ca="1" si="6"/>
        <v>0.01</v>
      </c>
      <c r="B28" s="304">
        <f t="shared" ca="1" si="7"/>
        <v>3.4399999999999951</v>
      </c>
      <c r="D28" s="306">
        <f t="shared" ca="1" si="8"/>
        <v>-5.4289806629270432</v>
      </c>
      <c r="E28" s="307">
        <f t="shared" ca="1" si="9"/>
        <v>-34.427159039423707</v>
      </c>
      <c r="F28" s="304">
        <f t="shared" ca="1" si="10"/>
        <v>34.852591159972725</v>
      </c>
      <c r="G28" s="306">
        <f t="shared" ca="1" si="11"/>
        <v>35.65097992677233</v>
      </c>
      <c r="H28" s="307">
        <f t="shared" ca="1" si="12"/>
        <v>161.55763194277745</v>
      </c>
      <c r="I28" s="304">
        <f t="shared" ca="1" si="13"/>
        <v>165.44443420283761</v>
      </c>
      <c r="J28" s="306">
        <f t="shared" ca="1" si="14"/>
        <v>107.68185917142733</v>
      </c>
      <c r="K28" s="307">
        <f t="shared" ca="1" si="15"/>
        <v>527.63717201618897</v>
      </c>
      <c r="L28" s="304">
        <f t="shared" ca="1" si="0"/>
        <v>538.5131085571237</v>
      </c>
      <c r="M28" s="306">
        <f t="shared" ca="1" si="16"/>
        <v>1.3536067045651607</v>
      </c>
      <c r="N28" s="304">
        <f t="shared" ca="1" si="17"/>
        <v>77.555951292195417</v>
      </c>
      <c r="P28" s="310">
        <f t="shared" ca="1" si="18"/>
        <v>3</v>
      </c>
      <c r="Q28" s="304">
        <f t="shared" ca="1" si="19"/>
        <v>0</v>
      </c>
      <c r="R28" s="306">
        <f t="shared" ca="1" si="20"/>
        <v>0</v>
      </c>
      <c r="S28" s="307">
        <f t="shared" ca="1" si="21"/>
        <v>2.5949999999999998</v>
      </c>
      <c r="T28" s="304">
        <f t="shared" ca="1" si="1"/>
        <v>25.456949999999999</v>
      </c>
      <c r="U28" s="311">
        <f t="shared" ca="1" si="2"/>
        <v>0</v>
      </c>
      <c r="V28" s="306">
        <f t="shared" ca="1" si="3"/>
        <v>1.1620258222801252</v>
      </c>
      <c r="W28" s="304">
        <f t="shared" ca="1" si="4"/>
        <v>65.131783595892642</v>
      </c>
      <c r="Y28" s="314" t="str">
        <f t="shared" ca="1" si="22"/>
        <v/>
      </c>
      <c r="Z28" s="315" t="str">
        <f t="shared" ca="1" si="23"/>
        <v/>
      </c>
      <c r="AA28" s="316" t="str">
        <f t="shared" ca="1" si="24"/>
        <v/>
      </c>
      <c r="AC28" s="310" t="e">
        <f t="shared" ca="1" si="25"/>
        <v>#N/A</v>
      </c>
      <c r="AD28" s="323" t="e">
        <f t="shared" ca="1" si="26"/>
        <v>#N/A</v>
      </c>
      <c r="AE28" s="324">
        <f t="shared" ca="1" si="5"/>
        <v>527.63717201618897</v>
      </c>
      <c r="AG28" s="306">
        <f t="shared" ca="1" si="27"/>
        <v>-34.788498501318486</v>
      </c>
      <c r="AH28" s="304">
        <f t="shared" ca="1" si="28"/>
        <v>-25.208695924436793</v>
      </c>
    </row>
    <row r="29" spans="1:34" x14ac:dyDescent="0.2">
      <c r="A29" s="347">
        <f t="shared" ca="1" si="6"/>
        <v>0.01</v>
      </c>
      <c r="B29" s="304">
        <f t="shared" ca="1" si="7"/>
        <v>3.4499999999999948</v>
      </c>
      <c r="D29" s="306">
        <f t="shared" ca="1" si="8"/>
        <v>-5.4084761545661388</v>
      </c>
      <c r="E29" s="307">
        <f t="shared" ca="1" si="9"/>
        <v>-34.319301055551435</v>
      </c>
      <c r="F29" s="304">
        <f t="shared" ca="1" si="10"/>
        <v>34.742855945590946</v>
      </c>
      <c r="G29" s="306">
        <f t="shared" ca="1" si="11"/>
        <v>35.59689516522667</v>
      </c>
      <c r="H29" s="307">
        <f t="shared" ca="1" si="12"/>
        <v>161.21443893222192</v>
      </c>
      <c r="I29" s="304">
        <f t="shared" ca="1" si="13"/>
        <v>165.09765069689891</v>
      </c>
      <c r="J29" s="306">
        <f t="shared" ca="1" si="14"/>
        <v>108.03809854688733</v>
      </c>
      <c r="K29" s="307">
        <f t="shared" ca="1" si="15"/>
        <v>529.25103237056396</v>
      </c>
      <c r="L29" s="304">
        <f t="shared" ca="1" si="0"/>
        <v>540.16560979289932</v>
      </c>
      <c r="M29" s="306">
        <f t="shared" ca="1" si="16"/>
        <v>1.3534786640462904</v>
      </c>
      <c r="N29" s="304">
        <f t="shared" ca="1" si="17"/>
        <v>77.548615110857469</v>
      </c>
      <c r="P29" s="310">
        <f t="shared" ca="1" si="18"/>
        <v>3</v>
      </c>
      <c r="Q29" s="304">
        <f t="shared" ca="1" si="19"/>
        <v>0</v>
      </c>
      <c r="R29" s="306">
        <f t="shared" ca="1" si="20"/>
        <v>0</v>
      </c>
      <c r="S29" s="307">
        <f t="shared" ca="1" si="21"/>
        <v>2.5949999999999998</v>
      </c>
      <c r="T29" s="304">
        <f t="shared" ca="1" si="1"/>
        <v>25.456949999999999</v>
      </c>
      <c r="U29" s="311">
        <f t="shared" ca="1" si="2"/>
        <v>0</v>
      </c>
      <c r="V29" s="306">
        <f t="shared" ca="1" si="3"/>
        <v>1.1618381716769259</v>
      </c>
      <c r="W29" s="304">
        <f t="shared" ca="1" si="4"/>
        <v>64.84855408240584</v>
      </c>
      <c r="Y29" s="314" t="str">
        <f t="shared" ca="1" si="22"/>
        <v/>
      </c>
      <c r="Z29" s="315" t="str">
        <f t="shared" ca="1" si="23"/>
        <v/>
      </c>
      <c r="AA29" s="316" t="str">
        <f t="shared" ca="1" si="24"/>
        <v/>
      </c>
      <c r="AC29" s="310" t="e">
        <f t="shared" ca="1" si="25"/>
        <v>#N/A</v>
      </c>
      <c r="AD29" s="323" t="e">
        <f t="shared" ca="1" si="26"/>
        <v>#N/A</v>
      </c>
      <c r="AE29" s="324">
        <f t="shared" ca="1" si="5"/>
        <v>529.25103237056396</v>
      </c>
      <c r="AG29" s="306">
        <f t="shared" ca="1" si="27"/>
        <v>-34.678485927504312</v>
      </c>
      <c r="AH29" s="304">
        <f t="shared" ca="1" si="28"/>
        <v>-25.098953216143602</v>
      </c>
    </row>
    <row r="30" spans="1:34" x14ac:dyDescent="0.2">
      <c r="A30" s="347">
        <f t="shared" ca="1" si="6"/>
        <v>0.01</v>
      </c>
      <c r="B30" s="304">
        <f t="shared" ca="1" si="7"/>
        <v>3.4599999999999946</v>
      </c>
      <c r="D30" s="306">
        <f t="shared" ca="1" si="8"/>
        <v>-5.3880815606871515</v>
      </c>
      <c r="E30" s="307">
        <f t="shared" ca="1" si="9"/>
        <v>-34.21203117983643</v>
      </c>
      <c r="F30" s="304">
        <f t="shared" ca="1" si="10"/>
        <v>34.633719123921949</v>
      </c>
      <c r="G30" s="306">
        <f t="shared" ca="1" si="11"/>
        <v>35.543014349619796</v>
      </c>
      <c r="H30" s="307">
        <f t="shared" ca="1" si="12"/>
        <v>160.87231862042356</v>
      </c>
      <c r="I30" s="304">
        <f t="shared" ca="1" si="13"/>
        <v>164.75196134604394</v>
      </c>
      <c r="J30" s="306">
        <f t="shared" ca="1" si="14"/>
        <v>108.39379809446156</v>
      </c>
      <c r="K30" s="307">
        <f t="shared" ca="1" si="15"/>
        <v>530.86146615832718</v>
      </c>
      <c r="L30" s="304">
        <f t="shared" ca="1" si="0"/>
        <v>541.81464701234472</v>
      </c>
      <c r="M30" s="306">
        <f t="shared" ca="1" si="16"/>
        <v>1.3533502804191873</v>
      </c>
      <c r="N30" s="304">
        <f t="shared" ca="1" si="17"/>
        <v>77.541259270865879</v>
      </c>
      <c r="P30" s="310">
        <f t="shared" ca="1" si="18"/>
        <v>3</v>
      </c>
      <c r="Q30" s="304">
        <f t="shared" ca="1" si="19"/>
        <v>0</v>
      </c>
      <c r="R30" s="306">
        <f t="shared" ca="1" si="20"/>
        <v>0</v>
      </c>
      <c r="S30" s="307">
        <f t="shared" ca="1" si="21"/>
        <v>2.5949999999999998</v>
      </c>
      <c r="T30" s="304">
        <f t="shared" ca="1" si="1"/>
        <v>25.456949999999999</v>
      </c>
      <c r="U30" s="311">
        <f t="shared" ca="1" si="2"/>
        <v>0</v>
      </c>
      <c r="V30" s="306">
        <f t="shared" ca="1" si="3"/>
        <v>1.1616509489028632</v>
      </c>
      <c r="W30" s="304">
        <f t="shared" ca="1" si="4"/>
        <v>64.566866174683682</v>
      </c>
      <c r="Y30" s="314" t="str">
        <f t="shared" ca="1" si="22"/>
        <v/>
      </c>
      <c r="Z30" s="315" t="str">
        <f t="shared" ca="1" si="23"/>
        <v/>
      </c>
      <c r="AA30" s="316" t="str">
        <f t="shared" ca="1" si="24"/>
        <v/>
      </c>
      <c r="AC30" s="310" t="e">
        <f t="shared" ca="1" si="25"/>
        <v>#N/A</v>
      </c>
      <c r="AD30" s="323" t="e">
        <f t="shared" ca="1" si="26"/>
        <v>#N/A</v>
      </c>
      <c r="AE30" s="324">
        <f t="shared" ca="1" si="5"/>
        <v>530.86146615832718</v>
      </c>
      <c r="AG30" s="306">
        <f t="shared" ca="1" si="27"/>
        <v>-34.569070860520043</v>
      </c>
      <c r="AH30" s="304">
        <f t="shared" ca="1" si="28"/>
        <v>-24.989808894954084</v>
      </c>
    </row>
    <row r="31" spans="1:34" x14ac:dyDescent="0.2">
      <c r="A31" s="347">
        <f t="shared" ca="1" si="6"/>
        <v>0.01</v>
      </c>
      <c r="B31" s="304">
        <f t="shared" ca="1" si="7"/>
        <v>3.4699999999999944</v>
      </c>
      <c r="D31" s="306">
        <f t="shared" ca="1" si="8"/>
        <v>-5.3677960839192798</v>
      </c>
      <c r="E31" s="307">
        <f t="shared" ca="1" si="9"/>
        <v>-34.105345167058452</v>
      </c>
      <c r="F31" s="304">
        <f t="shared" ca="1" si="10"/>
        <v>34.525176375548561</v>
      </c>
      <c r="G31" s="306">
        <f t="shared" ca="1" si="11"/>
        <v>35.4893363887806</v>
      </c>
      <c r="H31" s="307">
        <f t="shared" ca="1" si="12"/>
        <v>160.53126516875298</v>
      </c>
      <c r="I31" s="304">
        <f t="shared" ca="1" si="13"/>
        <v>164.40736021844188</v>
      </c>
      <c r="J31" s="306">
        <f t="shared" ca="1" si="14"/>
        <v>108.74895984815356</v>
      </c>
      <c r="K31" s="307">
        <f t="shared" ca="1" si="15"/>
        <v>532.46848407727305</v>
      </c>
      <c r="L31" s="304">
        <f t="shared" ca="1" si="0"/>
        <v>543.46023111503246</v>
      </c>
      <c r="M31" s="306">
        <f t="shared" ca="1" si="16"/>
        <v>1.3532215528952383</v>
      </c>
      <c r="N31" s="304">
        <f t="shared" ca="1" si="17"/>
        <v>77.533883727036439</v>
      </c>
      <c r="P31" s="310">
        <f t="shared" ca="1" si="18"/>
        <v>3</v>
      </c>
      <c r="Q31" s="304">
        <f t="shared" ca="1" si="19"/>
        <v>0</v>
      </c>
      <c r="R31" s="306">
        <f t="shared" ca="1" si="20"/>
        <v>0</v>
      </c>
      <c r="S31" s="307">
        <f t="shared" ca="1" si="21"/>
        <v>2.5949999999999998</v>
      </c>
      <c r="T31" s="304">
        <f t="shared" ca="1" si="1"/>
        <v>25.456949999999999</v>
      </c>
      <c r="U31" s="311">
        <f t="shared" ca="1" si="2"/>
        <v>0</v>
      </c>
      <c r="V31" s="306">
        <f t="shared" ca="1" si="3"/>
        <v>1.1614641525201426</v>
      </c>
      <c r="W31" s="304">
        <f t="shared" ca="1" si="4"/>
        <v>64.286708765703409</v>
      </c>
      <c r="Y31" s="314" t="str">
        <f t="shared" ca="1" si="22"/>
        <v/>
      </c>
      <c r="Z31" s="315" t="str">
        <f t="shared" ca="1" si="23"/>
        <v/>
      </c>
      <c r="AA31" s="316" t="str">
        <f t="shared" ca="1" si="24"/>
        <v/>
      </c>
      <c r="AC31" s="310" t="e">
        <f t="shared" ca="1" si="25"/>
        <v>#N/A</v>
      </c>
      <c r="AD31" s="323" t="e">
        <f t="shared" ca="1" si="26"/>
        <v>#N/A</v>
      </c>
      <c r="AE31" s="324">
        <f t="shared" ca="1" si="5"/>
        <v>532.46848407727305</v>
      </c>
      <c r="AG31" s="306">
        <f t="shared" ca="1" si="27"/>
        <v>-34.460248978076599</v>
      </c>
      <c r="AH31" s="304">
        <f t="shared" ca="1" si="28"/>
        <v>-24.881258641496604</v>
      </c>
    </row>
    <row r="32" spans="1:34" x14ac:dyDescent="0.2">
      <c r="A32" s="347">
        <f t="shared" ca="1" si="6"/>
        <v>0.01</v>
      </c>
      <c r="B32" s="304">
        <f t="shared" ca="1" si="7"/>
        <v>3.4799999999999942</v>
      </c>
      <c r="D32" s="306">
        <f t="shared" ca="1" si="8"/>
        <v>-5.3476189341254674</v>
      </c>
      <c r="E32" s="307">
        <f t="shared" ca="1" si="9"/>
        <v>-33.999238810532631</v>
      </c>
      <c r="F32" s="304">
        <f t="shared" ca="1" si="10"/>
        <v>34.417223420262211</v>
      </c>
      <c r="G32" s="306">
        <f t="shared" ca="1" si="11"/>
        <v>35.435860199439347</v>
      </c>
      <c r="H32" s="307">
        <f t="shared" ca="1" si="12"/>
        <v>160.19127278064767</v>
      </c>
      <c r="I32" s="304">
        <f t="shared" ca="1" si="13"/>
        <v>164.06384142509305</v>
      </c>
      <c r="J32" s="306">
        <f t="shared" ca="1" si="14"/>
        <v>109.10358583109466</v>
      </c>
      <c r="K32" s="307">
        <f t="shared" ca="1" si="15"/>
        <v>534.07209676702007</v>
      </c>
      <c r="L32" s="304">
        <f t="shared" ca="1" si="0"/>
        <v>545.10237294138085</v>
      </c>
      <c r="M32" s="306">
        <f t="shared" ca="1" si="16"/>
        <v>1.3530924806826288</v>
      </c>
      <c r="N32" s="304">
        <f t="shared" ca="1" si="17"/>
        <v>77.526488434001507</v>
      </c>
      <c r="P32" s="310">
        <f t="shared" ca="1" si="18"/>
        <v>3</v>
      </c>
      <c r="Q32" s="304">
        <f t="shared" ca="1" si="19"/>
        <v>0</v>
      </c>
      <c r="R32" s="306">
        <f t="shared" ca="1" si="20"/>
        <v>0</v>
      </c>
      <c r="S32" s="307">
        <f t="shared" ca="1" si="21"/>
        <v>2.5949999999999998</v>
      </c>
      <c r="T32" s="304">
        <f t="shared" ca="1" si="1"/>
        <v>25.456949999999999</v>
      </c>
      <c r="U32" s="311">
        <f t="shared" ca="1" si="2"/>
        <v>0</v>
      </c>
      <c r="V32" s="306">
        <f t="shared" ca="1" si="3"/>
        <v>1.1612777810989954</v>
      </c>
      <c r="W32" s="304">
        <f t="shared" ca="1" si="4"/>
        <v>64.008070849080084</v>
      </c>
      <c r="Y32" s="314" t="str">
        <f t="shared" ca="1" si="22"/>
        <v/>
      </c>
      <c r="Z32" s="315" t="str">
        <f t="shared" ca="1" si="23"/>
        <v/>
      </c>
      <c r="AA32" s="316" t="str">
        <f t="shared" ca="1" si="24"/>
        <v/>
      </c>
      <c r="AC32" s="310" t="e">
        <f t="shared" ca="1" si="25"/>
        <v>#N/A</v>
      </c>
      <c r="AD32" s="323" t="e">
        <f t="shared" ca="1" si="26"/>
        <v>#N/A</v>
      </c>
      <c r="AE32" s="324">
        <f t="shared" ca="1" si="5"/>
        <v>534.07209676702007</v>
      </c>
      <c r="AG32" s="306">
        <f t="shared" ca="1" si="27"/>
        <v>-34.352015997079711</v>
      </c>
      <c r="AH32" s="304">
        <f t="shared" ca="1" si="28"/>
        <v>-24.773298175608254</v>
      </c>
    </row>
    <row r="33" spans="1:34" x14ac:dyDescent="0.2">
      <c r="A33" s="347">
        <f t="shared" ca="1" si="6"/>
        <v>0.01</v>
      </c>
      <c r="B33" s="304">
        <f t="shared" ca="1" si="7"/>
        <v>3.489999999999994</v>
      </c>
      <c r="D33" s="306">
        <f t="shared" ca="1" si="8"/>
        <v>-5.3275493283235722</v>
      </c>
      <c r="E33" s="307">
        <f t="shared" ca="1" si="9"/>
        <v>-33.893707941689541</v>
      </c>
      <c r="F33" s="304">
        <f t="shared" ca="1" si="10"/>
        <v>34.309856016635649</v>
      </c>
      <c r="G33" s="306">
        <f t="shared" ca="1" si="11"/>
        <v>35.382584706156109</v>
      </c>
      <c r="H33" s="307">
        <f t="shared" ca="1" si="12"/>
        <v>159.85233570123077</v>
      </c>
      <c r="I33" s="304">
        <f t="shared" ca="1" si="13"/>
        <v>163.72139911944097</v>
      </c>
      <c r="J33" s="306">
        <f t="shared" ca="1" si="14"/>
        <v>109.45767805562264</v>
      </c>
      <c r="K33" s="307">
        <f t="shared" ca="1" si="15"/>
        <v>535.67231480942951</v>
      </c>
      <c r="L33" s="304">
        <f t="shared" ca="1" si="0"/>
        <v>546.74108327307988</v>
      </c>
      <c r="M33" s="306">
        <f t="shared" ca="1" si="16"/>
        <v>1.3529630629863296</v>
      </c>
      <c r="N33" s="304">
        <f t="shared" ca="1" si="17"/>
        <v>77.519073346209254</v>
      </c>
      <c r="P33" s="310">
        <f t="shared" ca="1" si="18"/>
        <v>3</v>
      </c>
      <c r="Q33" s="304">
        <f t="shared" ca="1" si="19"/>
        <v>0</v>
      </c>
      <c r="R33" s="306">
        <f t="shared" ca="1" si="20"/>
        <v>0</v>
      </c>
      <c r="S33" s="307">
        <f t="shared" ca="1" si="21"/>
        <v>2.5949999999999998</v>
      </c>
      <c r="T33" s="304">
        <f t="shared" ca="1" si="1"/>
        <v>25.456949999999999</v>
      </c>
      <c r="U33" s="311">
        <f t="shared" ca="1" si="2"/>
        <v>0</v>
      </c>
      <c r="V33" s="306">
        <f t="shared" ca="1" si="3"/>
        <v>1.1610918332176223</v>
      </c>
      <c r="W33" s="304">
        <f t="shared" ca="1" si="4"/>
        <v>63.730941517971551</v>
      </c>
      <c r="Y33" s="314" t="str">
        <f t="shared" ca="1" si="22"/>
        <v/>
      </c>
      <c r="Z33" s="315" t="str">
        <f t="shared" ca="1" si="23"/>
        <v/>
      </c>
      <c r="AA33" s="316" t="str">
        <f t="shared" ca="1" si="24"/>
        <v/>
      </c>
      <c r="AC33" s="310" t="e">
        <f t="shared" ca="1" si="25"/>
        <v>#N/A</v>
      </c>
      <c r="AD33" s="323" t="e">
        <f t="shared" ca="1" si="26"/>
        <v>#N/A</v>
      </c>
      <c r="AE33" s="324">
        <f t="shared" ca="1" si="5"/>
        <v>535.67231480942951</v>
      </c>
      <c r="AG33" s="306">
        <f t="shared" ca="1" si="27"/>
        <v>-34.244367673202547</v>
      </c>
      <c r="AH33" s="304">
        <f t="shared" ca="1" si="28"/>
        <v>-24.665923255907551</v>
      </c>
    </row>
    <row r="34" spans="1:34" x14ac:dyDescent="0.2">
      <c r="A34" s="347">
        <f t="shared" ca="1" si="6"/>
        <v>0.01</v>
      </c>
      <c r="B34" s="304">
        <f t="shared" ca="1" si="7"/>
        <v>3.4999999999999938</v>
      </c>
      <c r="D34" s="306">
        <f t="shared" ca="1" si="8"/>
        <v>-5.30758649060851</v>
      </c>
      <c r="E34" s="307">
        <f t="shared" ca="1" si="9"/>
        <v>-33.788748429660451</v>
      </c>
      <c r="F34" s="304">
        <f t="shared" ca="1" si="10"/>
        <v>34.203069961600981</v>
      </c>
      <c r="G34" s="306">
        <f t="shared" ca="1" si="11"/>
        <v>35.329508841250025</v>
      </c>
      <c r="H34" s="307">
        <f t="shared" ca="1" si="12"/>
        <v>159.51444821693417</v>
      </c>
      <c r="I34" s="304">
        <f t="shared" ca="1" si="13"/>
        <v>163.38002749698916</v>
      </c>
      <c r="J34" s="306">
        <f t="shared" ca="1" si="14"/>
        <v>109.81123852335966</v>
      </c>
      <c r="K34" s="307">
        <f t="shared" ca="1" si="15"/>
        <v>537.26914872902034</v>
      </c>
      <c r="L34" s="304">
        <f t="shared" ca="1" si="0"/>
        <v>548.3763728335133</v>
      </c>
      <c r="M34" s="306">
        <f t="shared" ca="1" si="16"/>
        <v>1.352833299008084</v>
      </c>
      <c r="N34" s="304">
        <f t="shared" ca="1" si="17"/>
        <v>77.511638417922953</v>
      </c>
      <c r="P34" s="310">
        <f t="shared" ca="1" si="18"/>
        <v>3</v>
      </c>
      <c r="Q34" s="304">
        <f t="shared" ca="1" si="19"/>
        <v>0</v>
      </c>
      <c r="R34" s="306">
        <f t="shared" ca="1" si="20"/>
        <v>0</v>
      </c>
      <c r="S34" s="307">
        <f t="shared" ca="1" si="21"/>
        <v>2.5949999999999998</v>
      </c>
      <c r="T34" s="304">
        <f t="shared" ca="1" si="1"/>
        <v>25.456949999999999</v>
      </c>
      <c r="U34" s="311">
        <f t="shared" ca="1" si="2"/>
        <v>0</v>
      </c>
      <c r="V34" s="306">
        <f t="shared" ca="1" si="3"/>
        <v>1.1609063074621309</v>
      </c>
      <c r="W34" s="304">
        <f t="shared" ca="1" si="4"/>
        <v>63.455309963997507</v>
      </c>
      <c r="Y34" s="314" t="str">
        <f t="shared" ca="1" si="22"/>
        <v/>
      </c>
      <c r="Z34" s="315" t="str">
        <f t="shared" ca="1" si="23"/>
        <v/>
      </c>
      <c r="AA34" s="316" t="str">
        <f t="shared" ca="1" si="24"/>
        <v/>
      </c>
      <c r="AC34" s="310" t="e">
        <f t="shared" ca="1" si="25"/>
        <v>#N/A</v>
      </c>
      <c r="AD34" s="323" t="e">
        <f t="shared" ca="1" si="26"/>
        <v>#N/A</v>
      </c>
      <c r="AE34" s="324">
        <f t="shared" ca="1" si="5"/>
        <v>537.26914872902034</v>
      </c>
      <c r="AG34" s="306">
        <f t="shared" ca="1" si="27"/>
        <v>-34.137299800463651</v>
      </c>
      <c r="AH34" s="304">
        <f t="shared" ca="1" si="28"/>
        <v>-24.559129679372468</v>
      </c>
    </row>
    <row r="35" spans="1:34" x14ac:dyDescent="0.2">
      <c r="A35" s="347">
        <f t="shared" ca="1" si="6"/>
        <v>0.01</v>
      </c>
      <c r="B35" s="304">
        <f t="shared" ca="1" si="7"/>
        <v>3.5099999999999936</v>
      </c>
      <c r="D35" s="306">
        <f t="shared" ca="1" si="8"/>
        <v>-5.2877296520753818</v>
      </c>
      <c r="E35" s="307">
        <f t="shared" ca="1" si="9"/>
        <v>-33.684356180867937</v>
      </c>
      <c r="F35" s="304">
        <f t="shared" ca="1" si="10"/>
        <v>34.096861090033102</v>
      </c>
      <c r="G35" s="306">
        <f t="shared" ca="1" si="11"/>
        <v>35.27663154472927</v>
      </c>
      <c r="H35" s="307">
        <f t="shared" ca="1" si="12"/>
        <v>159.17760465512549</v>
      </c>
      <c r="I35" s="304">
        <f t="shared" ca="1" si="13"/>
        <v>163.03972079492169</v>
      </c>
      <c r="J35" s="306">
        <f t="shared" ca="1" si="14"/>
        <v>110.16426922528956</v>
      </c>
      <c r="K35" s="307">
        <f t="shared" ca="1" si="15"/>
        <v>538.8626089933806</v>
      </c>
      <c r="L35" s="304">
        <f t="shared" ca="1" si="0"/>
        <v>550.00825228817712</v>
      </c>
      <c r="M35" s="306">
        <f t="shared" ca="1" si="16"/>
        <v>1.3527031879463938</v>
      </c>
      <c r="N35" s="304">
        <f t="shared" ca="1" si="17"/>
        <v>77.504183603220142</v>
      </c>
      <c r="P35" s="310">
        <f t="shared" ca="1" si="18"/>
        <v>3</v>
      </c>
      <c r="Q35" s="304">
        <f t="shared" ca="1" si="19"/>
        <v>0</v>
      </c>
      <c r="R35" s="306">
        <f t="shared" ca="1" si="20"/>
        <v>0</v>
      </c>
      <c r="S35" s="307">
        <f t="shared" ca="1" si="21"/>
        <v>2.5949999999999998</v>
      </c>
      <c r="T35" s="304">
        <f t="shared" ca="1" si="1"/>
        <v>25.456949999999999</v>
      </c>
      <c r="U35" s="311">
        <f t="shared" ca="1" si="2"/>
        <v>0</v>
      </c>
      <c r="V35" s="306">
        <f t="shared" ca="1" si="3"/>
        <v>1.1607212024264819</v>
      </c>
      <c r="W35" s="304">
        <f t="shared" ca="1" si="4"/>
        <v>63.181165476172389</v>
      </c>
      <c r="Y35" s="314" t="str">
        <f t="shared" ca="1" si="22"/>
        <v/>
      </c>
      <c r="Z35" s="315" t="str">
        <f t="shared" ca="1" si="23"/>
        <v/>
      </c>
      <c r="AA35" s="316" t="str">
        <f t="shared" ca="1" si="24"/>
        <v/>
      </c>
      <c r="AC35" s="310" t="e">
        <f t="shared" ca="1" si="25"/>
        <v>#N/A</v>
      </c>
      <c r="AD35" s="323" t="e">
        <f t="shared" ca="1" si="26"/>
        <v>#N/A</v>
      </c>
      <c r="AE35" s="324">
        <f t="shared" ca="1" si="5"/>
        <v>538.8626089933806</v>
      </c>
      <c r="AG35" s="306">
        <f t="shared" ca="1" si="27"/>
        <v>-34.030808210810363</v>
      </c>
      <c r="AH35" s="304">
        <f t="shared" ca="1" si="28"/>
        <v>-24.452913280923898</v>
      </c>
    </row>
    <row r="36" spans="1:34" x14ac:dyDescent="0.2">
      <c r="A36" s="347">
        <f t="shared" ca="1" si="6"/>
        <v>0.01</v>
      </c>
      <c r="B36" s="304">
        <f t="shared" ca="1" si="7"/>
        <v>3.5199999999999934</v>
      </c>
      <c r="D36" s="306">
        <f t="shared" ca="1" si="8"/>
        <v>-5.2679780507436149</v>
      </c>
      <c r="E36" s="307">
        <f t="shared" ca="1" si="9"/>
        <v>-33.580527138621704</v>
      </c>
      <c r="F36" s="304">
        <f t="shared" ca="1" si="10"/>
        <v>33.991225274338454</v>
      </c>
      <c r="G36" s="306">
        <f t="shared" ca="1" si="11"/>
        <v>35.22395176422183</v>
      </c>
      <c r="H36" s="307">
        <f t="shared" ca="1" si="12"/>
        <v>158.84179938373927</v>
      </c>
      <c r="I36" s="304">
        <f t="shared" ca="1" si="13"/>
        <v>162.700473291728</v>
      </c>
      <c r="J36" s="306">
        <f t="shared" ca="1" si="14"/>
        <v>110.51677214183431</v>
      </c>
      <c r="K36" s="307">
        <f t="shared" ca="1" si="15"/>
        <v>540.45270601357493</v>
      </c>
      <c r="L36" s="304">
        <f t="shared" ca="1" si="0"/>
        <v>551.63673224509421</v>
      </c>
      <c r="M36" s="306">
        <f t="shared" ca="1" si="16"/>
        <v>1.3525727289965062</v>
      </c>
      <c r="N36" s="304">
        <f t="shared" ca="1" si="17"/>
        <v>77.496708855991869</v>
      </c>
      <c r="P36" s="310">
        <f t="shared" ca="1" si="18"/>
        <v>3</v>
      </c>
      <c r="Q36" s="304">
        <f t="shared" ca="1" si="19"/>
        <v>0</v>
      </c>
      <c r="R36" s="306">
        <f t="shared" ca="1" si="20"/>
        <v>0</v>
      </c>
      <c r="S36" s="307">
        <f t="shared" ca="1" si="21"/>
        <v>2.5949999999999998</v>
      </c>
      <c r="T36" s="304">
        <f t="shared" ca="1" si="1"/>
        <v>25.456949999999999</v>
      </c>
      <c r="U36" s="311">
        <f t="shared" ca="1" si="2"/>
        <v>0</v>
      </c>
      <c r="V36" s="306">
        <f t="shared" ca="1" si="3"/>
        <v>1.1605365167124286</v>
      </c>
      <c r="W36" s="304">
        <f t="shared" ca="1" si="4"/>
        <v>62.908497439851232</v>
      </c>
      <c r="Y36" s="314" t="str">
        <f t="shared" ca="1" si="22"/>
        <v/>
      </c>
      <c r="Z36" s="315" t="str">
        <f t="shared" ca="1" si="23"/>
        <v/>
      </c>
      <c r="AA36" s="316" t="str">
        <f t="shared" ca="1" si="24"/>
        <v/>
      </c>
      <c r="AC36" s="310" t="e">
        <f t="shared" ca="1" si="25"/>
        <v>#N/A</v>
      </c>
      <c r="AD36" s="323" t="e">
        <f t="shared" ca="1" si="26"/>
        <v>#N/A</v>
      </c>
      <c r="AE36" s="324">
        <f t="shared" ca="1" si="5"/>
        <v>540.45270601357493</v>
      </c>
      <c r="AG36" s="306">
        <f t="shared" ca="1" si="27"/>
        <v>-33.924888773707487</v>
      </c>
      <c r="AH36" s="304">
        <f t="shared" ca="1" si="28"/>
        <v>-24.34726993301441</v>
      </c>
    </row>
    <row r="37" spans="1:34" x14ac:dyDescent="0.2">
      <c r="A37" s="347">
        <f t="shared" ca="1" si="6"/>
        <v>0.01</v>
      </c>
      <c r="B37" s="304">
        <f t="shared" ca="1" si="7"/>
        <v>3.5299999999999931</v>
      </c>
      <c r="D37" s="306">
        <f t="shared" ca="1" si="8"/>
        <v>-5.2483309314819886</v>
      </c>
      <c r="E37" s="307">
        <f t="shared" ca="1" si="9"/>
        <v>-33.477257282719378</v>
      </c>
      <c r="F37" s="304">
        <f t="shared" ca="1" si="10"/>
        <v>33.886158424048872</v>
      </c>
      <c r="G37" s="306">
        <f t="shared" ca="1" si="11"/>
        <v>35.171468454907007</v>
      </c>
      <c r="H37" s="307">
        <f t="shared" ca="1" si="12"/>
        <v>158.50702681091207</v>
      </c>
      <c r="I37" s="304">
        <f t="shared" ca="1" si="13"/>
        <v>162.36227930683197</v>
      </c>
      <c r="J37" s="306">
        <f t="shared" ca="1" si="14"/>
        <v>110.86874924292995</v>
      </c>
      <c r="K37" s="307">
        <f t="shared" ca="1" si="15"/>
        <v>542.03945014454814</v>
      </c>
      <c r="L37" s="304">
        <f t="shared" ca="1" si="0"/>
        <v>553.26182325522495</v>
      </c>
      <c r="M37" s="306">
        <f t="shared" ca="1" si="16"/>
        <v>1.3524419213504004</v>
      </c>
      <c r="N37" s="304">
        <f t="shared" ca="1" si="17"/>
        <v>77.489214129941971</v>
      </c>
      <c r="P37" s="310">
        <f t="shared" ca="1" si="18"/>
        <v>3</v>
      </c>
      <c r="Q37" s="304">
        <f t="shared" ca="1" si="19"/>
        <v>0</v>
      </c>
      <c r="R37" s="306">
        <f t="shared" ca="1" si="20"/>
        <v>0</v>
      </c>
      <c r="S37" s="307">
        <f t="shared" ca="1" si="21"/>
        <v>2.5949999999999998</v>
      </c>
      <c r="T37" s="304">
        <f t="shared" ca="1" si="1"/>
        <v>25.456949999999999</v>
      </c>
      <c r="U37" s="311">
        <f t="shared" ca="1" si="2"/>
        <v>0</v>
      </c>
      <c r="V37" s="306">
        <f t="shared" ca="1" si="3"/>
        <v>1.1603522489294607</v>
      </c>
      <c r="W37" s="304">
        <f t="shared" ca="1" si="4"/>
        <v>62.637295335689515</v>
      </c>
      <c r="Y37" s="314" t="str">
        <f t="shared" ca="1" si="22"/>
        <v/>
      </c>
      <c r="Z37" s="315" t="str">
        <f t="shared" ca="1" si="23"/>
        <v/>
      </c>
      <c r="AA37" s="316" t="str">
        <f t="shared" ca="1" si="24"/>
        <v/>
      </c>
      <c r="AC37" s="310" t="e">
        <f t="shared" ca="1" si="25"/>
        <v>#N/A</v>
      </c>
      <c r="AD37" s="323" t="e">
        <f t="shared" ca="1" si="26"/>
        <v>#N/A</v>
      </c>
      <c r="AE37" s="324">
        <f t="shared" ca="1" si="5"/>
        <v>542.03945014454814</v>
      </c>
      <c r="AG37" s="306">
        <f t="shared" ca="1" si="27"/>
        <v>-33.819537395731018</v>
      </c>
      <c r="AH37" s="304">
        <f t="shared" ca="1" si="28"/>
        <v>-24.242195545222057</v>
      </c>
    </row>
    <row r="38" spans="1:34" x14ac:dyDescent="0.2">
      <c r="A38" s="347">
        <f t="shared" ca="1" si="6"/>
        <v>0.01</v>
      </c>
      <c r="B38" s="304">
        <f t="shared" ca="1" si="7"/>
        <v>3.5399999999999929</v>
      </c>
      <c r="D38" s="306">
        <f t="shared" ca="1" si="8"/>
        <v>-5.2287875459346855</v>
      </c>
      <c r="E38" s="307">
        <f t="shared" ca="1" si="9"/>
        <v>-33.374542629052527</v>
      </c>
      <c r="F38" s="304">
        <f t="shared" ca="1" si="10"/>
        <v>33.781656485420697</v>
      </c>
      <c r="G38" s="306">
        <f t="shared" ca="1" si="11"/>
        <v>35.119180579447658</v>
      </c>
      <c r="H38" s="307">
        <f t="shared" ca="1" si="12"/>
        <v>158.17328138462153</v>
      </c>
      <c r="I38" s="304">
        <f t="shared" ca="1" si="13"/>
        <v>162.02513320022456</v>
      </c>
      <c r="J38" s="306">
        <f t="shared" ca="1" si="14"/>
        <v>111.22020248810172</v>
      </c>
      <c r="K38" s="307">
        <f t="shared" ca="1" si="15"/>
        <v>543.6228516855258</v>
      </c>
      <c r="L38" s="304">
        <f t="shared" ca="1" si="0"/>
        <v>554.88353581287447</v>
      </c>
      <c r="M38" s="306">
        <f t="shared" ca="1" si="16"/>
        <v>1.3523107641967735</v>
      </c>
      <c r="N38" s="304">
        <f t="shared" ca="1" si="17"/>
        <v>77.4816993785862</v>
      </c>
      <c r="P38" s="310">
        <f t="shared" ca="1" si="18"/>
        <v>3</v>
      </c>
      <c r="Q38" s="304">
        <f t="shared" ca="1" si="19"/>
        <v>0</v>
      </c>
      <c r="R38" s="306">
        <f t="shared" ca="1" si="20"/>
        <v>0</v>
      </c>
      <c r="S38" s="307">
        <f t="shared" ca="1" si="21"/>
        <v>2.5949999999999998</v>
      </c>
      <c r="T38" s="304">
        <f t="shared" ca="1" si="1"/>
        <v>25.456949999999999</v>
      </c>
      <c r="U38" s="311">
        <f t="shared" ca="1" si="2"/>
        <v>0</v>
      </c>
      <c r="V38" s="306">
        <f t="shared" ca="1" si="3"/>
        <v>1.1601683976947492</v>
      </c>
      <c r="W38" s="304">
        <f t="shared" ca="1" si="4"/>
        <v>62.367548738615703</v>
      </c>
      <c r="Y38" s="314" t="str">
        <f t="shared" ca="1" si="22"/>
        <v/>
      </c>
      <c r="Z38" s="315" t="str">
        <f t="shared" ca="1" si="23"/>
        <v/>
      </c>
      <c r="AA38" s="316" t="str">
        <f t="shared" ca="1" si="24"/>
        <v/>
      </c>
      <c r="AC38" s="310" t="e">
        <f t="shared" ca="1" si="25"/>
        <v>#N/A</v>
      </c>
      <c r="AD38" s="323" t="e">
        <f t="shared" ca="1" si="26"/>
        <v>#N/A</v>
      </c>
      <c r="AE38" s="324">
        <f t="shared" ca="1" si="5"/>
        <v>543.6228516855258</v>
      </c>
      <c r="AG38" s="306">
        <f t="shared" ca="1" si="27"/>
        <v>-33.714750020167223</v>
      </c>
      <c r="AH38" s="304">
        <f t="shared" ca="1" si="28"/>
        <v>-24.137686063849525</v>
      </c>
    </row>
    <row r="39" spans="1:34" x14ac:dyDescent="0.2">
      <c r="A39" s="347">
        <f t="shared" ca="1" si="6"/>
        <v>0.01</v>
      </c>
      <c r="B39" s="304">
        <f t="shared" ca="1" si="7"/>
        <v>3.5499999999999927</v>
      </c>
      <c r="D39" s="306">
        <f t="shared" ca="1" si="8"/>
        <v>-5.20934715244824</v>
      </c>
      <c r="E39" s="307">
        <f t="shared" ca="1" si="9"/>
        <v>-33.272379229217542</v>
      </c>
      <c r="F39" s="304">
        <f t="shared" ca="1" si="10"/>
        <v>33.677715441038863</v>
      </c>
      <c r="G39" s="306">
        <f t="shared" ca="1" si="11"/>
        <v>35.067087107923179</v>
      </c>
      <c r="H39" s="307">
        <f t="shared" ca="1" si="12"/>
        <v>157.84055759232936</v>
      </c>
      <c r="I39" s="304">
        <f t="shared" ca="1" si="13"/>
        <v>161.68902937210092</v>
      </c>
      <c r="J39" s="306">
        <f t="shared" ca="1" si="14"/>
        <v>111.57113382653857</v>
      </c>
      <c r="K39" s="307">
        <f t="shared" ca="1" si="15"/>
        <v>545.2029208804106</v>
      </c>
      <c r="L39" s="304">
        <f t="shared" ca="1" si="0"/>
        <v>556.50188035609608</v>
      </c>
      <c r="M39" s="306">
        <f t="shared" ca="1" si="16"/>
        <v>1.3521792567210271</v>
      </c>
      <c r="N39" s="304">
        <f t="shared" ca="1" si="17"/>
        <v>77.474164555251505</v>
      </c>
      <c r="P39" s="310">
        <f t="shared" ca="1" si="18"/>
        <v>3</v>
      </c>
      <c r="Q39" s="304">
        <f t="shared" ca="1" si="19"/>
        <v>0</v>
      </c>
      <c r="R39" s="306">
        <f t="shared" ca="1" si="20"/>
        <v>0</v>
      </c>
      <c r="S39" s="307">
        <f t="shared" ca="1" si="21"/>
        <v>2.5949999999999998</v>
      </c>
      <c r="T39" s="304">
        <f t="shared" ca="1" si="1"/>
        <v>25.456949999999999</v>
      </c>
      <c r="U39" s="311">
        <f t="shared" ca="1" si="2"/>
        <v>0</v>
      </c>
      <c r="V39" s="306">
        <f t="shared" ca="1" si="3"/>
        <v>1.1599849616330895</v>
      </c>
      <c r="W39" s="304">
        <f t="shared" ca="1" si="4"/>
        <v>62.0992473168168</v>
      </c>
      <c r="Y39" s="314" t="str">
        <f t="shared" ca="1" si="22"/>
        <v/>
      </c>
      <c r="Z39" s="315" t="str">
        <f t="shared" ca="1" si="23"/>
        <v/>
      </c>
      <c r="AA39" s="316" t="str">
        <f t="shared" ca="1" si="24"/>
        <v/>
      </c>
      <c r="AC39" s="310" t="e">
        <f t="shared" ca="1" si="25"/>
        <v>#N/A</v>
      </c>
      <c r="AD39" s="323" t="e">
        <f t="shared" ca="1" si="26"/>
        <v>#N/A</v>
      </c>
      <c r="AE39" s="324">
        <f t="shared" ca="1" si="5"/>
        <v>545.2029208804106</v>
      </c>
      <c r="AG39" s="306">
        <f t="shared" ca="1" si="27"/>
        <v>-33.61052262661665</v>
      </c>
      <c r="AH39" s="304">
        <f t="shared" ca="1" si="28"/>
        <v>-24.033737471528212</v>
      </c>
    </row>
    <row r="40" spans="1:34" x14ac:dyDescent="0.2">
      <c r="A40" s="347">
        <f t="shared" ca="1" si="6"/>
        <v>0.01</v>
      </c>
      <c r="B40" s="304">
        <f t="shared" ca="1" si="7"/>
        <v>3.5599999999999925</v>
      </c>
      <c r="D40" s="306">
        <f t="shared" ca="1" si="8"/>
        <v>-5.1900090159993955</v>
      </c>
      <c r="E40" s="307">
        <f t="shared" ca="1" si="9"/>
        <v>-33.170763170131394</v>
      </c>
      <c r="F40" s="304">
        <f t="shared" ca="1" si="10"/>
        <v>33.574331309425965</v>
      </c>
      <c r="G40" s="306">
        <f t="shared" ca="1" si="11"/>
        <v>35.015187017763182</v>
      </c>
      <c r="H40" s="307">
        <f t="shared" ca="1" si="12"/>
        <v>157.50884996062805</v>
      </c>
      <c r="I40" s="304">
        <f t="shared" ca="1" si="13"/>
        <v>161.35396226250091</v>
      </c>
      <c r="J40" s="306">
        <f t="shared" ca="1" si="14"/>
        <v>111.92154519716701</v>
      </c>
      <c r="K40" s="307">
        <f t="shared" ca="1" si="15"/>
        <v>546.77966791817539</v>
      </c>
      <c r="L40" s="304">
        <f t="shared" ca="1" si="0"/>
        <v>558.11686726709092</v>
      </c>
      <c r="M40" s="306">
        <f t="shared" ca="1" si="16"/>
        <v>1.3520473981052539</v>
      </c>
      <c r="N40" s="304">
        <f t="shared" ca="1" si="17"/>
        <v>77.466609613075263</v>
      </c>
      <c r="P40" s="310">
        <f t="shared" ca="1" si="18"/>
        <v>3</v>
      </c>
      <c r="Q40" s="304">
        <f t="shared" ca="1" si="19"/>
        <v>0</v>
      </c>
      <c r="R40" s="306">
        <f t="shared" ca="1" si="20"/>
        <v>0</v>
      </c>
      <c r="S40" s="307">
        <f t="shared" ca="1" si="21"/>
        <v>2.5949999999999998</v>
      </c>
      <c r="T40" s="304">
        <f t="shared" ca="1" si="1"/>
        <v>25.456949999999999</v>
      </c>
      <c r="U40" s="311">
        <f t="shared" ca="1" si="2"/>
        <v>0</v>
      </c>
      <c r="V40" s="306">
        <f t="shared" ca="1" si="3"/>
        <v>1.1598019393768457</v>
      </c>
      <c r="W40" s="304">
        <f t="shared" ca="1" si="4"/>
        <v>61.832380830736646</v>
      </c>
      <c r="Y40" s="314" t="str">
        <f t="shared" ca="1" si="22"/>
        <v/>
      </c>
      <c r="Z40" s="315" t="str">
        <f t="shared" ca="1" si="23"/>
        <v/>
      </c>
      <c r="AA40" s="316" t="str">
        <f t="shared" ca="1" si="24"/>
        <v/>
      </c>
      <c r="AC40" s="310" t="e">
        <f t="shared" ca="1" si="25"/>
        <v>#N/A</v>
      </c>
      <c r="AD40" s="323" t="e">
        <f t="shared" ca="1" si="26"/>
        <v>#N/A</v>
      </c>
      <c r="AE40" s="324">
        <f t="shared" ca="1" si="5"/>
        <v>546.77966791817539</v>
      </c>
      <c r="AG40" s="306">
        <f t="shared" ca="1" si="27"/>
        <v>-33.50685123060309</v>
      </c>
      <c r="AH40" s="304">
        <f t="shared" ca="1" si="28"/>
        <v>-23.930345786827285</v>
      </c>
    </row>
    <row r="41" spans="1:34" x14ac:dyDescent="0.2">
      <c r="A41" s="347">
        <f t="shared" ca="1" si="6"/>
        <v>0.01</v>
      </c>
      <c r="B41" s="304">
        <f t="shared" ca="1" si="7"/>
        <v>3.5699999999999923</v>
      </c>
      <c r="D41" s="306">
        <f t="shared" ca="1" si="8"/>
        <v>-5.170772408123872</v>
      </c>
      <c r="E41" s="307">
        <f t="shared" ca="1" si="9"/>
        <v>-33.069690573652295</v>
      </c>
      <c r="F41" s="304">
        <f t="shared" ca="1" si="10"/>
        <v>33.47150014465624</v>
      </c>
      <c r="G41" s="306">
        <f t="shared" ca="1" si="11"/>
        <v>34.963479293681942</v>
      </c>
      <c r="H41" s="307">
        <f t="shared" ca="1" si="12"/>
        <v>157.17815305489154</v>
      </c>
      <c r="I41" s="304">
        <f t="shared" ca="1" si="13"/>
        <v>161.01992635095397</v>
      </c>
      <c r="J41" s="306">
        <f t="shared" ca="1" si="14"/>
        <v>112.27143852872423</v>
      </c>
      <c r="K41" s="307">
        <f t="shared" ca="1" si="15"/>
        <v>548.35310293325301</v>
      </c>
      <c r="L41" s="304">
        <f t="shared" ca="1" si="0"/>
        <v>559.72850687260507</v>
      </c>
      <c r="M41" s="306">
        <f t="shared" ca="1" si="16"/>
        <v>1.3519151875282227</v>
      </c>
      <c r="N41" s="304">
        <f t="shared" ca="1" si="17"/>
        <v>77.459034505004382</v>
      </c>
      <c r="P41" s="310">
        <f t="shared" ca="1" si="18"/>
        <v>3</v>
      </c>
      <c r="Q41" s="304">
        <f t="shared" ca="1" si="19"/>
        <v>0</v>
      </c>
      <c r="R41" s="306">
        <f t="shared" ca="1" si="20"/>
        <v>0</v>
      </c>
      <c r="S41" s="307">
        <f t="shared" ca="1" si="21"/>
        <v>2.5949999999999998</v>
      </c>
      <c r="T41" s="304">
        <f t="shared" ca="1" si="1"/>
        <v>25.456949999999999</v>
      </c>
      <c r="U41" s="311">
        <f t="shared" ca="1" si="2"/>
        <v>0</v>
      </c>
      <c r="V41" s="306">
        <f t="shared" ca="1" si="3"/>
        <v>1.1596193295658965</v>
      </c>
      <c r="W41" s="304">
        <f t="shared" ca="1" si="4"/>
        <v>61.566939132086887</v>
      </c>
      <c r="Y41" s="314" t="str">
        <f t="shared" ca="1" si="22"/>
        <v/>
      </c>
      <c r="Z41" s="315" t="str">
        <f t="shared" ca="1" si="23"/>
        <v/>
      </c>
      <c r="AA41" s="316" t="str">
        <f t="shared" ca="1" si="24"/>
        <v/>
      </c>
      <c r="AC41" s="310" t="e">
        <f t="shared" ca="1" si="25"/>
        <v>#N/A</v>
      </c>
      <c r="AD41" s="323" t="e">
        <f t="shared" ca="1" si="26"/>
        <v>#N/A</v>
      </c>
      <c r="AE41" s="324">
        <f t="shared" ca="1" si="5"/>
        <v>548.35310293325301</v>
      </c>
      <c r="AG41" s="306">
        <f t="shared" ca="1" si="27"/>
        <v>-33.403731883187547</v>
      </c>
      <c r="AH41" s="304">
        <f t="shared" ca="1" si="28"/>
        <v>-23.827507063867689</v>
      </c>
    </row>
    <row r="42" spans="1:34" x14ac:dyDescent="0.2">
      <c r="A42" s="347">
        <f t="shared" ca="1" si="6"/>
        <v>0.01</v>
      </c>
      <c r="B42" s="304">
        <f t="shared" ca="1" si="7"/>
        <v>3.5799999999999921</v>
      </c>
      <c r="D42" s="306">
        <f t="shared" ca="1" si="8"/>
        <v>-5.1516366068460657</v>
      </c>
      <c r="E42" s="307">
        <f t="shared" ca="1" si="9"/>
        <v>-32.969157596205072</v>
      </c>
      <c r="F42" s="304">
        <f t="shared" ca="1" si="10"/>
        <v>33.369218035974463</v>
      </c>
      <c r="G42" s="306">
        <f t="shared" ca="1" si="11"/>
        <v>34.91196292761348</v>
      </c>
      <c r="H42" s="307">
        <f t="shared" ca="1" si="12"/>
        <v>156.84846147892949</v>
      </c>
      <c r="I42" s="304">
        <f t="shared" ca="1" si="13"/>
        <v>160.6869161561273</v>
      </c>
      <c r="J42" s="306">
        <f t="shared" ca="1" si="14"/>
        <v>112.6208157398307</v>
      </c>
      <c r="K42" s="307">
        <f t="shared" ca="1" si="15"/>
        <v>549.92323600592215</v>
      </c>
      <c r="L42" s="304">
        <f t="shared" ca="1" si="0"/>
        <v>561.33680944432115</v>
      </c>
      <c r="M42" s="306">
        <f t="shared" ca="1" si="16"/>
        <v>1.3517826241653661</v>
      </c>
      <c r="N42" s="304">
        <f t="shared" ca="1" si="17"/>
        <v>77.451439183794648</v>
      </c>
      <c r="P42" s="310">
        <f t="shared" ca="1" si="18"/>
        <v>3</v>
      </c>
      <c r="Q42" s="304">
        <f t="shared" ca="1" si="19"/>
        <v>0</v>
      </c>
      <c r="R42" s="306">
        <f t="shared" ca="1" si="20"/>
        <v>0</v>
      </c>
      <c r="S42" s="307">
        <f t="shared" ca="1" si="21"/>
        <v>2.5949999999999998</v>
      </c>
      <c r="T42" s="304">
        <f t="shared" ca="1" si="1"/>
        <v>25.456949999999999</v>
      </c>
      <c r="U42" s="311">
        <f t="shared" ca="1" si="2"/>
        <v>0</v>
      </c>
      <c r="V42" s="306">
        <f t="shared" ca="1" si="3"/>
        <v>1.1594371308475813</v>
      </c>
      <c r="W42" s="304">
        <f t="shared" ca="1" si="4"/>
        <v>61.302912162870044</v>
      </c>
      <c r="Y42" s="314" t="str">
        <f t="shared" ca="1" si="22"/>
        <v/>
      </c>
      <c r="Z42" s="315" t="str">
        <f t="shared" ca="1" si="23"/>
        <v/>
      </c>
      <c r="AA42" s="316" t="str">
        <f t="shared" ca="1" si="24"/>
        <v/>
      </c>
      <c r="AC42" s="310" t="e">
        <f t="shared" ca="1" si="25"/>
        <v>#N/A</v>
      </c>
      <c r="AD42" s="323" t="e">
        <f t="shared" ca="1" si="26"/>
        <v>#N/A</v>
      </c>
      <c r="AE42" s="324">
        <f t="shared" ca="1" si="5"/>
        <v>549.92323600592215</v>
      </c>
      <c r="AG42" s="306">
        <f t="shared" ca="1" si="27"/>
        <v>-33.301160670586967</v>
      </c>
      <c r="AH42" s="304">
        <f t="shared" ca="1" si="28"/>
        <v>-23.725217391940998</v>
      </c>
    </row>
    <row r="43" spans="1:34" x14ac:dyDescent="0.2">
      <c r="A43" s="347">
        <f t="shared" ca="1" si="6"/>
        <v>0.01</v>
      </c>
      <c r="B43" s="304">
        <f t="shared" ca="1" si="7"/>
        <v>3.5899999999999919</v>
      </c>
      <c r="D43" s="306">
        <f t="shared" ca="1" si="8"/>
        <v>-5.1326008966095582</v>
      </c>
      <c r="E43" s="307">
        <f t="shared" ca="1" si="9"/>
        <v>-32.869160428411192</v>
      </c>
      <c r="F43" s="304">
        <f t="shared" ca="1" si="10"/>
        <v>33.267481107419442</v>
      </c>
      <c r="G43" s="306">
        <f t="shared" ca="1" si="11"/>
        <v>34.860636918647387</v>
      </c>
      <c r="H43" s="307">
        <f t="shared" ca="1" si="12"/>
        <v>156.51976987464539</v>
      </c>
      <c r="I43" s="304">
        <f t="shared" ca="1" si="13"/>
        <v>160.35492623547839</v>
      </c>
      <c r="J43" s="306">
        <f t="shared" ca="1" si="14"/>
        <v>112.969678739062</v>
      </c>
      <c r="K43" s="307">
        <f t="shared" ca="1" si="15"/>
        <v>551.49007716269</v>
      </c>
      <c r="L43" s="304">
        <f t="shared" ca="1" si="0"/>
        <v>562.94178519924833</v>
      </c>
      <c r="M43" s="306">
        <f t="shared" ca="1" si="16"/>
        <v>1.3516497071887648</v>
      </c>
      <c r="N43" s="304">
        <f t="shared" ca="1" si="17"/>
        <v>77.443823602009743</v>
      </c>
      <c r="P43" s="310">
        <f t="shared" ca="1" si="18"/>
        <v>3</v>
      </c>
      <c r="Q43" s="304">
        <f t="shared" ca="1" si="19"/>
        <v>0</v>
      </c>
      <c r="R43" s="306">
        <f t="shared" ca="1" si="20"/>
        <v>0</v>
      </c>
      <c r="S43" s="307">
        <f t="shared" ca="1" si="21"/>
        <v>2.5949999999999998</v>
      </c>
      <c r="T43" s="304">
        <f t="shared" ca="1" si="1"/>
        <v>25.456949999999999</v>
      </c>
      <c r="U43" s="311">
        <f t="shared" ca="1" si="2"/>
        <v>0</v>
      </c>
      <c r="V43" s="306">
        <f t="shared" ca="1" si="3"/>
        <v>1.1592553418766449</v>
      </c>
      <c r="W43" s="304">
        <f t="shared" ca="1" si="4"/>
        <v>61.04028995441525</v>
      </c>
      <c r="Y43" s="314" t="str">
        <f t="shared" ca="1" si="22"/>
        <v/>
      </c>
      <c r="Z43" s="315" t="str">
        <f t="shared" ca="1" si="23"/>
        <v/>
      </c>
      <c r="AA43" s="316" t="str">
        <f t="shared" ca="1" si="24"/>
        <v/>
      </c>
      <c r="AC43" s="310" t="e">
        <f t="shared" ca="1" si="25"/>
        <v>#N/A</v>
      </c>
      <c r="AD43" s="323" t="e">
        <f t="shared" ca="1" si="26"/>
        <v>#N/A</v>
      </c>
      <c r="AE43" s="324">
        <f t="shared" ca="1" si="5"/>
        <v>551.49007716269</v>
      </c>
      <c r="AG43" s="306">
        <f t="shared" ca="1" si="27"/>
        <v>-33.199133713797735</v>
      </c>
      <c r="AH43" s="304">
        <f t="shared" ca="1" si="28"/>
        <v>-23.623472895132966</v>
      </c>
    </row>
    <row r="44" spans="1:34" x14ac:dyDescent="0.2">
      <c r="A44" s="347">
        <f t="shared" ca="1" si="6"/>
        <v>0.01</v>
      </c>
      <c r="B44" s="304">
        <f t="shared" ca="1" si="7"/>
        <v>3.5999999999999917</v>
      </c>
      <c r="D44" s="306">
        <f t="shared" ca="1" si="8"/>
        <v>-5.1136645682085762</v>
      </c>
      <c r="E44" s="307">
        <f t="shared" ca="1" si="9"/>
        <v>-32.76969529472354</v>
      </c>
      <c r="F44" s="304">
        <f t="shared" ca="1" si="10"/>
        <v>33.166285517452479</v>
      </c>
      <c r="G44" s="306">
        <f t="shared" ca="1" si="11"/>
        <v>34.809500272965302</v>
      </c>
      <c r="H44" s="307">
        <f t="shared" ca="1" si="12"/>
        <v>156.19207292169816</v>
      </c>
      <c r="I44" s="304">
        <f t="shared" ca="1" si="13"/>
        <v>160.02395118491057</v>
      </c>
      <c r="J44" s="306">
        <f t="shared" ca="1" si="14"/>
        <v>113.31802942502007</v>
      </c>
      <c r="K44" s="307">
        <f t="shared" ca="1" si="15"/>
        <v>553.05363637667176</v>
      </c>
      <c r="L44" s="304">
        <f t="shared" ca="1" si="0"/>
        <v>564.54344430010838</v>
      </c>
      <c r="M44" s="306">
        <f t="shared" ca="1" si="16"/>
        <v>1.351516435767135</v>
      </c>
      <c r="N44" s="304">
        <f t="shared" ca="1" si="17"/>
        <v>77.436187712020654</v>
      </c>
      <c r="P44" s="310">
        <f t="shared" ca="1" si="18"/>
        <v>3</v>
      </c>
      <c r="Q44" s="304">
        <f t="shared" ca="1" si="19"/>
        <v>0</v>
      </c>
      <c r="R44" s="306">
        <f t="shared" ca="1" si="20"/>
        <v>0</v>
      </c>
      <c r="S44" s="307">
        <f t="shared" ca="1" si="21"/>
        <v>2.5949999999999998</v>
      </c>
      <c r="T44" s="304">
        <f t="shared" ca="1" si="1"/>
        <v>25.456949999999999</v>
      </c>
      <c r="U44" s="311">
        <f t="shared" ca="1" si="2"/>
        <v>0</v>
      </c>
      <c r="V44" s="306">
        <f t="shared" ca="1" si="3"/>
        <v>1.1590739613151848</v>
      </c>
      <c r="W44" s="304">
        <f t="shared" ca="1" si="4"/>
        <v>60.779062626425336</v>
      </c>
      <c r="Y44" s="314" t="str">
        <f t="shared" ca="1" si="22"/>
        <v/>
      </c>
      <c r="Z44" s="315" t="str">
        <f t="shared" ca="1" si="23"/>
        <v/>
      </c>
      <c r="AA44" s="316" t="str">
        <f t="shared" ca="1" si="24"/>
        <v/>
      </c>
      <c r="AC44" s="310" t="e">
        <f t="shared" ca="1" si="25"/>
        <v>#N/A</v>
      </c>
      <c r="AD44" s="323" t="e">
        <f t="shared" ca="1" si="26"/>
        <v>#N/A</v>
      </c>
      <c r="AE44" s="324">
        <f t="shared" ca="1" si="5"/>
        <v>553.05363637667176</v>
      </c>
      <c r="AG44" s="306">
        <f t="shared" ca="1" si="27"/>
        <v>-33.097647168224</v>
      </c>
      <c r="AH44" s="304">
        <f t="shared" ca="1" si="28"/>
        <v>-23.52226973195193</v>
      </c>
    </row>
    <row r="45" spans="1:34" x14ac:dyDescent="0.2">
      <c r="A45" s="347">
        <f t="shared" ca="1" si="6"/>
        <v>0.01</v>
      </c>
      <c r="B45" s="304">
        <f t="shared" ca="1" si="7"/>
        <v>3.6099999999999914</v>
      </c>
      <c r="D45" s="306">
        <f t="shared" ca="1" si="8"/>
        <v>-5.094826918720206</v>
      </c>
      <c r="E45" s="307">
        <f t="shared" ca="1" si="9"/>
        <v>-32.670758453065503</v>
      </c>
      <c r="F45" s="304">
        <f t="shared" ca="1" si="10"/>
        <v>33.065627458590093</v>
      </c>
      <c r="G45" s="306">
        <f t="shared" ca="1" si="11"/>
        <v>34.7585520037781</v>
      </c>
      <c r="H45" s="307">
        <f t="shared" ca="1" si="12"/>
        <v>155.8653653371675</v>
      </c>
      <c r="I45" s="304">
        <f t="shared" ca="1" si="13"/>
        <v>159.69398563843299</v>
      </c>
      <c r="J45" s="306">
        <f t="shared" ca="1" si="14"/>
        <v>113.66586968640379</v>
      </c>
      <c r="K45" s="307">
        <f t="shared" ca="1" si="15"/>
        <v>554.61392356796614</v>
      </c>
      <c r="L45" s="304">
        <f t="shared" ca="1" si="0"/>
        <v>566.1417968557173</v>
      </c>
      <c r="M45" s="306">
        <f t="shared" ca="1" si="16"/>
        <v>1.3513828090658129</v>
      </c>
      <c r="N45" s="304">
        <f t="shared" ca="1" si="17"/>
        <v>77.428531466004642</v>
      </c>
      <c r="P45" s="310">
        <f t="shared" ca="1" si="18"/>
        <v>3</v>
      </c>
      <c r="Q45" s="304">
        <f t="shared" ca="1" si="19"/>
        <v>0</v>
      </c>
      <c r="R45" s="306">
        <f t="shared" ca="1" si="20"/>
        <v>0</v>
      </c>
      <c r="S45" s="307">
        <f t="shared" ca="1" si="21"/>
        <v>2.5949999999999998</v>
      </c>
      <c r="T45" s="304">
        <f t="shared" ca="1" si="1"/>
        <v>25.456949999999999</v>
      </c>
      <c r="U45" s="311">
        <f t="shared" ca="1" si="2"/>
        <v>0</v>
      </c>
      <c r="V45" s="306">
        <f t="shared" ca="1" si="3"/>
        <v>1.1588929878326002</v>
      </c>
      <c r="W45" s="304">
        <f t="shared" ca="1" si="4"/>
        <v>60.519220386036679</v>
      </c>
      <c r="Y45" s="314" t="str">
        <f t="shared" ca="1" si="22"/>
        <v/>
      </c>
      <c r="Z45" s="315" t="str">
        <f t="shared" ca="1" si="23"/>
        <v/>
      </c>
      <c r="AA45" s="316" t="str">
        <f t="shared" ca="1" si="24"/>
        <v/>
      </c>
      <c r="AC45" s="310" t="e">
        <f t="shared" ca="1" si="25"/>
        <v>#N/A</v>
      </c>
      <c r="AD45" s="323" t="e">
        <f t="shared" ca="1" si="26"/>
        <v>#N/A</v>
      </c>
      <c r="AE45" s="324">
        <f t="shared" ca="1" si="5"/>
        <v>554.61392356796614</v>
      </c>
      <c r="AG45" s="306">
        <f t="shared" ca="1" si="27"/>
        <v>-32.996697223310377</v>
      </c>
      <c r="AH45" s="304">
        <f t="shared" ca="1" si="28"/>
        <v>-23.421604094961594</v>
      </c>
    </row>
    <row r="46" spans="1:34" x14ac:dyDescent="0.2">
      <c r="A46" s="347">
        <f t="shared" ca="1" si="6"/>
        <v>0.01</v>
      </c>
      <c r="B46" s="304">
        <f t="shared" ca="1" si="7"/>
        <v>3.6199999999999912</v>
      </c>
      <c r="D46" s="306">
        <f t="shared" ca="1" si="8"/>
        <v>-5.0760872514375857</v>
      </c>
      <c r="E46" s="307">
        <f t="shared" ca="1" si="9"/>
        <v>-32.572346194474932</v>
      </c>
      <c r="F46" s="304">
        <f t="shared" ca="1" si="10"/>
        <v>32.965503157041795</v>
      </c>
      <c r="G46" s="306">
        <f t="shared" ca="1" si="11"/>
        <v>34.707791131263726</v>
      </c>
      <c r="H46" s="307">
        <f t="shared" ca="1" si="12"/>
        <v>155.53964187522274</v>
      </c>
      <c r="I46" s="304">
        <f t="shared" ca="1" si="13"/>
        <v>159.36502426782351</v>
      </c>
      <c r="J46" s="306">
        <f t="shared" ca="1" si="14"/>
        <v>114.01320140207901</v>
      </c>
      <c r="K46" s="307">
        <f t="shared" ca="1" si="15"/>
        <v>556.17094860402813</v>
      </c>
      <c r="L46" s="304">
        <f t="shared" ca="1" si="0"/>
        <v>567.73685292136486</v>
      </c>
      <c r="M46" s="306">
        <f t="shared" ca="1" si="16"/>
        <v>1.3512488262467419</v>
      </c>
      <c r="N46" s="304">
        <f t="shared" ca="1" si="17"/>
        <v>77.420854815944608</v>
      </c>
      <c r="P46" s="310">
        <f t="shared" ca="1" si="18"/>
        <v>3</v>
      </c>
      <c r="Q46" s="304">
        <f t="shared" ca="1" si="19"/>
        <v>0</v>
      </c>
      <c r="R46" s="306">
        <f t="shared" ca="1" si="20"/>
        <v>0</v>
      </c>
      <c r="S46" s="307">
        <f t="shared" ca="1" si="21"/>
        <v>2.5949999999999998</v>
      </c>
      <c r="T46" s="304">
        <f t="shared" ca="1" si="1"/>
        <v>25.456949999999999</v>
      </c>
      <c r="U46" s="311">
        <f t="shared" ca="1" si="2"/>
        <v>0</v>
      </c>
      <c r="V46" s="306">
        <f t="shared" ca="1" si="3"/>
        <v>1.1587124201055352</v>
      </c>
      <c r="W46" s="304">
        <f t="shared" ca="1" si="4"/>
        <v>60.260753526889673</v>
      </c>
      <c r="Y46" s="314" t="str">
        <f t="shared" ca="1" si="22"/>
        <v/>
      </c>
      <c r="Z46" s="315" t="str">
        <f t="shared" ca="1" si="23"/>
        <v/>
      </c>
      <c r="AA46" s="316" t="str">
        <f t="shared" ca="1" si="24"/>
        <v/>
      </c>
      <c r="AC46" s="310" t="e">
        <f t="shared" ca="1" si="25"/>
        <v>#N/A</v>
      </c>
      <c r="AD46" s="323" t="e">
        <f t="shared" ca="1" si="26"/>
        <v>#N/A</v>
      </c>
      <c r="AE46" s="324">
        <f t="shared" ca="1" si="5"/>
        <v>556.17094860402813</v>
      </c>
      <c r="AG46" s="306">
        <f t="shared" ca="1" si="27"/>
        <v>-32.896280102179617</v>
      </c>
      <c r="AH46" s="304">
        <f t="shared" ca="1" si="28"/>
        <v>-23.321472210418762</v>
      </c>
    </row>
    <row r="47" spans="1:34" x14ac:dyDescent="0.2">
      <c r="A47" s="347">
        <f t="shared" ca="1" si="6"/>
        <v>0.01</v>
      </c>
      <c r="B47" s="304">
        <f t="shared" ca="1" si="7"/>
        <v>3.629999999999991</v>
      </c>
      <c r="D47" s="306">
        <f t="shared" ca="1" si="8"/>
        <v>-5.0574448758037578</v>
      </c>
      <c r="E47" s="307">
        <f t="shared" ca="1" si="9"/>
        <v>-32.47445484275206</v>
      </c>
      <c r="F47" s="304">
        <f t="shared" ca="1" si="10"/>
        <v>32.865908872351852</v>
      </c>
      <c r="G47" s="306">
        <f t="shared" ca="1" si="11"/>
        <v>34.657216682505691</v>
      </c>
      <c r="H47" s="307">
        <f t="shared" ca="1" si="12"/>
        <v>155.21489732679521</v>
      </c>
      <c r="I47" s="304">
        <f t="shared" ca="1" si="13"/>
        <v>159.03706178229567</v>
      </c>
      <c r="J47" s="306">
        <f t="shared" ca="1" si="14"/>
        <v>114.36002644114785</v>
      </c>
      <c r="K47" s="307">
        <f t="shared" ca="1" si="15"/>
        <v>557.72472130003825</v>
      </c>
      <c r="L47" s="304">
        <f t="shared" ca="1" si="0"/>
        <v>569.32862249919015</v>
      </c>
      <c r="M47" s="306">
        <f t="shared" ca="1" si="16"/>
        <v>1.3511144864684566</v>
      </c>
      <c r="N47" s="304">
        <f t="shared" ca="1" si="17"/>
        <v>77.413157713628138</v>
      </c>
      <c r="P47" s="310">
        <f t="shared" ca="1" si="18"/>
        <v>3</v>
      </c>
      <c r="Q47" s="304">
        <f t="shared" ca="1" si="19"/>
        <v>0</v>
      </c>
      <c r="R47" s="306">
        <f t="shared" ca="1" si="20"/>
        <v>0</v>
      </c>
      <c r="S47" s="307">
        <f t="shared" ca="1" si="21"/>
        <v>2.5949999999999998</v>
      </c>
      <c r="T47" s="304">
        <f t="shared" ca="1" si="1"/>
        <v>25.456949999999999</v>
      </c>
      <c r="U47" s="311">
        <f t="shared" ca="1" si="2"/>
        <v>0</v>
      </c>
      <c r="V47" s="306">
        <f t="shared" ca="1" si="3"/>
        <v>1.1585322568178313</v>
      </c>
      <c r="W47" s="304">
        <f t="shared" ca="1" si="4"/>
        <v>60.003652428211609</v>
      </c>
      <c r="Y47" s="314" t="str">
        <f t="shared" ca="1" si="22"/>
        <v/>
      </c>
      <c r="Z47" s="315" t="str">
        <f t="shared" ca="1" si="23"/>
        <v/>
      </c>
      <c r="AA47" s="316" t="str">
        <f t="shared" ca="1" si="24"/>
        <v/>
      </c>
      <c r="AC47" s="310" t="e">
        <f t="shared" ca="1" si="25"/>
        <v>#N/A</v>
      </c>
      <c r="AD47" s="323" t="e">
        <f t="shared" ca="1" si="26"/>
        <v>#N/A</v>
      </c>
      <c r="AE47" s="324">
        <f t="shared" ca="1" si="5"/>
        <v>557.72472130003825</v>
      </c>
      <c r="AG47" s="306">
        <f t="shared" ca="1" si="27"/>
        <v>-32.796392061274254</v>
      </c>
      <c r="AH47" s="304">
        <f t="shared" ca="1" si="28"/>
        <v>-23.221870337915096</v>
      </c>
    </row>
    <row r="48" spans="1:34" x14ac:dyDescent="0.2">
      <c r="A48" s="347">
        <f t="shared" ca="1" si="6"/>
        <v>0.01</v>
      </c>
      <c r="B48" s="304">
        <f t="shared" ca="1" si="7"/>
        <v>3.6399999999999908</v>
      </c>
      <c r="D48" s="306">
        <f t="shared" ca="1" si="8"/>
        <v>-5.0388991073465164</v>
      </c>
      <c r="E48" s="307">
        <f t="shared" ca="1" si="9"/>
        <v>-32.377080754112171</v>
      </c>
      <c r="F48" s="304">
        <f t="shared" ca="1" si="10"/>
        <v>32.766840897045881</v>
      </c>
      <c r="G48" s="306">
        <f t="shared" ca="1" si="11"/>
        <v>34.606827691432223</v>
      </c>
      <c r="H48" s="307">
        <f t="shared" ca="1" si="12"/>
        <v>154.8911265192541</v>
      </c>
      <c r="I48" s="304">
        <f t="shared" ca="1" si="13"/>
        <v>158.71009292816908</v>
      </c>
      <c r="J48" s="306">
        <f t="shared" ca="1" si="14"/>
        <v>114.70634666301754</v>
      </c>
      <c r="K48" s="307">
        <f t="shared" ca="1" si="15"/>
        <v>559.27525141926856</v>
      </c>
      <c r="L48" s="304">
        <f t="shared" ca="1" si="0"/>
        <v>570.91711553855384</v>
      </c>
      <c r="M48" s="306">
        <f t="shared" ca="1" si="16"/>
        <v>1.35097978888607</v>
      </c>
      <c r="N48" s="304">
        <f t="shared" ca="1" si="17"/>
        <v>77.405440110646765</v>
      </c>
      <c r="P48" s="310">
        <f t="shared" ca="1" si="18"/>
        <v>3</v>
      </c>
      <c r="Q48" s="304">
        <f t="shared" ca="1" si="19"/>
        <v>0</v>
      </c>
      <c r="R48" s="306">
        <f t="shared" ca="1" si="20"/>
        <v>0</v>
      </c>
      <c r="S48" s="307">
        <f t="shared" ca="1" si="21"/>
        <v>2.5949999999999998</v>
      </c>
      <c r="T48" s="304">
        <f t="shared" ca="1" si="1"/>
        <v>25.456949999999999</v>
      </c>
      <c r="U48" s="311">
        <f t="shared" ca="1" si="2"/>
        <v>0</v>
      </c>
      <c r="V48" s="306">
        <f t="shared" ca="1" si="3"/>
        <v>1.1583524966604737</v>
      </c>
      <c r="W48" s="304">
        <f t="shared" ca="1" si="4"/>
        <v>59.747907553910608</v>
      </c>
      <c r="Y48" s="314" t="str">
        <f t="shared" ca="1" si="22"/>
        <v/>
      </c>
      <c r="Z48" s="315" t="str">
        <f t="shared" ca="1" si="23"/>
        <v/>
      </c>
      <c r="AA48" s="316" t="str">
        <f t="shared" ca="1" si="24"/>
        <v/>
      </c>
      <c r="AC48" s="310" t="e">
        <f t="shared" ca="1" si="25"/>
        <v>#N/A</v>
      </c>
      <c r="AD48" s="323" t="e">
        <f t="shared" ca="1" si="26"/>
        <v>#N/A</v>
      </c>
      <c r="AE48" s="324">
        <f t="shared" ca="1" si="5"/>
        <v>559.27525141926856</v>
      </c>
      <c r="AG48" s="306">
        <f t="shared" ca="1" si="27"/>
        <v>-32.697029390003166</v>
      </c>
      <c r="AH48" s="304">
        <f t="shared" ca="1" si="28"/>
        <v>-23.122794770023745</v>
      </c>
    </row>
    <row r="49" spans="1:34" x14ac:dyDescent="0.2">
      <c r="A49" s="347">
        <f t="shared" ca="1" si="6"/>
        <v>0.01</v>
      </c>
      <c r="B49" s="304">
        <f t="shared" ca="1" si="7"/>
        <v>3.6499999999999906</v>
      </c>
      <c r="D49" s="306">
        <f t="shared" ca="1" si="8"/>
        <v>-5.0204492676139258</v>
      </c>
      <c r="E49" s="307">
        <f t="shared" ca="1" si="9"/>
        <v>-32.28022031684241</v>
      </c>
      <c r="F49" s="304">
        <f t="shared" ca="1" si="10"/>
        <v>32.668295556281642</v>
      </c>
      <c r="G49" s="306">
        <f t="shared" ca="1" si="11"/>
        <v>34.556623198756085</v>
      </c>
      <c r="H49" s="307">
        <f t="shared" ca="1" si="12"/>
        <v>154.56832431608566</v>
      </c>
      <c r="I49" s="304">
        <f t="shared" ca="1" si="13"/>
        <v>158.384112488543</v>
      </c>
      <c r="J49" s="306">
        <f t="shared" ca="1" si="14"/>
        <v>115.05216391746848</v>
      </c>
      <c r="K49" s="307">
        <f t="shared" ca="1" si="15"/>
        <v>560.82254867344523</v>
      </c>
      <c r="L49" s="304">
        <f t="shared" ca="1" si="0"/>
        <v>572.50234193640722</v>
      </c>
      <c r="M49" s="306">
        <f t="shared" ca="1" si="16"/>
        <v>1.350844732651258</v>
      </c>
      <c r="N49" s="304">
        <f t="shared" ca="1" si="17"/>
        <v>77.397701958395118</v>
      </c>
      <c r="P49" s="310">
        <f t="shared" ca="1" si="18"/>
        <v>3</v>
      </c>
      <c r="Q49" s="304">
        <f t="shared" ca="1" si="19"/>
        <v>0</v>
      </c>
      <c r="R49" s="306">
        <f t="shared" ca="1" si="20"/>
        <v>0</v>
      </c>
      <c r="S49" s="307">
        <f t="shared" ca="1" si="21"/>
        <v>2.5949999999999998</v>
      </c>
      <c r="T49" s="304">
        <f t="shared" ca="1" si="1"/>
        <v>25.456949999999999</v>
      </c>
      <c r="U49" s="311">
        <f t="shared" ca="1" si="2"/>
        <v>0</v>
      </c>
      <c r="V49" s="306">
        <f t="shared" ca="1" si="3"/>
        <v>1.1581731383315408</v>
      </c>
      <c r="W49" s="304">
        <f t="shared" ca="1" si="4"/>
        <v>59.493509451680488</v>
      </c>
      <c r="Y49" s="314" t="str">
        <f t="shared" ca="1" si="22"/>
        <v/>
      </c>
      <c r="Z49" s="315" t="str">
        <f t="shared" ca="1" si="23"/>
        <v/>
      </c>
      <c r="AA49" s="316" t="str">
        <f t="shared" ca="1" si="24"/>
        <v/>
      </c>
      <c r="AC49" s="310" t="e">
        <f t="shared" ca="1" si="25"/>
        <v>#N/A</v>
      </c>
      <c r="AD49" s="323" t="e">
        <f t="shared" ca="1" si="26"/>
        <v>#N/A</v>
      </c>
      <c r="AE49" s="324">
        <f t="shared" ca="1" si="5"/>
        <v>560.82254867344523</v>
      </c>
      <c r="AG49" s="306">
        <f t="shared" ca="1" si="27"/>
        <v>-32.598188410392311</v>
      </c>
      <c r="AH49" s="304">
        <f t="shared" ca="1" si="28"/>
        <v>-23.024241831950139</v>
      </c>
    </row>
    <row r="50" spans="1:34" x14ac:dyDescent="0.2">
      <c r="A50" s="347">
        <f t="shared" ca="1" si="6"/>
        <v>0.01</v>
      </c>
      <c r="B50" s="304">
        <f t="shared" ca="1" si="7"/>
        <v>3.6599999999999904</v>
      </c>
      <c r="D50" s="306">
        <f t="shared" ca="1" si="8"/>
        <v>-5.0020946841107126</v>
      </c>
      <c r="E50" s="307">
        <f t="shared" ca="1" si="9"/>
        <v>-32.183869950962809</v>
      </c>
      <c r="F50" s="304">
        <f t="shared" ca="1" si="10"/>
        <v>32.57026920750419</v>
      </c>
      <c r="G50" s="306">
        <f t="shared" ca="1" si="11"/>
        <v>34.506602251914977</v>
      </c>
      <c r="H50" s="307">
        <f t="shared" ca="1" si="12"/>
        <v>154.24648561657602</v>
      </c>
      <c r="I50" s="304">
        <f t="shared" ca="1" si="13"/>
        <v>158.05911528297398</v>
      </c>
      <c r="J50" s="306">
        <f t="shared" ca="1" si="14"/>
        <v>115.39748004472183</v>
      </c>
      <c r="K50" s="307">
        <f t="shared" ca="1" si="15"/>
        <v>562.36662272310855</v>
      </c>
      <c r="L50" s="304">
        <f t="shared" ca="1" si="0"/>
        <v>574.08431153765821</v>
      </c>
      <c r="M50" s="306">
        <f t="shared" ca="1" si="16"/>
        <v>1.3507093169122451</v>
      </c>
      <c r="N50" s="304">
        <f t="shared" ca="1" si="17"/>
        <v>77.389943208070022</v>
      </c>
      <c r="P50" s="310">
        <f t="shared" ca="1" si="18"/>
        <v>3</v>
      </c>
      <c r="Q50" s="304">
        <f t="shared" ca="1" si="19"/>
        <v>0</v>
      </c>
      <c r="R50" s="306">
        <f t="shared" ca="1" si="20"/>
        <v>0</v>
      </c>
      <c r="S50" s="307">
        <f t="shared" ca="1" si="21"/>
        <v>2.5949999999999998</v>
      </c>
      <c r="T50" s="304">
        <f t="shared" ca="1" si="1"/>
        <v>25.456949999999999</v>
      </c>
      <c r="U50" s="311">
        <f t="shared" ca="1" si="2"/>
        <v>0</v>
      </c>
      <c r="V50" s="306">
        <f t="shared" ca="1" si="3"/>
        <v>1.1579941805361531</v>
      </c>
      <c r="W50" s="304">
        <f t="shared" ca="1" si="4"/>
        <v>59.240448752117089</v>
      </c>
      <c r="Y50" s="314" t="str">
        <f t="shared" ca="1" si="22"/>
        <v/>
      </c>
      <c r="Z50" s="315" t="str">
        <f t="shared" ca="1" si="23"/>
        <v/>
      </c>
      <c r="AA50" s="316" t="str">
        <f t="shared" ca="1" si="24"/>
        <v/>
      </c>
      <c r="AC50" s="310" t="e">
        <f t="shared" ca="1" si="25"/>
        <v>#N/A</v>
      </c>
      <c r="AD50" s="323" t="e">
        <f t="shared" ca="1" si="26"/>
        <v>#N/A</v>
      </c>
      <c r="AE50" s="324">
        <f t="shared" ca="1" si="5"/>
        <v>562.36662272310855</v>
      </c>
      <c r="AG50" s="306">
        <f t="shared" ca="1" si="27"/>
        <v>-32.499865476739714</v>
      </c>
      <c r="AH50" s="304">
        <f t="shared" ca="1" si="28"/>
        <v>-22.926207881187089</v>
      </c>
    </row>
    <row r="51" spans="1:34" x14ac:dyDescent="0.2">
      <c r="A51" s="347">
        <f t="shared" ca="1" si="6"/>
        <v>0.01</v>
      </c>
      <c r="B51" s="304">
        <f t="shared" ca="1" si="7"/>
        <v>3.6699999999999902</v>
      </c>
      <c r="D51" s="306">
        <f t="shared" ca="1" si="8"/>
        <v>-4.9838346902354198</v>
      </c>
      <c r="E51" s="307">
        <f t="shared" ca="1" si="9"/>
        <v>-32.08802610789153</v>
      </c>
      <c r="F51" s="304">
        <f t="shared" ca="1" si="10"/>
        <v>32.472758240105236</v>
      </c>
      <c r="G51" s="306">
        <f t="shared" ca="1" si="11"/>
        <v>34.456763905012622</v>
      </c>
      <c r="H51" s="307">
        <f t="shared" ca="1" si="12"/>
        <v>153.92560535549711</v>
      </c>
      <c r="I51" s="304">
        <f t="shared" ca="1" si="13"/>
        <v>157.73509616715623</v>
      </c>
      <c r="J51" s="306">
        <f t="shared" ca="1" si="14"/>
        <v>115.74229687550647</v>
      </c>
      <c r="K51" s="307">
        <f t="shared" ca="1" si="15"/>
        <v>563.90748317796897</v>
      </c>
      <c r="L51" s="304">
        <f t="shared" ca="1" si="0"/>
        <v>575.66303413553419</v>
      </c>
      <c r="M51" s="306">
        <f t="shared" ca="1" si="16"/>
        <v>1.3505735408137896</v>
      </c>
      <c r="N51" s="304">
        <f t="shared" ca="1" si="17"/>
        <v>77.38216381066978</v>
      </c>
      <c r="P51" s="310">
        <f t="shared" ca="1" si="18"/>
        <v>3</v>
      </c>
      <c r="Q51" s="304">
        <f t="shared" ca="1" si="19"/>
        <v>0</v>
      </c>
      <c r="R51" s="306">
        <f t="shared" ca="1" si="20"/>
        <v>0</v>
      </c>
      <c r="S51" s="307">
        <f t="shared" ca="1" si="21"/>
        <v>2.5949999999999998</v>
      </c>
      <c r="T51" s="304">
        <f t="shared" ca="1" si="1"/>
        <v>25.456949999999999</v>
      </c>
      <c r="U51" s="311">
        <f t="shared" ca="1" si="2"/>
        <v>0</v>
      </c>
      <c r="V51" s="306">
        <f t="shared" ca="1" si="3"/>
        <v>1.1578156219864244</v>
      </c>
      <c r="W51" s="304">
        <f t="shared" ca="1" si="4"/>
        <v>58.988716167845226</v>
      </c>
      <c r="Y51" s="314" t="str">
        <f t="shared" ca="1" si="22"/>
        <v/>
      </c>
      <c r="Z51" s="315" t="str">
        <f t="shared" ca="1" si="23"/>
        <v/>
      </c>
      <c r="AA51" s="316" t="str">
        <f t="shared" ca="1" si="24"/>
        <v/>
      </c>
      <c r="AC51" s="310" t="e">
        <f t="shared" ca="1" si="25"/>
        <v>#N/A</v>
      </c>
      <c r="AD51" s="323" t="e">
        <f t="shared" ca="1" si="26"/>
        <v>#N/A</v>
      </c>
      <c r="AE51" s="324">
        <f t="shared" ca="1" si="5"/>
        <v>563.90748317796897</v>
      </c>
      <c r="AG51" s="306">
        <f t="shared" ca="1" si="27"/>
        <v>-32.402056975274832</v>
      </c>
      <c r="AH51" s="304">
        <f t="shared" ca="1" si="28"/>
        <v>-22.828689307174219</v>
      </c>
    </row>
    <row r="52" spans="1:34" x14ac:dyDescent="0.2">
      <c r="A52" s="347">
        <f t="shared" ca="1" si="6"/>
        <v>0.01</v>
      </c>
      <c r="B52" s="304">
        <f t="shared" ca="1" si="7"/>
        <v>3.6799999999999899</v>
      </c>
      <c r="D52" s="306">
        <f t="shared" ca="1" si="8"/>
        <v>-4.9656686252183198</v>
      </c>
      <c r="E52" s="307">
        <f t="shared" ca="1" si="9"/>
        <v>-31.992685270114279</v>
      </c>
      <c r="F52" s="304">
        <f t="shared" ca="1" si="10"/>
        <v>32.375759075086791</v>
      </c>
      <c r="G52" s="306">
        <f t="shared" ca="1" si="11"/>
        <v>34.407107218760437</v>
      </c>
      <c r="H52" s="307">
        <f t="shared" ca="1" si="12"/>
        <v>153.60567850279597</v>
      </c>
      <c r="I52" s="304">
        <f t="shared" ca="1" si="13"/>
        <v>157.4120500326058</v>
      </c>
      <c r="J52" s="306">
        <f t="shared" ca="1" si="14"/>
        <v>116.08661623112533</v>
      </c>
      <c r="K52" s="307">
        <f t="shared" ca="1" si="15"/>
        <v>565.44513959726044</v>
      </c>
      <c r="L52" s="304">
        <f t="shared" ca="1" si="0"/>
        <v>577.23851947194055</v>
      </c>
      <c r="M52" s="306">
        <f t="shared" ca="1" si="16"/>
        <v>1.3504374034971693</v>
      </c>
      <c r="N52" s="304">
        <f t="shared" ca="1" si="17"/>
        <v>77.374363716993201</v>
      </c>
      <c r="P52" s="310">
        <f t="shared" ca="1" si="18"/>
        <v>3</v>
      </c>
      <c r="Q52" s="304">
        <f t="shared" ca="1" si="19"/>
        <v>0</v>
      </c>
      <c r="R52" s="306">
        <f t="shared" ca="1" si="20"/>
        <v>0</v>
      </c>
      <c r="S52" s="307">
        <f t="shared" ca="1" si="21"/>
        <v>2.5949999999999998</v>
      </c>
      <c r="T52" s="304">
        <f t="shared" ca="1" si="1"/>
        <v>25.456949999999999</v>
      </c>
      <c r="U52" s="311">
        <f t="shared" ca="1" si="2"/>
        <v>0</v>
      </c>
      <c r="V52" s="306">
        <f t="shared" ca="1" si="3"/>
        <v>1.1576374614014109</v>
      </c>
      <c r="W52" s="304">
        <f t="shared" ca="1" si="4"/>
        <v>58.738302492656437</v>
      </c>
      <c r="Y52" s="314" t="str">
        <f t="shared" ca="1" si="22"/>
        <v/>
      </c>
      <c r="Z52" s="315" t="str">
        <f t="shared" ca="1" si="23"/>
        <v/>
      </c>
      <c r="AA52" s="316" t="str">
        <f t="shared" ca="1" si="24"/>
        <v/>
      </c>
      <c r="AC52" s="310" t="e">
        <f t="shared" ca="1" si="25"/>
        <v>#N/A</v>
      </c>
      <c r="AD52" s="323" t="e">
        <f t="shared" ca="1" si="26"/>
        <v>#N/A</v>
      </c>
      <c r="AE52" s="324">
        <f t="shared" ca="1" si="5"/>
        <v>565.44513959726044</v>
      </c>
      <c r="AG52" s="306">
        <f t="shared" ca="1" si="27"/>
        <v>-32.304759323822083</v>
      </c>
      <c r="AH52" s="304">
        <f t="shared" ca="1" si="28"/>
        <v>-22.731682530961553</v>
      </c>
    </row>
    <row r="53" spans="1:34" x14ac:dyDescent="0.2">
      <c r="A53" s="347">
        <f t="shared" ca="1" si="6"/>
        <v>0.01</v>
      </c>
      <c r="B53" s="304">
        <f t="shared" ca="1" si="7"/>
        <v>3.6899999999999897</v>
      </c>
      <c r="D53" s="306">
        <f t="shared" ca="1" si="8"/>
        <v>-4.9475958340601141</v>
      </c>
      <c r="E53" s="307">
        <f t="shared" ca="1" si="9"/>
        <v>-31.897843950857713</v>
      </c>
      <c r="F53" s="304">
        <f t="shared" ca="1" si="10"/>
        <v>32.279268164728876</v>
      </c>
      <c r="G53" s="306">
        <f t="shared" ca="1" si="11"/>
        <v>34.357631260419836</v>
      </c>
      <c r="H53" s="307">
        <f t="shared" ca="1" si="12"/>
        <v>153.28670006328738</v>
      </c>
      <c r="I53" s="304">
        <f t="shared" ca="1" si="13"/>
        <v>157.08997180634799</v>
      </c>
      <c r="J53" s="306">
        <f t="shared" ca="1" si="14"/>
        <v>116.43043992352123</v>
      </c>
      <c r="K53" s="307">
        <f t="shared" ca="1" si="15"/>
        <v>566.97960149009089</v>
      </c>
      <c r="L53" s="304">
        <f t="shared" ca="1" si="0"/>
        <v>578.810777237818</v>
      </c>
      <c r="M53" s="306">
        <f t="shared" ca="1" si="16"/>
        <v>1.3503009041001666</v>
      </c>
      <c r="N53" s="304">
        <f t="shared" ca="1" si="17"/>
        <v>77.366542877638864</v>
      </c>
      <c r="P53" s="310">
        <f t="shared" ca="1" si="18"/>
        <v>3</v>
      </c>
      <c r="Q53" s="304">
        <f t="shared" ca="1" si="19"/>
        <v>0</v>
      </c>
      <c r="R53" s="306">
        <f t="shared" ca="1" si="20"/>
        <v>0</v>
      </c>
      <c r="S53" s="307">
        <f t="shared" ca="1" si="21"/>
        <v>2.5949999999999998</v>
      </c>
      <c r="T53" s="304">
        <f t="shared" ca="1" si="1"/>
        <v>25.456949999999999</v>
      </c>
      <c r="U53" s="311">
        <f t="shared" ca="1" si="2"/>
        <v>0</v>
      </c>
      <c r="V53" s="306">
        <f t="shared" ca="1" si="3"/>
        <v>1.1574596975070623</v>
      </c>
      <c r="W53" s="304">
        <f t="shared" ca="1" si="4"/>
        <v>58.489198600657332</v>
      </c>
      <c r="Y53" s="314" t="str">
        <f t="shared" ca="1" si="22"/>
        <v/>
      </c>
      <c r="Z53" s="315" t="str">
        <f t="shared" ca="1" si="23"/>
        <v/>
      </c>
      <c r="AA53" s="316" t="str">
        <f t="shared" ca="1" si="24"/>
        <v/>
      </c>
      <c r="AC53" s="310" t="e">
        <f t="shared" ca="1" si="25"/>
        <v>#N/A</v>
      </c>
      <c r="AD53" s="323" t="e">
        <f t="shared" ca="1" si="26"/>
        <v>#N/A</v>
      </c>
      <c r="AE53" s="324">
        <f t="shared" ca="1" si="5"/>
        <v>566.97960149009089</v>
      </c>
      <c r="AG53" s="306">
        <f t="shared" ca="1" si="27"/>
        <v>-32.207968971468432</v>
      </c>
      <c r="AH53" s="304">
        <f t="shared" ca="1" si="28"/>
        <v>-22.635184004877242</v>
      </c>
    </row>
    <row r="54" spans="1:34" x14ac:dyDescent="0.2">
      <c r="A54" s="347">
        <f t="shared" ca="1" si="6"/>
        <v>0.01</v>
      </c>
      <c r="B54" s="304">
        <f t="shared" ca="1" si="7"/>
        <v>3.6999999999999895</v>
      </c>
      <c r="D54" s="306">
        <f t="shared" ca="1" si="8"/>
        <v>-4.9296156674713743</v>
      </c>
      <c r="E54" s="307">
        <f t="shared" ca="1" si="9"/>
        <v>-31.803498693766848</v>
      </c>
      <c r="F54" s="304">
        <f t="shared" ca="1" si="10"/>
        <v>32.183281992261271</v>
      </c>
      <c r="G54" s="306">
        <f t="shared" ca="1" si="11"/>
        <v>34.308335103745122</v>
      </c>
      <c r="H54" s="307">
        <f t="shared" ca="1" si="12"/>
        <v>152.96866507634971</v>
      </c>
      <c r="I54" s="304">
        <f t="shared" ca="1" si="13"/>
        <v>156.76885645060796</v>
      </c>
      <c r="J54" s="306">
        <f t="shared" ca="1" si="14"/>
        <v>116.77376975534206</v>
      </c>
      <c r="K54" s="307">
        <f t="shared" ca="1" si="15"/>
        <v>568.51087831578911</v>
      </c>
      <c r="L54" s="304">
        <f t="shared" ca="1" si="0"/>
        <v>580.37981707349513</v>
      </c>
      <c r="M54" s="306">
        <f t="shared" ca="1" si="16"/>
        <v>1.3501640417570526</v>
      </c>
      <c r="N54" s="304">
        <f t="shared" ca="1" si="17"/>
        <v>77.358701243004163</v>
      </c>
      <c r="P54" s="310">
        <f t="shared" ca="1" si="18"/>
        <v>3</v>
      </c>
      <c r="Q54" s="304">
        <f t="shared" ca="1" si="19"/>
        <v>0</v>
      </c>
      <c r="R54" s="306">
        <f t="shared" ca="1" si="20"/>
        <v>0</v>
      </c>
      <c r="S54" s="307">
        <f t="shared" ca="1" si="21"/>
        <v>2.5949999999999998</v>
      </c>
      <c r="T54" s="304">
        <f t="shared" ca="1" si="1"/>
        <v>25.456949999999999</v>
      </c>
      <c r="U54" s="311">
        <f t="shared" ca="1" si="2"/>
        <v>0</v>
      </c>
      <c r="V54" s="306">
        <f t="shared" ca="1" si="3"/>
        <v>1.1572823290361731</v>
      </c>
      <c r="W54" s="304">
        <f t="shared" ca="1" si="4"/>
        <v>58.241395445428374</v>
      </c>
      <c r="Y54" s="314" t="str">
        <f t="shared" ca="1" si="22"/>
        <v/>
      </c>
      <c r="Z54" s="315" t="str">
        <f t="shared" ca="1" si="23"/>
        <v/>
      </c>
      <c r="AA54" s="316" t="str">
        <f t="shared" ca="1" si="24"/>
        <v/>
      </c>
      <c r="AC54" s="310" t="e">
        <f t="shared" ca="1" si="25"/>
        <v>#N/A</v>
      </c>
      <c r="AD54" s="323" t="e">
        <f t="shared" ca="1" si="26"/>
        <v>#N/A</v>
      </c>
      <c r="AE54" s="324">
        <f t="shared" ca="1" si="5"/>
        <v>568.51087831578911</v>
      </c>
      <c r="AG54" s="306">
        <f t="shared" ca="1" si="27"/>
        <v>-32.111682398235153</v>
      </c>
      <c r="AH54" s="304">
        <f t="shared" ca="1" si="28"/>
        <v>-22.539190212199358</v>
      </c>
    </row>
    <row r="55" spans="1:34" x14ac:dyDescent="0.2">
      <c r="A55" s="347">
        <f t="shared" ca="1" si="6"/>
        <v>0.01</v>
      </c>
      <c r="B55" s="304">
        <f t="shared" ca="1" si="7"/>
        <v>3.7099999999999893</v>
      </c>
      <c r="D55" s="306">
        <f t="shared" ca="1" si="8"/>
        <v>-4.9117274818127337</v>
      </c>
      <c r="E55" s="307">
        <f t="shared" ca="1" si="9"/>
        <v>-31.709646072586523</v>
      </c>
      <c r="F55" s="304">
        <f t="shared" ca="1" si="10"/>
        <v>32.087797071539455</v>
      </c>
      <c r="G55" s="306">
        <f t="shared" ca="1" si="11"/>
        <v>34.259217828926992</v>
      </c>
      <c r="H55" s="307">
        <f t="shared" ca="1" si="12"/>
        <v>152.65156861562383</v>
      </c>
      <c r="I55" s="304">
        <f t="shared" ca="1" si="13"/>
        <v>156.44869896250458</v>
      </c>
      <c r="J55" s="306">
        <f t="shared" ca="1" si="14"/>
        <v>117.11660752000542</v>
      </c>
      <c r="K55" s="307">
        <f t="shared" ca="1" si="15"/>
        <v>570.03897948424901</v>
      </c>
      <c r="L55" s="304">
        <f t="shared" ca="1" si="0"/>
        <v>581.94564856903867</v>
      </c>
      <c r="M55" s="306">
        <f t="shared" ca="1" si="16"/>
        <v>1.350026815598574</v>
      </c>
      <c r="N55" s="304">
        <f t="shared" ca="1" si="17"/>
        <v>77.350838763284543</v>
      </c>
      <c r="P55" s="310">
        <f t="shared" ca="1" si="18"/>
        <v>3</v>
      </c>
      <c r="Q55" s="304">
        <f t="shared" ca="1" si="19"/>
        <v>0</v>
      </c>
      <c r="R55" s="306">
        <f t="shared" ca="1" si="20"/>
        <v>0</v>
      </c>
      <c r="S55" s="307">
        <f t="shared" ca="1" si="21"/>
        <v>2.5949999999999998</v>
      </c>
      <c r="T55" s="304">
        <f t="shared" ca="1" si="1"/>
        <v>25.456949999999999</v>
      </c>
      <c r="U55" s="311">
        <f t="shared" ca="1" si="2"/>
        <v>0</v>
      </c>
      <c r="V55" s="306">
        <f t="shared" ca="1" si="3"/>
        <v>1.157105354728335</v>
      </c>
      <c r="W55" s="304">
        <f t="shared" ca="1" si="4"/>
        <v>57.994884059192906</v>
      </c>
      <c r="Y55" s="314" t="str">
        <f t="shared" ca="1" si="22"/>
        <v/>
      </c>
      <c r="Z55" s="315" t="str">
        <f t="shared" ca="1" si="23"/>
        <v/>
      </c>
      <c r="AA55" s="316" t="str">
        <f t="shared" ca="1" si="24"/>
        <v/>
      </c>
      <c r="AC55" s="310" t="e">
        <f t="shared" ca="1" si="25"/>
        <v>#N/A</v>
      </c>
      <c r="AD55" s="323" t="e">
        <f t="shared" ca="1" si="26"/>
        <v>#N/A</v>
      </c>
      <c r="AE55" s="324">
        <f t="shared" ca="1" si="5"/>
        <v>570.03897948424901</v>
      </c>
      <c r="AG55" s="306">
        <f t="shared" ca="1" si="27"/>
        <v>-32.015896114753588</v>
      </c>
      <c r="AH55" s="304">
        <f t="shared" ca="1" si="28"/>
        <v>-22.443697666831746</v>
      </c>
    </row>
    <row r="56" spans="1:34" x14ac:dyDescent="0.2">
      <c r="A56" s="347">
        <f t="shared" ca="1" si="6"/>
        <v>0.01</v>
      </c>
      <c r="B56" s="304">
        <f t="shared" ca="1" si="7"/>
        <v>3.7199999999999891</v>
      </c>
      <c r="D56" s="306">
        <f t="shared" ca="1" si="8"/>
        <v>-4.8939306390357835</v>
      </c>
      <c r="E56" s="307">
        <f t="shared" ca="1" si="9"/>
        <v>-31.616282690846617</v>
      </c>
      <c r="F56" s="304">
        <f t="shared" ca="1" si="10"/>
        <v>31.992809946724289</v>
      </c>
      <c r="G56" s="306">
        <f t="shared" ca="1" si="11"/>
        <v>34.210278522536633</v>
      </c>
      <c r="H56" s="307">
        <f t="shared" ca="1" si="12"/>
        <v>152.33540578871538</v>
      </c>
      <c r="I56" s="304">
        <f t="shared" ca="1" si="13"/>
        <v>156.12949437374769</v>
      </c>
      <c r="J56" s="306">
        <f t="shared" ca="1" si="14"/>
        <v>117.45895500176273</v>
      </c>
      <c r="K56" s="307">
        <f t="shared" ca="1" si="15"/>
        <v>571.56391435627074</v>
      </c>
      <c r="L56" s="304">
        <f t="shared" ca="1" si="0"/>
        <v>583.50828126460078</v>
      </c>
      <c r="M56" s="306">
        <f t="shared" ca="1" si="16"/>
        <v>1.3498892247519361</v>
      </c>
      <c r="N56" s="304">
        <f t="shared" ca="1" si="17"/>
        <v>77.342955388472561</v>
      </c>
      <c r="P56" s="310">
        <f t="shared" ca="1" si="18"/>
        <v>3</v>
      </c>
      <c r="Q56" s="304">
        <f t="shared" ca="1" si="19"/>
        <v>0</v>
      </c>
      <c r="R56" s="306">
        <f t="shared" ca="1" si="20"/>
        <v>0</v>
      </c>
      <c r="S56" s="307">
        <f t="shared" ca="1" si="21"/>
        <v>2.5949999999999998</v>
      </c>
      <c r="T56" s="304">
        <f t="shared" ca="1" si="1"/>
        <v>25.456949999999999</v>
      </c>
      <c r="U56" s="311">
        <f t="shared" ca="1" si="2"/>
        <v>0</v>
      </c>
      <c r="V56" s="306">
        <f t="shared" ca="1" si="3"/>
        <v>1.1569287733298872</v>
      </c>
      <c r="W56" s="304">
        <f t="shared" ca="1" si="4"/>
        <v>57.749655551996305</v>
      </c>
      <c r="Y56" s="314" t="str">
        <f t="shared" ca="1" si="22"/>
        <v/>
      </c>
      <c r="Z56" s="315" t="str">
        <f t="shared" ca="1" si="23"/>
        <v/>
      </c>
      <c r="AA56" s="316" t="str">
        <f t="shared" ca="1" si="24"/>
        <v/>
      </c>
      <c r="AC56" s="310" t="e">
        <f t="shared" ca="1" si="25"/>
        <v>#N/A</v>
      </c>
      <c r="AD56" s="323" t="e">
        <f t="shared" ca="1" si="26"/>
        <v>#N/A</v>
      </c>
      <c r="AE56" s="324">
        <f t="shared" ca="1" si="5"/>
        <v>571.56391435627074</v>
      </c>
      <c r="AG56" s="306">
        <f t="shared" ca="1" si="27"/>
        <v>-31.920606661944788</v>
      </c>
      <c r="AH56" s="304">
        <f t="shared" ca="1" si="28"/>
        <v>-22.348702912983782</v>
      </c>
    </row>
    <row r="57" spans="1:34" x14ac:dyDescent="0.2">
      <c r="A57" s="347">
        <f t="shared" ca="1" si="6"/>
        <v>0.01</v>
      </c>
      <c r="B57" s="304">
        <f t="shared" ca="1" si="7"/>
        <v>3.7299999999999889</v>
      </c>
      <c r="D57" s="306">
        <f t="shared" ca="1" si="8"/>
        <v>-4.876224506624725</v>
      </c>
      <c r="E57" s="307">
        <f t="shared" ca="1" si="9"/>
        <v>-31.523405181551183</v>
      </c>
      <c r="F57" s="304">
        <f t="shared" ca="1" si="10"/>
        <v>31.898317191965713</v>
      </c>
      <c r="G57" s="306">
        <f t="shared" ca="1" si="11"/>
        <v>34.161516277470383</v>
      </c>
      <c r="H57" s="307">
        <f t="shared" ca="1" si="12"/>
        <v>152.02017173689987</v>
      </c>
      <c r="I57" s="304">
        <f t="shared" ca="1" si="13"/>
        <v>155.81123775033817</v>
      </c>
      <c r="J57" s="306">
        <f t="shared" ca="1" si="14"/>
        <v>117.80081397576276</v>
      </c>
      <c r="K57" s="307">
        <f t="shared" ca="1" si="15"/>
        <v>573.08569224389885</v>
      </c>
      <c r="L57" s="304">
        <f t="shared" ca="1" si="0"/>
        <v>585.06772465076301</v>
      </c>
      <c r="M57" s="306">
        <f t="shared" ca="1" si="16"/>
        <v>1.3497512683407886</v>
      </c>
      <c r="N57" s="304">
        <f t="shared" ca="1" si="17"/>
        <v>77.335051068357032</v>
      </c>
      <c r="P57" s="310">
        <f t="shared" ca="1" si="18"/>
        <v>3</v>
      </c>
      <c r="Q57" s="304">
        <f t="shared" ca="1" si="19"/>
        <v>0</v>
      </c>
      <c r="R57" s="306">
        <f t="shared" ca="1" si="20"/>
        <v>0</v>
      </c>
      <c r="S57" s="307">
        <f t="shared" ca="1" si="21"/>
        <v>2.5949999999999998</v>
      </c>
      <c r="T57" s="304">
        <f t="shared" ca="1" si="1"/>
        <v>25.456949999999999</v>
      </c>
      <c r="U57" s="311">
        <f t="shared" ca="1" si="2"/>
        <v>0</v>
      </c>
      <c r="V57" s="306">
        <f t="shared" ca="1" si="3"/>
        <v>1.1567525835938708</v>
      </c>
      <c r="W57" s="304">
        <f t="shared" ca="1" si="4"/>
        <v>57.505701110895252</v>
      </c>
      <c r="Y57" s="314" t="str">
        <f t="shared" ca="1" si="22"/>
        <v/>
      </c>
      <c r="Z57" s="315" t="str">
        <f t="shared" ca="1" si="23"/>
        <v/>
      </c>
      <c r="AA57" s="316" t="str">
        <f t="shared" ca="1" si="24"/>
        <v/>
      </c>
      <c r="AC57" s="310" t="e">
        <f t="shared" ca="1" si="25"/>
        <v>#N/A</v>
      </c>
      <c r="AD57" s="323" t="e">
        <f t="shared" ca="1" si="26"/>
        <v>#N/A</v>
      </c>
      <c r="AE57" s="324">
        <f t="shared" ca="1" si="5"/>
        <v>573.08569224389885</v>
      </c>
      <c r="AG57" s="306">
        <f t="shared" ca="1" si="27"/>
        <v>-31.82581061070319</v>
      </c>
      <c r="AH57" s="304">
        <f t="shared" ca="1" si="28"/>
        <v>-22.254202524854069</v>
      </c>
    </row>
    <row r="58" spans="1:34" x14ac:dyDescent="0.2">
      <c r="A58" s="347">
        <f t="shared" ca="1" si="6"/>
        <v>0.01</v>
      </c>
      <c r="B58" s="304">
        <f t="shared" ca="1" si="7"/>
        <v>3.7399999999999887</v>
      </c>
      <c r="D58" s="306">
        <f t="shared" ca="1" si="8"/>
        <v>-4.8586084575387254</v>
      </c>
      <c r="E58" s="307">
        <f t="shared" ca="1" si="9"/>
        <v>-31.431010206871413</v>
      </c>
      <c r="F58" s="304">
        <f t="shared" ca="1" si="10"/>
        <v>31.804315411090393</v>
      </c>
      <c r="G58" s="306">
        <f t="shared" ca="1" si="11"/>
        <v>34.112930192894993</v>
      </c>
      <c r="H58" s="307">
        <f t="shared" ca="1" si="12"/>
        <v>151.70586163483117</v>
      </c>
      <c r="I58" s="304">
        <f t="shared" ca="1" si="13"/>
        <v>155.49392419227146</v>
      </c>
      <c r="J58" s="306">
        <f t="shared" ca="1" si="14"/>
        <v>118.14218620811459</v>
      </c>
      <c r="K58" s="307">
        <f t="shared" ca="1" si="15"/>
        <v>574.6043224107575</v>
      </c>
      <c r="L58" s="304">
        <f t="shared" ca="1" si="0"/>
        <v>586.62398816887685</v>
      </c>
      <c r="M58" s="306">
        <f t="shared" ca="1" si="16"/>
        <v>1.3496129454852108</v>
      </c>
      <c r="N58" s="304">
        <f t="shared" ca="1" si="17"/>
        <v>77.327125752522235</v>
      </c>
      <c r="P58" s="310">
        <f t="shared" ca="1" si="18"/>
        <v>3</v>
      </c>
      <c r="Q58" s="304">
        <f t="shared" ca="1" si="19"/>
        <v>0</v>
      </c>
      <c r="R58" s="306">
        <f t="shared" ca="1" si="20"/>
        <v>0</v>
      </c>
      <c r="S58" s="307">
        <f t="shared" ca="1" si="21"/>
        <v>2.5949999999999998</v>
      </c>
      <c r="T58" s="304">
        <f t="shared" ca="1" si="1"/>
        <v>25.456949999999999</v>
      </c>
      <c r="U58" s="311">
        <f t="shared" ca="1" si="2"/>
        <v>0</v>
      </c>
      <c r="V58" s="306">
        <f t="shared" ca="1" si="3"/>
        <v>1.1565767842799808</v>
      </c>
      <c r="W58" s="304">
        <f t="shared" ca="1" si="4"/>
        <v>57.26301199915676</v>
      </c>
      <c r="Y58" s="314" t="str">
        <f t="shared" ca="1" si="22"/>
        <v/>
      </c>
      <c r="Z58" s="315" t="str">
        <f t="shared" ca="1" si="23"/>
        <v/>
      </c>
      <c r="AA58" s="316" t="str">
        <f t="shared" ca="1" si="24"/>
        <v/>
      </c>
      <c r="AC58" s="310" t="e">
        <f t="shared" ca="1" si="25"/>
        <v>#N/A</v>
      </c>
      <c r="AD58" s="323" t="e">
        <f t="shared" ca="1" si="26"/>
        <v>#N/A</v>
      </c>
      <c r="AE58" s="324">
        <f t="shared" ca="1" si="5"/>
        <v>574.6043224107575</v>
      </c>
      <c r="AG58" s="306">
        <f t="shared" ca="1" si="27"/>
        <v>-31.731504561584032</v>
      </c>
      <c r="AH58" s="304">
        <f t="shared" ca="1" si="28"/>
        <v>-22.160193106318019</v>
      </c>
    </row>
    <row r="59" spans="1:34" x14ac:dyDescent="0.2">
      <c r="A59" s="347">
        <f t="shared" ca="1" si="6"/>
        <v>0.01</v>
      </c>
      <c r="B59" s="304">
        <f t="shared" ca="1" si="7"/>
        <v>3.7499999999999885</v>
      </c>
      <c r="D59" s="306">
        <f t="shared" ca="1" si="8"/>
        <v>-4.8410818701549383</v>
      </c>
      <c r="E59" s="307">
        <f t="shared" ca="1" si="9"/>
        <v>-31.339094457842243</v>
      </c>
      <c r="F59" s="304">
        <f t="shared" ca="1" si="10"/>
        <v>31.710801237292969</v>
      </c>
      <c r="G59" s="306">
        <f t="shared" ca="1" si="11"/>
        <v>34.064519374193445</v>
      </c>
      <c r="H59" s="307">
        <f t="shared" ca="1" si="12"/>
        <v>151.39247069025274</v>
      </c>
      <c r="I59" s="304">
        <f t="shared" ca="1" si="13"/>
        <v>155.17754883324403</v>
      </c>
      <c r="J59" s="306">
        <f t="shared" ca="1" si="14"/>
        <v>118.48307345595003</v>
      </c>
      <c r="K59" s="307">
        <f t="shared" ca="1" si="15"/>
        <v>576.11981407238295</v>
      </c>
      <c r="L59" s="304">
        <f t="shared" ca="1" si="0"/>
        <v>588.17708121140288</v>
      </c>
      <c r="M59" s="306">
        <f t="shared" ca="1" si="16"/>
        <v>1.349474255301695</v>
      </c>
      <c r="N59" s="304">
        <f t="shared" ca="1" si="17"/>
        <v>77.319179390346875</v>
      </c>
      <c r="P59" s="310">
        <f t="shared" ca="1" si="18"/>
        <v>3</v>
      </c>
      <c r="Q59" s="304">
        <f t="shared" ca="1" si="19"/>
        <v>0</v>
      </c>
      <c r="R59" s="306">
        <f t="shared" ca="1" si="20"/>
        <v>0</v>
      </c>
      <c r="S59" s="307">
        <f t="shared" ca="1" si="21"/>
        <v>2.5949999999999998</v>
      </c>
      <c r="T59" s="304">
        <f t="shared" ca="1" si="1"/>
        <v>25.456949999999999</v>
      </c>
      <c r="U59" s="311">
        <f t="shared" ca="1" si="2"/>
        <v>0</v>
      </c>
      <c r="V59" s="306">
        <f t="shared" ca="1" si="3"/>
        <v>1.1564013741545192</v>
      </c>
      <c r="W59" s="304">
        <f t="shared" ca="1" si="4"/>
        <v>57.021579555466893</v>
      </c>
      <c r="Y59" s="314" t="str">
        <f t="shared" ca="1" si="22"/>
        <v/>
      </c>
      <c r="Z59" s="315" t="str">
        <f t="shared" ca="1" si="23"/>
        <v/>
      </c>
      <c r="AA59" s="316" t="str">
        <f t="shared" ca="1" si="24"/>
        <v/>
      </c>
      <c r="AC59" s="310" t="e">
        <f t="shared" ca="1" si="25"/>
        <v>#N/A</v>
      </c>
      <c r="AD59" s="323" t="e">
        <f t="shared" ca="1" si="26"/>
        <v>#N/A</v>
      </c>
      <c r="AE59" s="324">
        <f t="shared" ca="1" si="5"/>
        <v>576.11981407238295</v>
      </c>
      <c r="AG59" s="306">
        <f t="shared" ca="1" si="27"/>
        <v>-31.637685144494654</v>
      </c>
      <c r="AH59" s="304">
        <f t="shared" ca="1" si="28"/>
        <v>-22.066671290619176</v>
      </c>
    </row>
    <row r="60" spans="1:34" x14ac:dyDescent="0.2">
      <c r="A60" s="347">
        <f t="shared" ca="1" si="6"/>
        <v>0.01</v>
      </c>
      <c r="B60" s="304">
        <f t="shared" ca="1" si="7"/>
        <v>3.7599999999999882</v>
      </c>
      <c r="D60" s="306">
        <f t="shared" ca="1" si="8"/>
        <v>-4.8236441282122779</v>
      </c>
      <c r="E60" s="307">
        <f t="shared" ca="1" si="9"/>
        <v>-31.2476546540627</v>
      </c>
      <c r="F60" s="304">
        <f t="shared" ca="1" si="10"/>
        <v>31.617771332831211</v>
      </c>
      <c r="G60" s="306">
        <f t="shared" ca="1" si="11"/>
        <v>34.016282932911324</v>
      </c>
      <c r="H60" s="307">
        <f t="shared" ca="1" si="12"/>
        <v>151.0799941437121</v>
      </c>
      <c r="I60" s="304">
        <f t="shared" ca="1" si="13"/>
        <v>154.86210684036286</v>
      </c>
      <c r="J60" s="306">
        <f t="shared" ca="1" si="14"/>
        <v>118.82347746748556</v>
      </c>
      <c r="K60" s="307">
        <f t="shared" ca="1" si="15"/>
        <v>577.63217639655272</v>
      </c>
      <c r="L60" s="304">
        <f t="shared" ca="1" si="0"/>
        <v>589.72701312224478</v>
      </c>
      <c r="M60" s="306">
        <f t="shared" ca="1" si="16"/>
        <v>1.3493351969031322</v>
      </c>
      <c r="N60" s="304">
        <f t="shared" ca="1" si="17"/>
        <v>77.311211931003385</v>
      </c>
      <c r="P60" s="310">
        <f t="shared" ca="1" si="18"/>
        <v>3</v>
      </c>
      <c r="Q60" s="304">
        <f t="shared" ca="1" si="19"/>
        <v>0</v>
      </c>
      <c r="R60" s="306">
        <f t="shared" ca="1" si="20"/>
        <v>0</v>
      </c>
      <c r="S60" s="307">
        <f t="shared" ca="1" si="21"/>
        <v>2.5949999999999998</v>
      </c>
      <c r="T60" s="304">
        <f t="shared" ca="1" si="1"/>
        <v>25.456949999999999</v>
      </c>
      <c r="U60" s="311">
        <f t="shared" ca="1" si="2"/>
        <v>0</v>
      </c>
      <c r="V60" s="306">
        <f t="shared" ca="1" si="3"/>
        <v>1.1562263519903495</v>
      </c>
      <c r="W60" s="304">
        <f t="shared" ca="1" si="4"/>
        <v>56.781395193149216</v>
      </c>
      <c r="Y60" s="314" t="str">
        <f t="shared" ca="1" si="22"/>
        <v/>
      </c>
      <c r="Z60" s="315" t="str">
        <f t="shared" ca="1" si="23"/>
        <v/>
      </c>
      <c r="AA60" s="316" t="str">
        <f t="shared" ca="1" si="24"/>
        <v/>
      </c>
      <c r="AC60" s="310" t="e">
        <f t="shared" ca="1" si="25"/>
        <v>#N/A</v>
      </c>
      <c r="AD60" s="323" t="e">
        <f t="shared" ca="1" si="26"/>
        <v>#N/A</v>
      </c>
      <c r="AE60" s="324">
        <f t="shared" ca="1" si="5"/>
        <v>577.63217639655272</v>
      </c>
      <c r="AG60" s="306">
        <f t="shared" ca="1" si="27"/>
        <v>-31.544349018389489</v>
      </c>
      <c r="AH60" s="304">
        <f t="shared" ca="1" si="28"/>
        <v>-21.973633740064315</v>
      </c>
    </row>
    <row r="61" spans="1:34" x14ac:dyDescent="0.2">
      <c r="A61" s="347">
        <f t="shared" ca="1" si="6"/>
        <v>0.01</v>
      </c>
      <c r="B61" s="304">
        <f t="shared" ca="1" si="7"/>
        <v>3.769999999999988</v>
      </c>
      <c r="D61" s="306">
        <f t="shared" ca="1" si="8"/>
        <v>-4.8062946207558088</v>
      </c>
      <c r="E61" s="307">
        <f t="shared" ca="1" si="9"/>
        <v>-31.156687543399848</v>
      </c>
      <c r="F61" s="304">
        <f t="shared" ca="1" si="10"/>
        <v>31.525222388724767</v>
      </c>
      <c r="G61" s="306">
        <f t="shared" ca="1" si="11"/>
        <v>33.968219986703765</v>
      </c>
      <c r="H61" s="307">
        <f t="shared" ca="1" si="12"/>
        <v>150.76842726827809</v>
      </c>
      <c r="I61" s="304">
        <f t="shared" ca="1" si="13"/>
        <v>154.54759341385798</v>
      </c>
      <c r="J61" s="306">
        <f t="shared" ca="1" si="14"/>
        <v>119.16339998208363</v>
      </c>
      <c r="K61" s="307">
        <f t="shared" ca="1" si="15"/>
        <v>579.14141850361273</v>
      </c>
      <c r="L61" s="304">
        <f t="shared" ca="1" si="0"/>
        <v>591.27379319708291</v>
      </c>
      <c r="M61" s="306">
        <f t="shared" ca="1" si="16"/>
        <v>1.3491957693987962</v>
      </c>
      <c r="N61" s="304">
        <f t="shared" ca="1" si="17"/>
        <v>77.303223323456891</v>
      </c>
      <c r="P61" s="310">
        <f t="shared" ca="1" si="18"/>
        <v>3</v>
      </c>
      <c r="Q61" s="304">
        <f t="shared" ca="1" si="19"/>
        <v>0</v>
      </c>
      <c r="R61" s="306">
        <f t="shared" ca="1" si="20"/>
        <v>0</v>
      </c>
      <c r="S61" s="307">
        <f t="shared" ca="1" si="21"/>
        <v>2.5949999999999998</v>
      </c>
      <c r="T61" s="304">
        <f t="shared" ca="1" si="1"/>
        <v>25.456949999999999</v>
      </c>
      <c r="U61" s="311">
        <f t="shared" ca="1" si="2"/>
        <v>0</v>
      </c>
      <c r="V61" s="306">
        <f t="shared" ca="1" si="3"/>
        <v>1.1560517165668509</v>
      </c>
      <c r="W61" s="304">
        <f t="shared" ca="1" si="4"/>
        <v>56.542450399392571</v>
      </c>
      <c r="Y61" s="314" t="str">
        <f t="shared" ca="1" si="22"/>
        <v/>
      </c>
      <c r="Z61" s="315" t="str">
        <f t="shared" ca="1" si="23"/>
        <v/>
      </c>
      <c r="AA61" s="316" t="str">
        <f t="shared" ca="1" si="24"/>
        <v/>
      </c>
      <c r="AC61" s="310" t="e">
        <f t="shared" ca="1" si="25"/>
        <v>#N/A</v>
      </c>
      <c r="AD61" s="323" t="e">
        <f t="shared" ca="1" si="26"/>
        <v>#N/A</v>
      </c>
      <c r="AE61" s="324">
        <f t="shared" ca="1" si="5"/>
        <v>579.14141850361273</v>
      </c>
      <c r="AG61" s="306">
        <f t="shared" ca="1" si="27"/>
        <v>-31.451492870968767</v>
      </c>
      <c r="AH61" s="304">
        <f t="shared" ca="1" si="28"/>
        <v>-21.881077145722244</v>
      </c>
    </row>
    <row r="62" spans="1:34" x14ac:dyDescent="0.2">
      <c r="A62" s="347">
        <f t="shared" ca="1" si="6"/>
        <v>0.01</v>
      </c>
      <c r="B62" s="304">
        <f t="shared" ca="1" si="7"/>
        <v>3.7799999999999878</v>
      </c>
      <c r="D62" s="306">
        <f t="shared" ca="1" si="8"/>
        <v>-4.7890327420818686</v>
      </c>
      <c r="E62" s="307">
        <f t="shared" ca="1" si="9"/>
        <v>-31.066189901696355</v>
      </c>
      <c r="F62" s="304">
        <f t="shared" ca="1" si="10"/>
        <v>31.433151124457641</v>
      </c>
      <c r="G62" s="306">
        <f t="shared" ca="1" si="11"/>
        <v>33.920329659282949</v>
      </c>
      <c r="H62" s="307">
        <f t="shared" ca="1" si="12"/>
        <v>150.45776536926112</v>
      </c>
      <c r="I62" s="304">
        <f t="shared" ca="1" si="13"/>
        <v>154.23400378679816</v>
      </c>
      <c r="J62" s="306">
        <f t="shared" ca="1" si="14"/>
        <v>119.50284273031356</v>
      </c>
      <c r="K62" s="307">
        <f t="shared" ca="1" si="15"/>
        <v>580.64754946680046</v>
      </c>
      <c r="L62" s="304">
        <f t="shared" ca="1" si="0"/>
        <v>592.81743068370258</v>
      </c>
      <c r="M62" s="306">
        <f t="shared" ca="1" si="16"/>
        <v>1.3490559718943278</v>
      </c>
      <c r="N62" s="304">
        <f t="shared" ca="1" si="17"/>
        <v>77.295213516464386</v>
      </c>
      <c r="P62" s="310">
        <f t="shared" ca="1" si="18"/>
        <v>3</v>
      </c>
      <c r="Q62" s="304">
        <f t="shared" ca="1" si="19"/>
        <v>0</v>
      </c>
      <c r="R62" s="306">
        <f t="shared" ca="1" si="20"/>
        <v>0</v>
      </c>
      <c r="S62" s="307">
        <f t="shared" ca="1" si="21"/>
        <v>2.5949999999999998</v>
      </c>
      <c r="T62" s="304">
        <f t="shared" ca="1" si="1"/>
        <v>25.456949999999999</v>
      </c>
      <c r="U62" s="311">
        <f t="shared" ca="1" si="2"/>
        <v>0</v>
      </c>
      <c r="V62" s="306">
        <f t="shared" ca="1" si="3"/>
        <v>1.1558774666698708</v>
      </c>
      <c r="W62" s="304">
        <f t="shared" ca="1" si="4"/>
        <v>56.304736734488223</v>
      </c>
      <c r="Y62" s="314" t="str">
        <f t="shared" ca="1" si="22"/>
        <v/>
      </c>
      <c r="Z62" s="315" t="str">
        <f t="shared" ca="1" si="23"/>
        <v/>
      </c>
      <c r="AA62" s="316" t="str">
        <f t="shared" ca="1" si="24"/>
        <v/>
      </c>
      <c r="AC62" s="310" t="e">
        <f t="shared" ca="1" si="25"/>
        <v>#N/A</v>
      </c>
      <c r="AD62" s="323" t="e">
        <f t="shared" ca="1" si="26"/>
        <v>#N/A</v>
      </c>
      <c r="AE62" s="324">
        <f t="shared" ca="1" si="5"/>
        <v>580.64754946680046</v>
      </c>
      <c r="AG62" s="306">
        <f t="shared" ca="1" si="27"/>
        <v>-31.359113418380879</v>
      </c>
      <c r="AH62" s="304">
        <f t="shared" ca="1" si="28"/>
        <v>-21.788998227126235</v>
      </c>
    </row>
    <row r="63" spans="1:34" x14ac:dyDescent="0.2">
      <c r="A63" s="347">
        <f t="shared" ca="1" si="6"/>
        <v>0.01</v>
      </c>
      <c r="B63" s="304">
        <f t="shared" ca="1" si="7"/>
        <v>3.7899999999999876</v>
      </c>
      <c r="D63" s="306">
        <f t="shared" ca="1" si="8"/>
        <v>-4.7718578916838048</v>
      </c>
      <c r="E63" s="307">
        <f t="shared" ca="1" si="9"/>
        <v>-30.976158532481563</v>
      </c>
      <c r="F63" s="304">
        <f t="shared" ca="1" si="10"/>
        <v>31.34155428768419</v>
      </c>
      <c r="G63" s="306">
        <f t="shared" ca="1" si="11"/>
        <v>33.872611080366113</v>
      </c>
      <c r="H63" s="307">
        <f t="shared" ca="1" si="12"/>
        <v>150.1480037839363</v>
      </c>
      <c r="I63" s="304">
        <f t="shared" ca="1" si="13"/>
        <v>153.92133322480899</v>
      </c>
      <c r="J63" s="306">
        <f t="shared" ca="1" si="14"/>
        <v>119.8418074340118</v>
      </c>
      <c r="K63" s="307">
        <f t="shared" ca="1" si="15"/>
        <v>582.15057831256649</v>
      </c>
      <c r="L63" s="304">
        <f t="shared" ca="1" si="0"/>
        <v>594.35793478232154</v>
      </c>
      <c r="M63" s="306">
        <f t="shared" ca="1" si="16"/>
        <v>1.3489158034917195</v>
      </c>
      <c r="N63" s="304">
        <f t="shared" ca="1" si="17"/>
        <v>77.287182458573838</v>
      </c>
      <c r="P63" s="310">
        <f t="shared" ca="1" si="18"/>
        <v>3</v>
      </c>
      <c r="Q63" s="304">
        <f t="shared" ca="1" si="19"/>
        <v>0</v>
      </c>
      <c r="R63" s="306">
        <f t="shared" ca="1" si="20"/>
        <v>0</v>
      </c>
      <c r="S63" s="307">
        <f t="shared" ca="1" si="21"/>
        <v>2.5949999999999998</v>
      </c>
      <c r="T63" s="304">
        <f t="shared" ca="1" si="1"/>
        <v>25.456949999999999</v>
      </c>
      <c r="U63" s="311">
        <f t="shared" ca="1" si="2"/>
        <v>0</v>
      </c>
      <c r="V63" s="306">
        <f t="shared" ca="1" si="3"/>
        <v>1.1557036010916837</v>
      </c>
      <c r="W63" s="304">
        <f t="shared" ca="1" si="4"/>
        <v>56.068245831076219</v>
      </c>
      <c r="Y63" s="314" t="str">
        <f t="shared" ca="1" si="22"/>
        <v/>
      </c>
      <c r="Z63" s="315" t="str">
        <f t="shared" ca="1" si="23"/>
        <v/>
      </c>
      <c r="AA63" s="316" t="str">
        <f t="shared" ca="1" si="24"/>
        <v/>
      </c>
      <c r="AC63" s="310" t="e">
        <f t="shared" ca="1" si="25"/>
        <v>#N/A</v>
      </c>
      <c r="AD63" s="323" t="e">
        <f t="shared" ca="1" si="26"/>
        <v>#N/A</v>
      </c>
      <c r="AE63" s="324">
        <f t="shared" ca="1" si="5"/>
        <v>582.15057831256649</v>
      </c>
      <c r="AG63" s="306">
        <f t="shared" ca="1" si="27"/>
        <v>-31.267207404928293</v>
      </c>
      <c r="AH63" s="304">
        <f t="shared" ca="1" si="28"/>
        <v>-21.69739373198005</v>
      </c>
    </row>
    <row r="64" spans="1:34" x14ac:dyDescent="0.2">
      <c r="A64" s="347">
        <f t="shared" ca="1" si="6"/>
        <v>0.01</v>
      </c>
      <c r="B64" s="304">
        <f t="shared" ca="1" si="7"/>
        <v>3.7999999999999874</v>
      </c>
      <c r="D64" s="306">
        <f t="shared" ca="1" si="8"/>
        <v>-4.7547694741984028</v>
      </c>
      <c r="E64" s="307">
        <f t="shared" ca="1" si="9"/>
        <v>-30.886590266686056</v>
      </c>
      <c r="F64" s="304">
        <f t="shared" ca="1" si="10"/>
        <v>31.25042865393873</v>
      </c>
      <c r="G64" s="306">
        <f t="shared" ca="1" si="11"/>
        <v>33.825063385624127</v>
      </c>
      <c r="H64" s="307">
        <f t="shared" ca="1" si="12"/>
        <v>149.83913788126944</v>
      </c>
      <c r="I64" s="304">
        <f t="shared" ca="1" si="13"/>
        <v>153.60957702579472</v>
      </c>
      <c r="J64" s="306">
        <f t="shared" ca="1" si="14"/>
        <v>120.18029580634175</v>
      </c>
      <c r="K64" s="307">
        <f t="shared" ca="1" si="15"/>
        <v>583.6505140208925</v>
      </c>
      <c r="L64" s="304">
        <f t="shared" ca="1" si="0"/>
        <v>595.89531464591312</v>
      </c>
      <c r="M64" s="306">
        <f t="shared" ca="1" si="16"/>
        <v>1.3487752632892995</v>
      </c>
      <c r="N64" s="304">
        <f t="shared" ca="1" si="17"/>
        <v>77.279130098123261</v>
      </c>
      <c r="P64" s="310">
        <f t="shared" ca="1" si="18"/>
        <v>3</v>
      </c>
      <c r="Q64" s="304">
        <f t="shared" ca="1" si="19"/>
        <v>0</v>
      </c>
      <c r="R64" s="306">
        <f t="shared" ca="1" si="20"/>
        <v>0</v>
      </c>
      <c r="S64" s="307">
        <f t="shared" ca="1" si="21"/>
        <v>2.5949999999999998</v>
      </c>
      <c r="T64" s="304">
        <f t="shared" ca="1" si="1"/>
        <v>25.456949999999999</v>
      </c>
      <c r="U64" s="311">
        <f t="shared" ca="1" si="2"/>
        <v>0</v>
      </c>
      <c r="V64" s="306">
        <f t="shared" ca="1" si="3"/>
        <v>1.1555301186309417</v>
      </c>
      <c r="W64" s="304">
        <f t="shared" ca="1" si="4"/>
        <v>55.832969393400788</v>
      </c>
      <c r="Y64" s="314" t="str">
        <f t="shared" ca="1" si="22"/>
        <v/>
      </c>
      <c r="Z64" s="315" t="str">
        <f t="shared" ca="1" si="23"/>
        <v/>
      </c>
      <c r="AA64" s="316" t="str">
        <f t="shared" ca="1" si="24"/>
        <v/>
      </c>
      <c r="AC64" s="310" t="e">
        <f t="shared" ca="1" si="25"/>
        <v>#N/A</v>
      </c>
      <c r="AD64" s="323" t="e">
        <f t="shared" ca="1" si="26"/>
        <v>#N/A</v>
      </c>
      <c r="AE64" s="324">
        <f t="shared" ca="1" si="5"/>
        <v>583.6505140208925</v>
      </c>
      <c r="AG64" s="306">
        <f t="shared" ca="1" si="27"/>
        <v>-31.175771602777068</v>
      </c>
      <c r="AH64" s="304">
        <f t="shared" ca="1" si="28"/>
        <v>-21.606260435867522</v>
      </c>
    </row>
    <row r="65" spans="1:34" x14ac:dyDescent="0.2">
      <c r="A65" s="347">
        <f t="shared" ca="1" si="6"/>
        <v>0.01</v>
      </c>
      <c r="B65" s="304">
        <f t="shared" ca="1" si="7"/>
        <v>3.8099999999999872</v>
      </c>
      <c r="D65" s="306">
        <f t="shared" ca="1" si="8"/>
        <v>-4.7377668993529252</v>
      </c>
      <c r="E65" s="307">
        <f t="shared" ca="1" si="9"/>
        <v>-30.797481962359626</v>
      </c>
      <c r="F65" s="304">
        <f t="shared" ca="1" si="10"/>
        <v>31.159771026348551</v>
      </c>
      <c r="G65" s="306">
        <f t="shared" ca="1" si="11"/>
        <v>33.7776857166306</v>
      </c>
      <c r="H65" s="307">
        <f t="shared" ca="1" si="12"/>
        <v>149.53116306164583</v>
      </c>
      <c r="I65" s="304">
        <f t="shared" ca="1" si="13"/>
        <v>153.29873051966212</v>
      </c>
      <c r="J65" s="306">
        <f t="shared" ca="1" si="14"/>
        <v>120.51830955185302</v>
      </c>
      <c r="K65" s="307">
        <f t="shared" ca="1" si="15"/>
        <v>585.14736552560703</v>
      </c>
      <c r="L65" s="304">
        <f t="shared" ca="1" si="0"/>
        <v>597.42957938052803</v>
      </c>
      <c r="M65" s="306">
        <f t="shared" ca="1" si="16"/>
        <v>1.348634350381716</v>
      </c>
      <c r="N65" s="304">
        <f t="shared" ca="1" si="17"/>
        <v>77.271056383239809</v>
      </c>
      <c r="P65" s="310">
        <f t="shared" ca="1" si="18"/>
        <v>3</v>
      </c>
      <c r="Q65" s="304">
        <f t="shared" ca="1" si="19"/>
        <v>0</v>
      </c>
      <c r="R65" s="306">
        <f t="shared" ca="1" si="20"/>
        <v>0</v>
      </c>
      <c r="S65" s="307">
        <f t="shared" ca="1" si="21"/>
        <v>2.5949999999999998</v>
      </c>
      <c r="T65" s="304">
        <f t="shared" ca="1" si="1"/>
        <v>25.456949999999999</v>
      </c>
      <c r="U65" s="311">
        <f t="shared" ca="1" si="2"/>
        <v>0</v>
      </c>
      <c r="V65" s="306">
        <f t="shared" ca="1" si="3"/>
        <v>1.1553570180926351</v>
      </c>
      <c r="W65" s="304">
        <f t="shared" ca="1" si="4"/>
        <v>55.598899196574791</v>
      </c>
      <c r="Y65" s="314" t="str">
        <f t="shared" ca="1" si="22"/>
        <v/>
      </c>
      <c r="Z65" s="315" t="str">
        <f t="shared" ca="1" si="23"/>
        <v/>
      </c>
      <c r="AA65" s="316" t="str">
        <f t="shared" ca="1" si="24"/>
        <v/>
      </c>
      <c r="AC65" s="310" t="e">
        <f t="shared" ca="1" si="25"/>
        <v>#N/A</v>
      </c>
      <c r="AD65" s="323" t="e">
        <f t="shared" ca="1" si="26"/>
        <v>#N/A</v>
      </c>
      <c r="AE65" s="324">
        <f t="shared" ca="1" si="5"/>
        <v>585.14736552560703</v>
      </c>
      <c r="AG65" s="306">
        <f t="shared" ca="1" si="27"/>
        <v>-31.084802811669825</v>
      </c>
      <c r="AH65" s="304">
        <f t="shared" ca="1" si="28"/>
        <v>-21.515595141965623</v>
      </c>
    </row>
    <row r="66" spans="1:34" x14ac:dyDescent="0.2">
      <c r="A66" s="347">
        <f t="shared" ca="1" si="6"/>
        <v>0.01</v>
      </c>
      <c r="B66" s="304">
        <f t="shared" ca="1" si="7"/>
        <v>3.819999999999987</v>
      </c>
      <c r="D66" s="306">
        <f t="shared" ca="1" si="8"/>
        <v>-4.7208495819128293</v>
      </c>
      <c r="E66" s="307">
        <f t="shared" ca="1" si="9"/>
        <v>-30.708830504392715</v>
      </c>
      <c r="F66" s="304">
        <f t="shared" ca="1" si="10"/>
        <v>31.069578235350523</v>
      </c>
      <c r="G66" s="306">
        <f t="shared" ca="1" si="11"/>
        <v>33.730477220811473</v>
      </c>
      <c r="H66" s="307">
        <f t="shared" ca="1" si="12"/>
        <v>149.22407475660191</v>
      </c>
      <c r="I66" s="304">
        <f t="shared" ca="1" si="13"/>
        <v>152.98878906804774</v>
      </c>
      <c r="J66" s="306">
        <f t="shared" ca="1" si="14"/>
        <v>120.85585036654024</v>
      </c>
      <c r="K66" s="307">
        <f t="shared" ca="1" si="15"/>
        <v>586.64114171469828</v>
      </c>
      <c r="L66" s="304">
        <f t="shared" ca="1" si="0"/>
        <v>598.96073804561206</v>
      </c>
      <c r="M66" s="306">
        <f t="shared" ca="1" si="16"/>
        <v>1.3484930638599211</v>
      </c>
      <c r="N66" s="304">
        <f t="shared" ca="1" si="17"/>
        <v>77.262961261838882</v>
      </c>
      <c r="P66" s="310">
        <f t="shared" ca="1" si="18"/>
        <v>3</v>
      </c>
      <c r="Q66" s="304">
        <f t="shared" ca="1" si="19"/>
        <v>0</v>
      </c>
      <c r="R66" s="306">
        <f t="shared" ca="1" si="20"/>
        <v>0</v>
      </c>
      <c r="S66" s="307">
        <f t="shared" ca="1" si="21"/>
        <v>2.5949999999999998</v>
      </c>
      <c r="T66" s="304">
        <f t="shared" ca="1" si="1"/>
        <v>25.456949999999999</v>
      </c>
      <c r="U66" s="311">
        <f t="shared" ca="1" si="2"/>
        <v>0</v>
      </c>
      <c r="V66" s="306">
        <f t="shared" ca="1" si="3"/>
        <v>1.1551842982880451</v>
      </c>
      <c r="W66" s="304">
        <f t="shared" ca="1" si="4"/>
        <v>55.366027085852743</v>
      </c>
      <c r="Y66" s="314" t="str">
        <f t="shared" ca="1" si="22"/>
        <v/>
      </c>
      <c r="Z66" s="315" t="str">
        <f t="shared" ca="1" si="23"/>
        <v/>
      </c>
      <c r="AA66" s="316" t="str">
        <f t="shared" ca="1" si="24"/>
        <v/>
      </c>
      <c r="AC66" s="310" t="e">
        <f t="shared" ca="1" si="25"/>
        <v>#N/A</v>
      </c>
      <c r="AD66" s="323" t="e">
        <f t="shared" ca="1" si="26"/>
        <v>#N/A</v>
      </c>
      <c r="AE66" s="324">
        <f t="shared" ca="1" si="5"/>
        <v>586.64114171469828</v>
      </c>
      <c r="AG66" s="306">
        <f t="shared" ca="1" si="27"/>
        <v>-30.994297858642184</v>
      </c>
      <c r="AH66" s="304">
        <f t="shared" ca="1" si="28"/>
        <v>-21.425394680761002</v>
      </c>
    </row>
    <row r="67" spans="1:34" x14ac:dyDescent="0.2">
      <c r="A67" s="347">
        <f t="shared" ca="1" si="6"/>
        <v>0.01</v>
      </c>
      <c r="B67" s="304">
        <f t="shared" ca="1" si="7"/>
        <v>3.8299999999999867</v>
      </c>
      <c r="D67" s="306">
        <f t="shared" ca="1" si="8"/>
        <v>-4.704016941630055</v>
      </c>
      <c r="E67" s="307">
        <f t="shared" ca="1" si="9"/>
        <v>-30.620632804241062</v>
      </c>
      <c r="F67" s="304">
        <f t="shared" ca="1" si="10"/>
        <v>30.979847138410907</v>
      </c>
      <c r="G67" s="306">
        <f t="shared" ca="1" si="11"/>
        <v>33.683437051395174</v>
      </c>
      <c r="H67" s="307">
        <f t="shared" ca="1" si="12"/>
        <v>148.9178684285595</v>
      </c>
      <c r="I67" s="304">
        <f t="shared" ca="1" si="13"/>
        <v>152.67974806404763</v>
      </c>
      <c r="J67" s="306">
        <f t="shared" ca="1" si="14"/>
        <v>121.19291993790127</v>
      </c>
      <c r="K67" s="307">
        <f t="shared" ca="1" si="15"/>
        <v>588.13185143062412</v>
      </c>
      <c r="L67" s="304">
        <f t="shared" ca="1" si="0"/>
        <v>600.48879965432184</v>
      </c>
      <c r="M67" s="306">
        <f t="shared" ca="1" si="16"/>
        <v>1.3483514028111545</v>
      </c>
      <c r="N67" s="304">
        <f t="shared" ca="1" si="17"/>
        <v>77.254844681623155</v>
      </c>
      <c r="P67" s="310">
        <f t="shared" ca="1" si="18"/>
        <v>3</v>
      </c>
      <c r="Q67" s="304">
        <f t="shared" ca="1" si="19"/>
        <v>0</v>
      </c>
      <c r="R67" s="306">
        <f t="shared" ca="1" si="20"/>
        <v>0</v>
      </c>
      <c r="S67" s="307">
        <f t="shared" ca="1" si="21"/>
        <v>2.5949999999999998</v>
      </c>
      <c r="T67" s="304">
        <f t="shared" ca="1" si="1"/>
        <v>25.456949999999999</v>
      </c>
      <c r="U67" s="311">
        <f t="shared" ca="1" si="2"/>
        <v>0</v>
      </c>
      <c r="V67" s="306">
        <f t="shared" ca="1" si="3"/>
        <v>1.1550119580347011</v>
      </c>
      <c r="W67" s="304">
        <f t="shared" ca="1" si="4"/>
        <v>55.134344975912754</v>
      </c>
      <c r="Y67" s="314" t="str">
        <f t="shared" ca="1" si="22"/>
        <v/>
      </c>
      <c r="Z67" s="315" t="str">
        <f t="shared" ca="1" si="23"/>
        <v/>
      </c>
      <c r="AA67" s="316" t="str">
        <f t="shared" ca="1" si="24"/>
        <v/>
      </c>
      <c r="AC67" s="310" t="e">
        <f t="shared" ca="1" si="25"/>
        <v>#N/A</v>
      </c>
      <c r="AD67" s="323" t="e">
        <f t="shared" ca="1" si="26"/>
        <v>#N/A</v>
      </c>
      <c r="AE67" s="324">
        <f t="shared" ca="1" si="5"/>
        <v>588.13185143062412</v>
      </c>
      <c r="AG67" s="306">
        <f t="shared" ca="1" si="27"/>
        <v>-30.904253597742546</v>
      </c>
      <c r="AH67" s="304">
        <f t="shared" ca="1" si="28"/>
        <v>-21.335655909769844</v>
      </c>
    </row>
    <row r="68" spans="1:34" x14ac:dyDescent="0.2">
      <c r="A68" s="347">
        <f t="shared" ca="1" si="6"/>
        <v>0.01</v>
      </c>
      <c r="B68" s="304">
        <f t="shared" ca="1" si="7"/>
        <v>3.8399999999999865</v>
      </c>
      <c r="D68" s="306">
        <f t="shared" ca="1" si="8"/>
        <v>-4.6872684031919913</v>
      </c>
      <c r="E68" s="307">
        <f t="shared" ca="1" si="9"/>
        <v>-30.532885799653783</v>
      </c>
      <c r="F68" s="304">
        <f t="shared" ca="1" si="10"/>
        <v>30.890574619748687</v>
      </c>
      <c r="G68" s="306">
        <f t="shared" ca="1" si="11"/>
        <v>33.636564367363256</v>
      </c>
      <c r="H68" s="307">
        <f t="shared" ca="1" si="12"/>
        <v>148.61253957056297</v>
      </c>
      <c r="I68" s="304">
        <f t="shared" ca="1" si="13"/>
        <v>152.37160293195026</v>
      </c>
      <c r="J68" s="306">
        <f t="shared" ca="1" si="14"/>
        <v>121.52951994499506</v>
      </c>
      <c r="K68" s="307">
        <f t="shared" ca="1" si="15"/>
        <v>589.61950347061975</v>
      </c>
      <c r="L68" s="304">
        <f t="shared" ref="L68:L131" ca="1" si="29">SQRT(pos_x^2+pos_z^2)</f>
        <v>602.01377317383788</v>
      </c>
      <c r="M68" s="306">
        <f t="shared" ca="1" si="16"/>
        <v>1.3482093663189281</v>
      </c>
      <c r="N68" s="304">
        <f t="shared" ca="1" si="17"/>
        <v>77.246706590081743</v>
      </c>
      <c r="P68" s="310">
        <f t="shared" ca="1" si="18"/>
        <v>3</v>
      </c>
      <c r="Q68" s="304">
        <f t="shared" ca="1" si="19"/>
        <v>0</v>
      </c>
      <c r="R68" s="306">
        <f t="shared" ca="1" si="20"/>
        <v>0</v>
      </c>
      <c r="S68" s="307">
        <f t="shared" ca="1" si="21"/>
        <v>2.5949999999999998</v>
      </c>
      <c r="T68" s="304">
        <f t="shared" ref="T68:T131" ca="1" si="30">m*g</f>
        <v>25.456949999999999</v>
      </c>
      <c r="U68" s="311">
        <f t="shared" ref="U68:U131" ca="1" si="31">IF(pos_xz&lt;L_rampe,Poids*COS(Beta),0)</f>
        <v>0</v>
      </c>
      <c r="V68" s="306">
        <f t="shared" ref="V68:V131" ca="1" si="32">Rho_moyen*(20000-Alt_rampe-pos_z)/(20000+Alt_rampe+pos_z)</f>
        <v>1.1548399961563394</v>
      </c>
      <c r="W68" s="304">
        <f t="shared" ref="W68:W131" ca="1" si="33">1/2*Rho*Sref*Cx*vit_xz^2</f>
        <v>54.903844850147209</v>
      </c>
      <c r="Y68" s="314" t="str">
        <f t="shared" ca="1" si="22"/>
        <v/>
      </c>
      <c r="Z68" s="315" t="str">
        <f t="shared" ca="1" si="23"/>
        <v/>
      </c>
      <c r="AA68" s="316" t="str">
        <f t="shared" ca="1" si="24"/>
        <v/>
      </c>
      <c r="AC68" s="310" t="e">
        <f t="shared" ca="1" si="25"/>
        <v>#N/A</v>
      </c>
      <c r="AD68" s="323" t="e">
        <f t="shared" ca="1" si="26"/>
        <v>#N/A</v>
      </c>
      <c r="AE68" s="324">
        <f t="shared" ref="AE68:AE131" ca="1" si="34">IF(t&lt;T_para, pos_z, NA())</f>
        <v>589.61950347061975</v>
      </c>
      <c r="AG68" s="306">
        <f t="shared" ca="1" si="27"/>
        <v>-30.81466690975531</v>
      </c>
      <c r="AH68" s="304">
        <f t="shared" ca="1" si="28"/>
        <v>-21.24637571326118</v>
      </c>
    </row>
    <row r="69" spans="1:34" x14ac:dyDescent="0.2">
      <c r="A69" s="347">
        <f t="shared" ref="A69:A132" ca="1" si="35">IF(B68+0.01&lt;=T_ini+ROUNDUP(Temps_fin_propu,0), 0.01, IF(K68&gt;0, 0.1, 0.0001))</f>
        <v>0.01</v>
      </c>
      <c r="B69" s="304">
        <f t="shared" ref="B69:B132" ca="1" si="36">B68+pas</f>
        <v>3.8499999999999863</v>
      </c>
      <c r="D69" s="306">
        <f t="shared" ref="D69:D132" ca="1" si="37">IF(AND(L68&lt;L_rampe,Poussee&lt;Poids*SIN(M68)),0,(-W68+Poussee)/m*COS(M68)-U68/m*SIN(M68))</f>
        <v>-4.670603396171022</v>
      </c>
      <c r="E69" s="307">
        <f t="shared" ref="E69:E132" ca="1" si="38">IF(AND(L68&lt;L_rampe,Poussee&lt;Poids*SIN(M68)),0,(-W68+Poussee)/m*SIN(M68)+U68/m*COS(M68)-Poids/m)</f>
        <v>-30.445586454404662</v>
      </c>
      <c r="F69" s="304">
        <f t="shared" ref="F69:F132" ca="1" si="39">SQRT(acc_x^2+acc_z^2)</f>
        <v>30.801757590062177</v>
      </c>
      <c r="G69" s="306">
        <f t="shared" ref="G69:G132" ca="1" si="40">G68+acc_x*pas</f>
        <v>33.589858333401544</v>
      </c>
      <c r="H69" s="307">
        <f t="shared" ref="H69:H132" ca="1" si="41">H68+acc_z*pas</f>
        <v>148.30808370601892</v>
      </c>
      <c r="I69" s="304">
        <f t="shared" ref="I69:I132" ca="1" si="42">SQRT(vit_x^2+vit_z^2)</f>
        <v>152.06434912697156</v>
      </c>
      <c r="J69" s="306">
        <f t="shared" ref="J69:J132" ca="1" si="43">J68+0.5*(vit_x+G68)*pas*(K68&gt;=0)</f>
        <v>121.86565205849888</v>
      </c>
      <c r="K69" s="307">
        <f t="shared" ref="K69:K132" ca="1" si="44">K68+0.5*(vit_z+H68)*pas</f>
        <v>591.10410658700266</v>
      </c>
      <c r="L69" s="304">
        <f t="shared" ca="1" si="29"/>
        <v>603.53566752567463</v>
      </c>
      <c r="M69" s="306">
        <f t="shared" ref="M69:M132" ca="1" si="45">IF(AND(L68&gt;L_rampe,G69&gt;0),ATAN2(G69,H69),$M$4)</f>
        <v>1.3480669534630092</v>
      </c>
      <c r="N69" s="304">
        <f t="shared" ref="N69:N132" ca="1" si="46">DEGREES(Beta)</f>
        <v>77.238546934489179</v>
      </c>
      <c r="P69" s="310">
        <f t="shared" ref="P69:P132" ca="1" si="47">MATCH(t-pas/2-T_ini,CdP_t)</f>
        <v>3</v>
      </c>
      <c r="Q69" s="304">
        <f t="shared" ref="Q69:Q132" ca="1" si="48">(INDEX(CdP,2,i_P+1)-INDEX(CdP,2,i_P+0))/(INDEX(CdP,1,i_P+1)-INDEX(CdP,1,i_P+0))*(t-pas/2-T_ini-INDEX(CdP,1,i_P+0))+INDEX(CdP,2,i_P+0)</f>
        <v>0</v>
      </c>
      <c r="R69" s="306">
        <f t="shared" ref="R69:R132" ca="1" si="49">Poussee/(g*ISP)</f>
        <v>0</v>
      </c>
      <c r="S69" s="307">
        <f t="shared" ref="S69:S132" ca="1" si="50">S68-Débit*pas</f>
        <v>2.5949999999999998</v>
      </c>
      <c r="T69" s="304">
        <f t="shared" ca="1" si="30"/>
        <v>25.456949999999999</v>
      </c>
      <c r="U69" s="311">
        <f t="shared" ca="1" si="31"/>
        <v>0</v>
      </c>
      <c r="V69" s="306">
        <f t="shared" ca="1" si="32"/>
        <v>1.154668411482856</v>
      </c>
      <c r="W69" s="304">
        <f t="shared" ca="1" si="33"/>
        <v>54.674518759961281</v>
      </c>
      <c r="Y69" s="314" t="str">
        <f t="shared" ref="Y69:Y132" ca="1" si="51">IF(AND(pos_z&lt;=0,K68&gt;0),"Impact balistique","") &amp; IF(AND(H70&lt;0,vit_z&gt;=0),"Apogée","") &amp; IF(AND(Poussee=0,Q68&gt;0),"Fin de propulsion","") &amp; IF(AND(L70&gt;L_rampe,pos_xz&lt;=L_rampe),"Sortie de rampe","")</f>
        <v/>
      </c>
      <c r="Z69" s="315" t="str">
        <f t="shared" ref="Z69:Z132" ca="1" si="52">IF(ABS(t-T_para)&lt;pas/2,"Para","")</f>
        <v/>
      </c>
      <c r="AA69" s="316" t="str">
        <f t="shared" ref="AA69:AA132" ca="1" si="53">IF(ABS(t-T_satellite)&lt;pas/2,"Satellite","")</f>
        <v/>
      </c>
      <c r="AC69" s="310" t="e">
        <f t="shared" ref="AC69:AC132" ca="1" si="54">IF(ABS(t-ROUND(t,0))&lt;0.001,t,NA())</f>
        <v>#N/A</v>
      </c>
      <c r="AD69" s="323" t="e">
        <f t="shared" ref="AD69:AD132" ca="1" si="55">IF(ABS(t-ROUND(t,0))&lt;0.001,pos_x,NA())</f>
        <v>#N/A</v>
      </c>
      <c r="AE69" s="324">
        <f t="shared" ca="1" si="34"/>
        <v>591.10410658700266</v>
      </c>
      <c r="AG69" s="306">
        <f t="shared" ref="AG69:AG132" ca="1" si="56">IF(AND(L68&lt;L_rampe,Poussee&lt;Poids*SIN(M68)),0,(-W68+Poussee)/m-Poids*SIN(M68)/m)</f>
        <v>-30.725534701927401</v>
      </c>
      <c r="AH69" s="304">
        <f t="shared" ref="AH69:AH132" ca="1" si="57">IF(AND(L68&lt;L_rampe,Poussee&lt;Poids*SIN(M68)), g*SIN(M68), (-W68+Poussee)/m)</f>
        <v>-21.157551001983514</v>
      </c>
    </row>
    <row r="70" spans="1:34" x14ac:dyDescent="0.2">
      <c r="A70" s="347">
        <f t="shared" ca="1" si="35"/>
        <v>0.01</v>
      </c>
      <c r="B70" s="304">
        <f t="shared" ca="1" si="36"/>
        <v>3.8599999999999861</v>
      </c>
      <c r="D70" s="306">
        <f t="shared" ca="1" si="37"/>
        <v>-4.654021354974649</v>
      </c>
      <c r="E70" s="307">
        <f t="shared" ca="1" si="38"/>
        <v>-30.358731758026515</v>
      </c>
      <c r="F70" s="304">
        <f t="shared" ca="1" si="39"/>
        <v>30.713392986258743</v>
      </c>
      <c r="G70" s="306">
        <f t="shared" ca="1" si="40"/>
        <v>33.543318119851797</v>
      </c>
      <c r="H70" s="307">
        <f t="shared" ca="1" si="41"/>
        <v>148.00449638843867</v>
      </c>
      <c r="I70" s="304">
        <f t="shared" ca="1" si="42"/>
        <v>151.75798213499326</v>
      </c>
      <c r="J70" s="306">
        <f t="shared" ca="1" si="43"/>
        <v>122.20131794076515</v>
      </c>
      <c r="K70" s="307">
        <f t="shared" ca="1" si="44"/>
        <v>592.585669487475</v>
      </c>
      <c r="L70" s="304">
        <f t="shared" ca="1" si="29"/>
        <v>605.05449158598844</v>
      </c>
      <c r="M70" s="306">
        <f t="shared" ca="1" si="45"/>
        <v>1.3479241633194041</v>
      </c>
      <c r="N70" s="304">
        <f t="shared" ca="1" si="46"/>
        <v>77.230365661904543</v>
      </c>
      <c r="P70" s="310">
        <f t="shared" ca="1" si="47"/>
        <v>3</v>
      </c>
      <c r="Q70" s="304">
        <f t="shared" ca="1" si="48"/>
        <v>0</v>
      </c>
      <c r="R70" s="306">
        <f t="shared" ca="1" si="49"/>
        <v>0</v>
      </c>
      <c r="S70" s="307">
        <f t="shared" ca="1" si="50"/>
        <v>2.5949999999999998</v>
      </c>
      <c r="T70" s="304">
        <f t="shared" ca="1" si="30"/>
        <v>25.456949999999999</v>
      </c>
      <c r="U70" s="311">
        <f t="shared" ca="1" si="31"/>
        <v>0</v>
      </c>
      <c r="V70" s="306">
        <f t="shared" ca="1" si="32"/>
        <v>1.15449720285027</v>
      </c>
      <c r="W70" s="304">
        <f t="shared" ca="1" si="33"/>
        <v>54.446358824080626</v>
      </c>
      <c r="Y70" s="314" t="str">
        <f t="shared" ca="1" si="51"/>
        <v/>
      </c>
      <c r="Z70" s="315" t="str">
        <f t="shared" ca="1" si="52"/>
        <v/>
      </c>
      <c r="AA70" s="316" t="str">
        <f t="shared" ca="1" si="53"/>
        <v/>
      </c>
      <c r="AC70" s="310" t="e">
        <f t="shared" ca="1" si="54"/>
        <v>#N/A</v>
      </c>
      <c r="AD70" s="323" t="e">
        <f t="shared" ca="1" si="55"/>
        <v>#N/A</v>
      </c>
      <c r="AE70" s="324">
        <f t="shared" ca="1" si="34"/>
        <v>592.585669487475</v>
      </c>
      <c r="AG70" s="306">
        <f t="shared" ca="1" si="56"/>
        <v>-30.636853907697898</v>
      </c>
      <c r="AH70" s="304">
        <f t="shared" ca="1" si="57"/>
        <v>-21.069178712894523</v>
      </c>
    </row>
    <row r="71" spans="1:34" x14ac:dyDescent="0.2">
      <c r="A71" s="347">
        <f t="shared" ca="1" si="35"/>
        <v>0.01</v>
      </c>
      <c r="B71" s="304">
        <f t="shared" ca="1" si="36"/>
        <v>3.8699999999999859</v>
      </c>
      <c r="D71" s="306">
        <f t="shared" ca="1" si="37"/>
        <v>-4.6375217187962816</v>
      </c>
      <c r="E71" s="307">
        <f t="shared" ca="1" si="38"/>
        <v>-30.272318725548978</v>
      </c>
      <c r="F71" s="304">
        <f t="shared" ca="1" si="39"/>
        <v>30.625477771188002</v>
      </c>
      <c r="G71" s="306">
        <f t="shared" ca="1" si="40"/>
        <v>33.496942902663832</v>
      </c>
      <c r="H71" s="307">
        <f t="shared" ca="1" si="41"/>
        <v>147.70177320118319</v>
      </c>
      <c r="I71" s="304">
        <f t="shared" ca="1" si="42"/>
        <v>151.45249747230343</v>
      </c>
      <c r="J71" s="306">
        <f t="shared" ca="1" si="43"/>
        <v>122.53651924587773</v>
      </c>
      <c r="K71" s="307">
        <f t="shared" ca="1" si="44"/>
        <v>594.06420083542309</v>
      </c>
      <c r="L71" s="304">
        <f t="shared" ca="1" si="29"/>
        <v>606.57025418588182</v>
      </c>
      <c r="M71" s="306">
        <f t="shared" ca="1" si="45"/>
        <v>1.3477809949603428</v>
      </c>
      <c r="N71" s="304">
        <f t="shared" ca="1" si="46"/>
        <v>77.222162719170512</v>
      </c>
      <c r="P71" s="310">
        <f t="shared" ca="1" si="47"/>
        <v>3</v>
      </c>
      <c r="Q71" s="304">
        <f t="shared" ca="1" si="48"/>
        <v>0</v>
      </c>
      <c r="R71" s="306">
        <f t="shared" ca="1" si="49"/>
        <v>0</v>
      </c>
      <c r="S71" s="307">
        <f t="shared" ca="1" si="50"/>
        <v>2.5949999999999998</v>
      </c>
      <c r="T71" s="304">
        <f t="shared" ca="1" si="30"/>
        <v>25.456949999999999</v>
      </c>
      <c r="U71" s="311">
        <f t="shared" ca="1" si="31"/>
        <v>0</v>
      </c>
      <c r="V71" s="306">
        <f t="shared" ca="1" si="32"/>
        <v>1.154326369100678</v>
      </c>
      <c r="W71" s="304">
        <f t="shared" ca="1" si="33"/>
        <v>54.219357227866709</v>
      </c>
      <c r="Y71" s="314" t="str">
        <f t="shared" ca="1" si="51"/>
        <v/>
      </c>
      <c r="Z71" s="315" t="str">
        <f t="shared" ca="1" si="52"/>
        <v/>
      </c>
      <c r="AA71" s="316" t="str">
        <f t="shared" ca="1" si="53"/>
        <v/>
      </c>
      <c r="AC71" s="310" t="e">
        <f t="shared" ca="1" si="54"/>
        <v>#N/A</v>
      </c>
      <c r="AD71" s="323" t="e">
        <f t="shared" ca="1" si="55"/>
        <v>#N/A</v>
      </c>
      <c r="AE71" s="324">
        <f t="shared" ca="1" si="34"/>
        <v>594.06420083542309</v>
      </c>
      <c r="AG71" s="306">
        <f t="shared" ca="1" si="56"/>
        <v>-30.548621486431109</v>
      </c>
      <c r="AH71" s="304">
        <f t="shared" ca="1" si="57"/>
        <v>-20.981255808894272</v>
      </c>
    </row>
    <row r="72" spans="1:34" x14ac:dyDescent="0.2">
      <c r="A72" s="347">
        <f t="shared" ca="1" si="35"/>
        <v>0.01</v>
      </c>
      <c r="B72" s="304">
        <f t="shared" ca="1" si="36"/>
        <v>3.8799999999999857</v>
      </c>
      <c r="D72" s="306">
        <f t="shared" ca="1" si="37"/>
        <v>-4.6211039315665232</v>
      </c>
      <c r="E72" s="307">
        <f t="shared" ca="1" si="38"/>
        <v>-30.186344397239175</v>
      </c>
      <c r="F72" s="304">
        <f t="shared" ca="1" si="39"/>
        <v>30.538008933377967</v>
      </c>
      <c r="G72" s="306">
        <f t="shared" ca="1" si="40"/>
        <v>33.450731863348167</v>
      </c>
      <c r="H72" s="307">
        <f t="shared" ca="1" si="41"/>
        <v>147.39990975721079</v>
      </c>
      <c r="I72" s="304">
        <f t="shared" ca="1" si="42"/>
        <v>151.14789068534006</v>
      </c>
      <c r="J72" s="306">
        <f t="shared" ca="1" si="43"/>
        <v>122.87125761970779</v>
      </c>
      <c r="K72" s="307">
        <f t="shared" ca="1" si="44"/>
        <v>595.53970925021508</v>
      </c>
      <c r="L72" s="304">
        <f t="shared" ca="1" si="29"/>
        <v>608.08296411170681</v>
      </c>
      <c r="M72" s="306">
        <f t="shared" ca="1" si="45"/>
        <v>1.3476374474542603</v>
      </c>
      <c r="N72" s="304">
        <f t="shared" ca="1" si="46"/>
        <v>77.213938052912368</v>
      </c>
      <c r="P72" s="310">
        <f t="shared" ca="1" si="47"/>
        <v>3</v>
      </c>
      <c r="Q72" s="304">
        <f t="shared" ca="1" si="48"/>
        <v>0</v>
      </c>
      <c r="R72" s="306">
        <f t="shared" ca="1" si="49"/>
        <v>0</v>
      </c>
      <c r="S72" s="307">
        <f t="shared" ca="1" si="50"/>
        <v>2.5949999999999998</v>
      </c>
      <c r="T72" s="304">
        <f t="shared" ca="1" si="30"/>
        <v>25.456949999999999</v>
      </c>
      <c r="U72" s="311">
        <f t="shared" ca="1" si="31"/>
        <v>0</v>
      </c>
      <c r="V72" s="306">
        <f t="shared" ca="1" si="32"/>
        <v>1.1541559090822127</v>
      </c>
      <c r="W72" s="304">
        <f t="shared" ca="1" si="33"/>
        <v>53.99350622264042</v>
      </c>
      <c r="Y72" s="314" t="str">
        <f t="shared" ca="1" si="51"/>
        <v/>
      </c>
      <c r="Z72" s="315" t="str">
        <f t="shared" ca="1" si="52"/>
        <v/>
      </c>
      <c r="AA72" s="316" t="str">
        <f t="shared" ca="1" si="53"/>
        <v/>
      </c>
      <c r="AC72" s="310" t="e">
        <f t="shared" ca="1" si="54"/>
        <v>#N/A</v>
      </c>
      <c r="AD72" s="323" t="e">
        <f t="shared" ca="1" si="55"/>
        <v>#N/A</v>
      </c>
      <c r="AE72" s="324">
        <f t="shared" ca="1" si="34"/>
        <v>595.53970925021508</v>
      </c>
      <c r="AG72" s="306">
        <f t="shared" ca="1" si="56"/>
        <v>-30.46083442315269</v>
      </c>
      <c r="AH72" s="304">
        <f t="shared" ca="1" si="57"/>
        <v>-20.893779278561354</v>
      </c>
    </row>
    <row r="73" spans="1:34" x14ac:dyDescent="0.2">
      <c r="A73" s="347">
        <f t="shared" ca="1" si="35"/>
        <v>0.01</v>
      </c>
      <c r="B73" s="304">
        <f t="shared" ca="1" si="36"/>
        <v>3.8899999999999855</v>
      </c>
      <c r="D73" s="306">
        <f t="shared" ca="1" si="37"/>
        <v>-4.6047674419051194</v>
      </c>
      <c r="E73" s="307">
        <f t="shared" ca="1" si="38"/>
        <v>-30.100805838345558</v>
      </c>
      <c r="F73" s="304">
        <f t="shared" ca="1" si="39"/>
        <v>30.450983486774405</v>
      </c>
      <c r="G73" s="306">
        <f t="shared" ca="1" si="40"/>
        <v>33.404684188929117</v>
      </c>
      <c r="H73" s="307">
        <f t="shared" ca="1" si="41"/>
        <v>147.09890169882735</v>
      </c>
      <c r="I73" s="304">
        <f t="shared" ca="1" si="42"/>
        <v>150.84415735043689</v>
      </c>
      <c r="J73" s="306">
        <f t="shared" ca="1" si="43"/>
        <v>123.20553469996918</v>
      </c>
      <c r="K73" s="307">
        <f t="shared" ca="1" si="44"/>
        <v>597.01220330749527</v>
      </c>
      <c r="L73" s="304">
        <f t="shared" ca="1" si="29"/>
        <v>609.59263010536415</v>
      </c>
      <c r="M73" s="306">
        <f t="shared" ca="1" si="45"/>
        <v>1.3474935198657825</v>
      </c>
      <c r="N73" s="304">
        <f t="shared" ca="1" si="46"/>
        <v>77.205691609537084</v>
      </c>
      <c r="P73" s="310">
        <f t="shared" ca="1" si="47"/>
        <v>3</v>
      </c>
      <c r="Q73" s="304">
        <f t="shared" ca="1" si="48"/>
        <v>0</v>
      </c>
      <c r="R73" s="306">
        <f t="shared" ca="1" si="49"/>
        <v>0</v>
      </c>
      <c r="S73" s="307">
        <f t="shared" ca="1" si="50"/>
        <v>2.5949999999999998</v>
      </c>
      <c r="T73" s="304">
        <f t="shared" ca="1" si="30"/>
        <v>25.456949999999999</v>
      </c>
      <c r="U73" s="311">
        <f t="shared" ca="1" si="31"/>
        <v>0</v>
      </c>
      <c r="V73" s="306">
        <f t="shared" ca="1" si="32"/>
        <v>1.153985821649002</v>
      </c>
      <c r="W73" s="304">
        <f t="shared" ca="1" si="33"/>
        <v>53.768798125013788</v>
      </c>
      <c r="Y73" s="314" t="str">
        <f t="shared" ca="1" si="51"/>
        <v/>
      </c>
      <c r="Z73" s="315" t="str">
        <f t="shared" ca="1" si="52"/>
        <v/>
      </c>
      <c r="AA73" s="316" t="str">
        <f t="shared" ca="1" si="53"/>
        <v/>
      </c>
      <c r="AC73" s="310" t="e">
        <f t="shared" ca="1" si="54"/>
        <v>#N/A</v>
      </c>
      <c r="AD73" s="323" t="e">
        <f t="shared" ca="1" si="55"/>
        <v>#N/A</v>
      </c>
      <c r="AE73" s="324">
        <f t="shared" ca="1" si="34"/>
        <v>597.01220330749527</v>
      </c>
      <c r="AG73" s="306">
        <f t="shared" ca="1" si="56"/>
        <v>-30.37348972828886</v>
      </c>
      <c r="AH73" s="304">
        <f t="shared" ca="1" si="57"/>
        <v>-20.806746135892265</v>
      </c>
    </row>
    <row r="74" spans="1:34" x14ac:dyDescent="0.2">
      <c r="A74" s="347">
        <f t="shared" ca="1" si="35"/>
        <v>0.01</v>
      </c>
      <c r="B74" s="304">
        <f t="shared" ca="1" si="36"/>
        <v>3.8999999999999853</v>
      </c>
      <c r="D74" s="306">
        <f t="shared" ca="1" si="37"/>
        <v>-4.5885117030733964</v>
      </c>
      <c r="E74" s="307">
        <f t="shared" ca="1" si="38"/>
        <v>-30.015700138844814</v>
      </c>
      <c r="F74" s="304">
        <f t="shared" ca="1" si="39"/>
        <v>30.364398470483327</v>
      </c>
      <c r="G74" s="306">
        <f t="shared" ca="1" si="40"/>
        <v>33.358799071898382</v>
      </c>
      <c r="H74" s="307">
        <f t="shared" ca="1" si="41"/>
        <v>146.79874469743891</v>
      </c>
      <c r="I74" s="304">
        <f t="shared" ca="1" si="42"/>
        <v>150.54129307357212</v>
      </c>
      <c r="J74" s="306">
        <f t="shared" ca="1" si="43"/>
        <v>123.53935211627332</v>
      </c>
      <c r="K74" s="307">
        <f t="shared" ca="1" si="44"/>
        <v>598.48169153947663</v>
      </c>
      <c r="L74" s="304">
        <f t="shared" ca="1" si="29"/>
        <v>611.09926086460109</v>
      </c>
      <c r="M74" s="306">
        <f t="shared" ca="1" si="45"/>
        <v>1.3473492112557079</v>
      </c>
      <c r="N74" s="304">
        <f t="shared" ca="1" si="46"/>
        <v>77.197423335232415</v>
      </c>
      <c r="P74" s="310">
        <f t="shared" ca="1" si="47"/>
        <v>3</v>
      </c>
      <c r="Q74" s="304">
        <f t="shared" ca="1" si="48"/>
        <v>0</v>
      </c>
      <c r="R74" s="306">
        <f t="shared" ca="1" si="49"/>
        <v>0</v>
      </c>
      <c r="S74" s="307">
        <f t="shared" ca="1" si="50"/>
        <v>2.5949999999999998</v>
      </c>
      <c r="T74" s="304">
        <f t="shared" ca="1" si="30"/>
        <v>25.456949999999999</v>
      </c>
      <c r="U74" s="311">
        <f t="shared" ca="1" si="31"/>
        <v>0</v>
      </c>
      <c r="V74" s="306">
        <f t="shared" ca="1" si="32"/>
        <v>1.1538161056611289</v>
      </c>
      <c r="W74" s="304">
        <f t="shared" ca="1" si="33"/>
        <v>53.54522531622964</v>
      </c>
      <c r="Y74" s="314" t="str">
        <f t="shared" ca="1" si="51"/>
        <v/>
      </c>
      <c r="Z74" s="315" t="str">
        <f t="shared" ca="1" si="52"/>
        <v/>
      </c>
      <c r="AA74" s="316" t="str">
        <f t="shared" ca="1" si="53"/>
        <v/>
      </c>
      <c r="AC74" s="310" t="e">
        <f t="shared" ca="1" si="54"/>
        <v>#N/A</v>
      </c>
      <c r="AD74" s="323" t="e">
        <f t="shared" ca="1" si="55"/>
        <v>#N/A</v>
      </c>
      <c r="AE74" s="324">
        <f t="shared" ca="1" si="34"/>
        <v>598.48169153947663</v>
      </c>
      <c r="AG74" s="306">
        <f t="shared" ca="1" si="56"/>
        <v>-30.286584437408784</v>
      </c>
      <c r="AH74" s="304">
        <f t="shared" ca="1" si="57"/>
        <v>-20.72015342004385</v>
      </c>
    </row>
    <row r="75" spans="1:34" x14ac:dyDescent="0.2">
      <c r="A75" s="347">
        <f t="shared" ca="1" si="35"/>
        <v>0.01</v>
      </c>
      <c r="B75" s="304">
        <f t="shared" ca="1" si="36"/>
        <v>3.909999999999985</v>
      </c>
      <c r="D75" s="306">
        <f t="shared" ca="1" si="37"/>
        <v>-4.5723361729273355</v>
      </c>
      <c r="E75" s="307">
        <f t="shared" ca="1" si="38"/>
        <v>-29.931024413191736</v>
      </c>
      <c r="F75" s="304">
        <f t="shared" ca="1" si="39"/>
        <v>30.278250948516487</v>
      </c>
      <c r="G75" s="306">
        <f t="shared" ca="1" si="40"/>
        <v>33.313075710169109</v>
      </c>
      <c r="H75" s="307">
        <f t="shared" ca="1" si="41"/>
        <v>146.49943445330698</v>
      </c>
      <c r="I75" s="304">
        <f t="shared" ca="1" si="42"/>
        <v>150.23929349011942</v>
      </c>
      <c r="J75" s="306">
        <f t="shared" ca="1" si="43"/>
        <v>123.87271149018366</v>
      </c>
      <c r="K75" s="307">
        <f t="shared" ca="1" si="44"/>
        <v>599.94818243523036</v>
      </c>
      <c r="L75" s="304">
        <f t="shared" ca="1" si="29"/>
        <v>612.60286504330577</v>
      </c>
      <c r="M75" s="306">
        <f t="shared" ca="1" si="45"/>
        <v>1.3472045206809911</v>
      </c>
      <c r="N75" s="304">
        <f t="shared" ca="1" si="46"/>
        <v>77.189133175965821</v>
      </c>
      <c r="P75" s="310">
        <f t="shared" ca="1" si="47"/>
        <v>3</v>
      </c>
      <c r="Q75" s="304">
        <f t="shared" ca="1" si="48"/>
        <v>0</v>
      </c>
      <c r="R75" s="306">
        <f t="shared" ca="1" si="49"/>
        <v>0</v>
      </c>
      <c r="S75" s="307">
        <f t="shared" ca="1" si="50"/>
        <v>2.5949999999999998</v>
      </c>
      <c r="T75" s="304">
        <f t="shared" ca="1" si="30"/>
        <v>25.456949999999999</v>
      </c>
      <c r="U75" s="311">
        <f t="shared" ca="1" si="31"/>
        <v>0</v>
      </c>
      <c r="V75" s="306">
        <f t="shared" ca="1" si="32"/>
        <v>1.1536467599845901</v>
      </c>
      <c r="W75" s="304">
        <f t="shared" ca="1" si="33"/>
        <v>53.322780241508788</v>
      </c>
      <c r="Y75" s="314" t="str">
        <f t="shared" ca="1" si="51"/>
        <v/>
      </c>
      <c r="Z75" s="315" t="str">
        <f t="shared" ca="1" si="52"/>
        <v/>
      </c>
      <c r="AA75" s="316" t="str">
        <f t="shared" ca="1" si="53"/>
        <v/>
      </c>
      <c r="AC75" s="310" t="e">
        <f t="shared" ca="1" si="54"/>
        <v>#N/A</v>
      </c>
      <c r="AD75" s="323" t="e">
        <f t="shared" ca="1" si="55"/>
        <v>#N/A</v>
      </c>
      <c r="AE75" s="324">
        <f t="shared" ca="1" si="34"/>
        <v>599.94818243523036</v>
      </c>
      <c r="AG75" s="306">
        <f t="shared" ca="1" si="56"/>
        <v>-30.200115610970034</v>
      </c>
      <c r="AH75" s="304">
        <f t="shared" ca="1" si="57"/>
        <v>-20.63399819507886</v>
      </c>
    </row>
    <row r="76" spans="1:34" x14ac:dyDescent="0.2">
      <c r="A76" s="347">
        <f t="shared" ca="1" si="35"/>
        <v>0.01</v>
      </c>
      <c r="B76" s="304">
        <f t="shared" ca="1" si="36"/>
        <v>3.9199999999999848</v>
      </c>
      <c r="D76" s="306">
        <f t="shared" ca="1" si="37"/>
        <v>-4.55624031387116</v>
      </c>
      <c r="E76" s="307">
        <f t="shared" ca="1" si="38"/>
        <v>-29.846775800072002</v>
      </c>
      <c r="F76" s="304">
        <f t="shared" ca="1" si="39"/>
        <v>30.192538009539849</v>
      </c>
      <c r="G76" s="306">
        <f t="shared" ca="1" si="40"/>
        <v>33.267513307030399</v>
      </c>
      <c r="H76" s="307">
        <f t="shared" ca="1" si="41"/>
        <v>146.20096669530625</v>
      </c>
      <c r="I76" s="304">
        <f t="shared" ca="1" si="42"/>
        <v>149.93815426460168</v>
      </c>
      <c r="J76" s="306">
        <f t="shared" ca="1" si="43"/>
        <v>124.20561443526965</v>
      </c>
      <c r="K76" s="307">
        <f t="shared" ca="1" si="44"/>
        <v>601.41168444097343</v>
      </c>
      <c r="L76" s="304">
        <f t="shared" ca="1" si="29"/>
        <v>614.10345125180004</v>
      </c>
      <c r="M76" s="306">
        <f t="shared" ca="1" si="45"/>
        <v>1.3470594471947266</v>
      </c>
      <c r="N76" s="304">
        <f t="shared" ca="1" si="46"/>
        <v>77.180821077483614</v>
      </c>
      <c r="P76" s="310">
        <f t="shared" ca="1" si="47"/>
        <v>3</v>
      </c>
      <c r="Q76" s="304">
        <f t="shared" ca="1" si="48"/>
        <v>0</v>
      </c>
      <c r="R76" s="306">
        <f t="shared" ca="1" si="49"/>
        <v>0</v>
      </c>
      <c r="S76" s="307">
        <f t="shared" ca="1" si="50"/>
        <v>2.5949999999999998</v>
      </c>
      <c r="T76" s="304">
        <f t="shared" ca="1" si="30"/>
        <v>25.456949999999999</v>
      </c>
      <c r="U76" s="311">
        <f t="shared" ca="1" si="31"/>
        <v>0</v>
      </c>
      <c r="V76" s="306">
        <f t="shared" ca="1" si="32"/>
        <v>1.1534777834912546</v>
      </c>
      <c r="W76" s="304">
        <f t="shared" ca="1" si="33"/>
        <v>53.101455409405204</v>
      </c>
      <c r="Y76" s="314" t="str">
        <f t="shared" ca="1" si="51"/>
        <v/>
      </c>
      <c r="Z76" s="315" t="str">
        <f t="shared" ca="1" si="52"/>
        <v/>
      </c>
      <c r="AA76" s="316" t="str">
        <f t="shared" ca="1" si="53"/>
        <v/>
      </c>
      <c r="AC76" s="310" t="e">
        <f t="shared" ca="1" si="54"/>
        <v>#N/A</v>
      </c>
      <c r="AD76" s="323" t="e">
        <f t="shared" ca="1" si="55"/>
        <v>#N/A</v>
      </c>
      <c r="AE76" s="324">
        <f t="shared" ca="1" si="34"/>
        <v>601.41168444097343</v>
      </c>
      <c r="AG76" s="306">
        <f t="shared" ca="1" si="56"/>
        <v>-30.114080334066898</v>
      </c>
      <c r="AH76" s="304">
        <f t="shared" ca="1" si="57"/>
        <v>-20.548277549714371</v>
      </c>
    </row>
    <row r="77" spans="1:34" x14ac:dyDescent="0.2">
      <c r="A77" s="347">
        <f t="shared" ca="1" si="35"/>
        <v>0.01</v>
      </c>
      <c r="B77" s="304">
        <f t="shared" ca="1" si="36"/>
        <v>3.9299999999999846</v>
      </c>
      <c r="D77" s="306">
        <f t="shared" ca="1" si="37"/>
        <v>-4.5402235928114481</v>
      </c>
      <c r="E77" s="307">
        <f t="shared" ca="1" si="38"/>
        <v>-29.762951462157929</v>
      </c>
      <c r="F77" s="304">
        <f t="shared" ca="1" si="39"/>
        <v>30.10725676662506</v>
      </c>
      <c r="G77" s="306">
        <f t="shared" ca="1" si="40"/>
        <v>33.222111071102283</v>
      </c>
      <c r="H77" s="307">
        <f t="shared" ca="1" si="41"/>
        <v>145.90333718068467</v>
      </c>
      <c r="I77" s="304">
        <f t="shared" ca="1" si="42"/>
        <v>149.63787109044696</v>
      </c>
      <c r="J77" s="306">
        <f t="shared" ca="1" si="43"/>
        <v>124.53806255716032</v>
      </c>
      <c r="K77" s="307">
        <f t="shared" ca="1" si="44"/>
        <v>602.87220596035343</v>
      </c>
      <c r="L77" s="304">
        <f t="shared" ca="1" si="29"/>
        <v>615.60102805712893</v>
      </c>
      <c r="M77" s="306">
        <f t="shared" ca="1" si="45"/>
        <v>1.3469139898461306</v>
      </c>
      <c r="N77" s="304">
        <f t="shared" ca="1" si="46"/>
        <v>77.172486985309902</v>
      </c>
      <c r="P77" s="310">
        <f t="shared" ca="1" si="47"/>
        <v>3</v>
      </c>
      <c r="Q77" s="304">
        <f t="shared" ca="1" si="48"/>
        <v>0</v>
      </c>
      <c r="R77" s="306">
        <f t="shared" ca="1" si="49"/>
        <v>0</v>
      </c>
      <c r="S77" s="307">
        <f t="shared" ca="1" si="50"/>
        <v>2.5949999999999998</v>
      </c>
      <c r="T77" s="304">
        <f t="shared" ca="1" si="30"/>
        <v>25.456949999999999</v>
      </c>
      <c r="U77" s="311">
        <f t="shared" ca="1" si="31"/>
        <v>0</v>
      </c>
      <c r="V77" s="306">
        <f t="shared" ca="1" si="32"/>
        <v>1.1533091750588269</v>
      </c>
      <c r="W77" s="304">
        <f t="shared" ca="1" si="33"/>
        <v>52.881243391168653</v>
      </c>
      <c r="Y77" s="314" t="str">
        <f t="shared" ca="1" si="51"/>
        <v/>
      </c>
      <c r="Z77" s="315" t="str">
        <f t="shared" ca="1" si="52"/>
        <v/>
      </c>
      <c r="AA77" s="316" t="str">
        <f t="shared" ca="1" si="53"/>
        <v/>
      </c>
      <c r="AC77" s="310" t="e">
        <f t="shared" ca="1" si="54"/>
        <v>#N/A</v>
      </c>
      <c r="AD77" s="323" t="e">
        <f t="shared" ca="1" si="55"/>
        <v>#N/A</v>
      </c>
      <c r="AE77" s="324">
        <f t="shared" ca="1" si="34"/>
        <v>602.87220596035343</v>
      </c>
      <c r="AG77" s="306">
        <f t="shared" ca="1" si="56"/>
        <v>-30.028475716181823</v>
      </c>
      <c r="AH77" s="304">
        <f t="shared" ca="1" si="57"/>
        <v>-20.462988597073299</v>
      </c>
    </row>
    <row r="78" spans="1:34" x14ac:dyDescent="0.2">
      <c r="A78" s="347">
        <f t="shared" ca="1" si="35"/>
        <v>0.01</v>
      </c>
      <c r="B78" s="304">
        <f t="shared" ca="1" si="36"/>
        <v>3.9399999999999844</v>
      </c>
      <c r="D78" s="306">
        <f t="shared" ca="1" si="37"/>
        <v>-4.5242854811118631</v>
      </c>
      <c r="E78" s="307">
        <f t="shared" ca="1" si="38"/>
        <v>-29.679548585867103</v>
      </c>
      <c r="F78" s="304">
        <f t="shared" ca="1" si="39"/>
        <v>30.022404357003882</v>
      </c>
      <c r="G78" s="306">
        <f t="shared" ca="1" si="40"/>
        <v>33.176868216291162</v>
      </c>
      <c r="H78" s="307">
        <f t="shared" ca="1" si="41"/>
        <v>145.60654169482601</v>
      </c>
      <c r="I78" s="304">
        <f t="shared" ca="1" si="42"/>
        <v>149.33843968974716</v>
      </c>
      <c r="J78" s="306">
        <f t="shared" ca="1" si="43"/>
        <v>124.87005745359728</v>
      </c>
      <c r="K78" s="307">
        <f t="shared" ca="1" si="44"/>
        <v>604.32975535473099</v>
      </c>
      <c r="L78" s="304">
        <f t="shared" ca="1" si="29"/>
        <v>617.0956039833485</v>
      </c>
      <c r="M78" s="306">
        <f t="shared" ca="1" si="45"/>
        <v>1.3467681476805258</v>
      </c>
      <c r="N78" s="304">
        <f t="shared" ca="1" si="46"/>
        <v>77.164130844745699</v>
      </c>
      <c r="P78" s="310">
        <f t="shared" ca="1" si="47"/>
        <v>3</v>
      </c>
      <c r="Q78" s="304">
        <f t="shared" ca="1" si="48"/>
        <v>0</v>
      </c>
      <c r="R78" s="306">
        <f t="shared" ca="1" si="49"/>
        <v>0</v>
      </c>
      <c r="S78" s="307">
        <f t="shared" ca="1" si="50"/>
        <v>2.5949999999999998</v>
      </c>
      <c r="T78" s="304">
        <f t="shared" ca="1" si="30"/>
        <v>25.456949999999999</v>
      </c>
      <c r="U78" s="311">
        <f t="shared" ca="1" si="31"/>
        <v>0</v>
      </c>
      <c r="V78" s="306">
        <f t="shared" ca="1" si="32"/>
        <v>1.1531409335708043</v>
      </c>
      <c r="W78" s="304">
        <f t="shared" ca="1" si="33"/>
        <v>52.662136820114732</v>
      </c>
      <c r="Y78" s="314" t="str">
        <f t="shared" ca="1" si="51"/>
        <v/>
      </c>
      <c r="Z78" s="315" t="str">
        <f t="shared" ca="1" si="52"/>
        <v/>
      </c>
      <c r="AA78" s="316" t="str">
        <f t="shared" ca="1" si="53"/>
        <v/>
      </c>
      <c r="AC78" s="310" t="e">
        <f t="shared" ca="1" si="54"/>
        <v>#N/A</v>
      </c>
      <c r="AD78" s="323" t="e">
        <f t="shared" ca="1" si="55"/>
        <v>#N/A</v>
      </c>
      <c r="AE78" s="324">
        <f t="shared" ca="1" si="34"/>
        <v>604.32975535473099</v>
      </c>
      <c r="AG78" s="306">
        <f t="shared" ca="1" si="56"/>
        <v>-29.94329889093968</v>
      </c>
      <c r="AH78" s="304">
        <f t="shared" ca="1" si="57"/>
        <v>-20.378128474438789</v>
      </c>
    </row>
    <row r="79" spans="1:34" x14ac:dyDescent="0.2">
      <c r="A79" s="347">
        <f t="shared" ca="1" si="35"/>
        <v>0.01</v>
      </c>
      <c r="B79" s="304">
        <f t="shared" ca="1" si="36"/>
        <v>3.9499999999999842</v>
      </c>
      <c r="D79" s="306">
        <f t="shared" ca="1" si="37"/>
        <v>-4.5084254545483144</v>
      </c>
      <c r="E79" s="307">
        <f t="shared" ca="1" si="38"/>
        <v>-29.596564381123777</v>
      </c>
      <c r="F79" s="304">
        <f t="shared" ca="1" si="39"/>
        <v>29.937977941825395</v>
      </c>
      <c r="G79" s="306">
        <f t="shared" ca="1" si="40"/>
        <v>33.131783961745676</v>
      </c>
      <c r="H79" s="307">
        <f t="shared" ca="1" si="41"/>
        <v>145.31057605101478</v>
      </c>
      <c r="I79" s="304">
        <f t="shared" ca="1" si="42"/>
        <v>149.03985581301913</v>
      </c>
      <c r="J79" s="306">
        <f t="shared" ca="1" si="43"/>
        <v>125.20160071448747</v>
      </c>
      <c r="K79" s="307">
        <f t="shared" ca="1" si="44"/>
        <v>605.78434094346017</v>
      </c>
      <c r="L79" s="304">
        <f t="shared" ca="1" si="29"/>
        <v>618.58718751181095</v>
      </c>
      <c r="M79" s="306">
        <f t="shared" ca="1" si="45"/>
        <v>1.3466219197393217</v>
      </c>
      <c r="N79" s="304">
        <f t="shared" ca="1" si="46"/>
        <v>77.155752600867814</v>
      </c>
      <c r="P79" s="310">
        <f t="shared" ca="1" si="47"/>
        <v>3</v>
      </c>
      <c r="Q79" s="304">
        <f t="shared" ca="1" si="48"/>
        <v>0</v>
      </c>
      <c r="R79" s="306">
        <f t="shared" ca="1" si="49"/>
        <v>0</v>
      </c>
      <c r="S79" s="307">
        <f t="shared" ca="1" si="50"/>
        <v>2.5949999999999998</v>
      </c>
      <c r="T79" s="304">
        <f t="shared" ca="1" si="30"/>
        <v>25.456949999999999</v>
      </c>
      <c r="U79" s="311">
        <f t="shared" ca="1" si="31"/>
        <v>0</v>
      </c>
      <c r="V79" s="306">
        <f t="shared" ca="1" si="32"/>
        <v>1.1529730579164392</v>
      </c>
      <c r="W79" s="304">
        <f t="shared" ca="1" si="33"/>
        <v>52.4441283910026</v>
      </c>
      <c r="Y79" s="314" t="str">
        <f t="shared" ca="1" si="51"/>
        <v/>
      </c>
      <c r="Z79" s="315" t="str">
        <f t="shared" ca="1" si="52"/>
        <v/>
      </c>
      <c r="AA79" s="316" t="str">
        <f t="shared" ca="1" si="53"/>
        <v/>
      </c>
      <c r="AC79" s="310" t="e">
        <f t="shared" ca="1" si="54"/>
        <v>#N/A</v>
      </c>
      <c r="AD79" s="323" t="e">
        <f t="shared" ca="1" si="55"/>
        <v>#N/A</v>
      </c>
      <c r="AE79" s="324">
        <f t="shared" ca="1" si="34"/>
        <v>605.78434094346017</v>
      </c>
      <c r="AG79" s="306">
        <f t="shared" ca="1" si="56"/>
        <v>-29.858547015864914</v>
      </c>
      <c r="AH79" s="304">
        <f t="shared" ca="1" si="57"/>
        <v>-20.29369434301146</v>
      </c>
    </row>
    <row r="80" spans="1:34" x14ac:dyDescent="0.2">
      <c r="A80" s="347">
        <f t="shared" ca="1" si="35"/>
        <v>0.01</v>
      </c>
      <c r="B80" s="304">
        <f t="shared" ca="1" si="36"/>
        <v>3.959999999999984</v>
      </c>
      <c r="D80" s="306">
        <f t="shared" ca="1" si="37"/>
        <v>-4.492642993264754</v>
      </c>
      <c r="E80" s="307">
        <f t="shared" ca="1" si="38"/>
        <v>-29.513996081123175</v>
      </c>
      <c r="F80" s="304">
        <f t="shared" ca="1" si="39"/>
        <v>29.853974705916212</v>
      </c>
      <c r="G80" s="306">
        <f t="shared" ca="1" si="40"/>
        <v>33.086857531813031</v>
      </c>
      <c r="H80" s="307">
        <f t="shared" ca="1" si="41"/>
        <v>145.01543609020354</v>
      </c>
      <c r="I80" s="304">
        <f t="shared" ca="1" si="42"/>
        <v>148.74211523896787</v>
      </c>
      <c r="J80" s="306">
        <f t="shared" ca="1" si="43"/>
        <v>125.53269392195526</v>
      </c>
      <c r="K80" s="307">
        <f t="shared" ca="1" si="44"/>
        <v>607.23597100416623</v>
      </c>
      <c r="L80" s="304">
        <f t="shared" ca="1" si="29"/>
        <v>620.07578708144695</v>
      </c>
      <c r="M80" s="306">
        <f t="shared" ca="1" si="45"/>
        <v>1.3464753050599996</v>
      </c>
      <c r="N80" s="304">
        <f t="shared" ca="1" si="46"/>
        <v>77.147352198527997</v>
      </c>
      <c r="P80" s="310">
        <f t="shared" ca="1" si="47"/>
        <v>3</v>
      </c>
      <c r="Q80" s="304">
        <f t="shared" ca="1" si="48"/>
        <v>0</v>
      </c>
      <c r="R80" s="306">
        <f t="shared" ca="1" si="49"/>
        <v>0</v>
      </c>
      <c r="S80" s="307">
        <f t="shared" ca="1" si="50"/>
        <v>2.5949999999999998</v>
      </c>
      <c r="T80" s="304">
        <f t="shared" ca="1" si="30"/>
        <v>25.456949999999999</v>
      </c>
      <c r="U80" s="311">
        <f t="shared" ca="1" si="31"/>
        <v>0</v>
      </c>
      <c r="V80" s="306">
        <f t="shared" ca="1" si="32"/>
        <v>1.1528055469907006</v>
      </c>
      <c r="W80" s="304">
        <f t="shared" ca="1" si="33"/>
        <v>52.227210859419593</v>
      </c>
      <c r="Y80" s="314" t="str">
        <f t="shared" ca="1" si="51"/>
        <v/>
      </c>
      <c r="Z80" s="315" t="str">
        <f t="shared" ca="1" si="52"/>
        <v/>
      </c>
      <c r="AA80" s="316" t="str">
        <f t="shared" ca="1" si="53"/>
        <v/>
      </c>
      <c r="AC80" s="310" t="e">
        <f t="shared" ca="1" si="54"/>
        <v>#N/A</v>
      </c>
      <c r="AD80" s="323" t="e">
        <f t="shared" ca="1" si="55"/>
        <v>#N/A</v>
      </c>
      <c r="AE80" s="324">
        <f t="shared" ca="1" si="34"/>
        <v>607.23597100416623</v>
      </c>
      <c r="AG80" s="306">
        <f t="shared" ca="1" si="56"/>
        <v>-29.774217272141676</v>
      </c>
      <c r="AH80" s="304">
        <f t="shared" ca="1" si="57"/>
        <v>-20.209683387669596</v>
      </c>
    </row>
    <row r="81" spans="1:34" x14ac:dyDescent="0.2">
      <c r="A81" s="347">
        <f t="shared" ca="1" si="35"/>
        <v>0.01</v>
      </c>
      <c r="B81" s="304">
        <f t="shared" ca="1" si="36"/>
        <v>3.9699999999999838</v>
      </c>
      <c r="D81" s="306">
        <f t="shared" ca="1" si="37"/>
        <v>-4.4769375817293842</v>
      </c>
      <c r="E81" s="307">
        <f t="shared" ca="1" si="38"/>
        <v>-29.431840942098461</v>
      </c>
      <c r="F81" s="304">
        <f t="shared" ca="1" si="39"/>
        <v>29.770391857543363</v>
      </c>
      <c r="G81" s="306">
        <f t="shared" ca="1" si="40"/>
        <v>33.042088155995735</v>
      </c>
      <c r="H81" s="307">
        <f t="shared" ca="1" si="41"/>
        <v>144.72111768078256</v>
      </c>
      <c r="I81" s="304">
        <f t="shared" ca="1" si="42"/>
        <v>148.44521377425244</v>
      </c>
      <c r="J81" s="306">
        <f t="shared" ca="1" si="43"/>
        <v>125.8633386503943</v>
      </c>
      <c r="K81" s="307">
        <f t="shared" ca="1" si="44"/>
        <v>608.68465377302118</v>
      </c>
      <c r="L81" s="304">
        <f t="shared" ca="1" si="29"/>
        <v>621.56141108904637</v>
      </c>
      <c r="M81" s="306">
        <f t="shared" ca="1" si="45"/>
        <v>1.3463283026760944</v>
      </c>
      <c r="N81" s="304">
        <f t="shared" ca="1" si="46"/>
        <v>77.138929582351864</v>
      </c>
      <c r="P81" s="310">
        <f t="shared" ca="1" si="47"/>
        <v>3</v>
      </c>
      <c r="Q81" s="304">
        <f t="shared" ca="1" si="48"/>
        <v>0</v>
      </c>
      <c r="R81" s="306">
        <f t="shared" ca="1" si="49"/>
        <v>0</v>
      </c>
      <c r="S81" s="307">
        <f t="shared" ca="1" si="50"/>
        <v>2.5949999999999998</v>
      </c>
      <c r="T81" s="304">
        <f t="shared" ca="1" si="30"/>
        <v>25.456949999999999</v>
      </c>
      <c r="U81" s="311">
        <f t="shared" ca="1" si="31"/>
        <v>0</v>
      </c>
      <c r="V81" s="306">
        <f t="shared" ca="1" si="32"/>
        <v>1.152638399694234</v>
      </c>
      <c r="W81" s="304">
        <f t="shared" ca="1" si="33"/>
        <v>52.011377041173311</v>
      </c>
      <c r="Y81" s="314" t="str">
        <f t="shared" ca="1" si="51"/>
        <v/>
      </c>
      <c r="Z81" s="315" t="str">
        <f t="shared" ca="1" si="52"/>
        <v/>
      </c>
      <c r="AA81" s="316" t="str">
        <f t="shared" ca="1" si="53"/>
        <v/>
      </c>
      <c r="AC81" s="310" t="e">
        <f t="shared" ca="1" si="54"/>
        <v>#N/A</v>
      </c>
      <c r="AD81" s="323" t="e">
        <f t="shared" ca="1" si="55"/>
        <v>#N/A</v>
      </c>
      <c r="AE81" s="324">
        <f t="shared" ca="1" si="34"/>
        <v>608.68465377302118</v>
      </c>
      <c r="AG81" s="306">
        <f t="shared" ca="1" si="56"/>
        <v>-29.690306864376545</v>
      </c>
      <c r="AH81" s="304">
        <f t="shared" ca="1" si="57"/>
        <v>-20.126092816732022</v>
      </c>
    </row>
    <row r="82" spans="1:34" x14ac:dyDescent="0.2">
      <c r="A82" s="347">
        <f t="shared" ca="1" si="35"/>
        <v>0.01</v>
      </c>
      <c r="B82" s="304">
        <f t="shared" ca="1" si="36"/>
        <v>3.9799999999999836</v>
      </c>
      <c r="D82" s="306">
        <f t="shared" ca="1" si="37"/>
        <v>-4.4613087086914494</v>
      </c>
      <c r="E82" s="307">
        <f t="shared" ca="1" si="38"/>
        <v>-29.350096243090441</v>
      </c>
      <c r="F82" s="304">
        <f t="shared" ca="1" si="39"/>
        <v>29.687226628179967</v>
      </c>
      <c r="G82" s="306">
        <f t="shared" ca="1" si="40"/>
        <v>32.99747506890882</v>
      </c>
      <c r="H82" s="307">
        <f t="shared" ca="1" si="41"/>
        <v>144.42761671835166</v>
      </c>
      <c r="I82" s="304">
        <f t="shared" ca="1" si="42"/>
        <v>148.14914725325403</v>
      </c>
      <c r="J82" s="306">
        <f t="shared" ca="1" si="43"/>
        <v>126.19353646651882</v>
      </c>
      <c r="K82" s="307">
        <f t="shared" ca="1" si="44"/>
        <v>610.1303974450168</v>
      </c>
      <c r="L82" s="304">
        <f t="shared" ca="1" si="29"/>
        <v>623.044067889536</v>
      </c>
      <c r="M82" s="306">
        <f t="shared" ca="1" si="45"/>
        <v>1.3461809116171766</v>
      </c>
      <c r="N82" s="304">
        <f t="shared" ca="1" si="46"/>
        <v>77.130484696737909</v>
      </c>
      <c r="P82" s="310">
        <f t="shared" ca="1" si="47"/>
        <v>3</v>
      </c>
      <c r="Q82" s="304">
        <f t="shared" ca="1" si="48"/>
        <v>0</v>
      </c>
      <c r="R82" s="306">
        <f t="shared" ca="1" si="49"/>
        <v>0</v>
      </c>
      <c r="S82" s="307">
        <f t="shared" ca="1" si="50"/>
        <v>2.5949999999999998</v>
      </c>
      <c r="T82" s="304">
        <f t="shared" ca="1" si="30"/>
        <v>25.456949999999999</v>
      </c>
      <c r="U82" s="311">
        <f t="shared" ca="1" si="31"/>
        <v>0</v>
      </c>
      <c r="V82" s="306">
        <f t="shared" ca="1" si="32"/>
        <v>1.1524716149333243</v>
      </c>
      <c r="W82" s="304">
        <f t="shared" ca="1" si="33"/>
        <v>51.79661981169069</v>
      </c>
      <c r="Y82" s="314" t="str">
        <f t="shared" ca="1" si="51"/>
        <v/>
      </c>
      <c r="Z82" s="315" t="str">
        <f t="shared" ca="1" si="52"/>
        <v/>
      </c>
      <c r="AA82" s="316" t="str">
        <f t="shared" ca="1" si="53"/>
        <v/>
      </c>
      <c r="AC82" s="310" t="e">
        <f t="shared" ca="1" si="54"/>
        <v>#N/A</v>
      </c>
      <c r="AD82" s="323" t="e">
        <f t="shared" ca="1" si="55"/>
        <v>#N/A</v>
      </c>
      <c r="AE82" s="324">
        <f t="shared" ca="1" si="34"/>
        <v>610.1303974450168</v>
      </c>
      <c r="AG82" s="306">
        <f t="shared" ca="1" si="56"/>
        <v>-29.606813020364172</v>
      </c>
      <c r="AH82" s="304">
        <f t="shared" ca="1" si="57"/>
        <v>-20.042919861723821</v>
      </c>
    </row>
    <row r="83" spans="1:34" x14ac:dyDescent="0.2">
      <c r="A83" s="347">
        <f t="shared" ca="1" si="35"/>
        <v>0.01</v>
      </c>
      <c r="B83" s="304">
        <f t="shared" ca="1" si="36"/>
        <v>3.9899999999999833</v>
      </c>
      <c r="D83" s="306">
        <f t="shared" ca="1" si="37"/>
        <v>-4.4457558671385113</v>
      </c>
      <c r="E83" s="307">
        <f t="shared" ca="1" si="38"/>
        <v>-29.268759285720016</v>
      </c>
      <c r="F83" s="304">
        <f t="shared" ca="1" si="39"/>
        <v>29.604476272273729</v>
      </c>
      <c r="G83" s="306">
        <f t="shared" ca="1" si="40"/>
        <v>32.953017510237437</v>
      </c>
      <c r="H83" s="307">
        <f t="shared" ca="1" si="41"/>
        <v>144.13492912549447</v>
      </c>
      <c r="I83" s="304">
        <f t="shared" ca="1" si="42"/>
        <v>147.85391153784647</v>
      </c>
      <c r="J83" s="306">
        <f t="shared" ca="1" si="43"/>
        <v>126.52328892941455</v>
      </c>
      <c r="K83" s="307">
        <f t="shared" ca="1" si="44"/>
        <v>611.57321017423601</v>
      </c>
      <c r="L83" s="304">
        <f t="shared" ca="1" si="29"/>
        <v>624.5237657962557</v>
      </c>
      <c r="M83" s="306">
        <f t="shared" ca="1" si="45"/>
        <v>1.3460331309088354</v>
      </c>
      <c r="N83" s="304">
        <f t="shared" ca="1" si="46"/>
        <v>77.122017485856503</v>
      </c>
      <c r="P83" s="310">
        <f t="shared" ca="1" si="47"/>
        <v>3</v>
      </c>
      <c r="Q83" s="304">
        <f t="shared" ca="1" si="48"/>
        <v>0</v>
      </c>
      <c r="R83" s="306">
        <f t="shared" ca="1" si="49"/>
        <v>0</v>
      </c>
      <c r="S83" s="307">
        <f t="shared" ca="1" si="50"/>
        <v>2.5949999999999998</v>
      </c>
      <c r="T83" s="304">
        <f t="shared" ca="1" si="30"/>
        <v>25.456949999999999</v>
      </c>
      <c r="U83" s="311">
        <f t="shared" ca="1" si="31"/>
        <v>0</v>
      </c>
      <c r="V83" s="306">
        <f t="shared" ca="1" si="32"/>
        <v>1.1523051916198583</v>
      </c>
      <c r="W83" s="304">
        <f t="shared" ca="1" si="33"/>
        <v>51.582932105424192</v>
      </c>
      <c r="Y83" s="314" t="str">
        <f t="shared" ca="1" si="51"/>
        <v/>
      </c>
      <c r="Z83" s="315" t="str">
        <f t="shared" ca="1" si="52"/>
        <v/>
      </c>
      <c r="AA83" s="316" t="str">
        <f t="shared" ca="1" si="53"/>
        <v/>
      </c>
      <c r="AC83" s="310" t="e">
        <f t="shared" ca="1" si="54"/>
        <v>#N/A</v>
      </c>
      <c r="AD83" s="323" t="e">
        <f t="shared" ca="1" si="55"/>
        <v>#N/A</v>
      </c>
      <c r="AE83" s="324">
        <f t="shared" ca="1" si="34"/>
        <v>611.57321017423601</v>
      </c>
      <c r="AG83" s="306">
        <f t="shared" ca="1" si="56"/>
        <v>-29.523732990855624</v>
      </c>
      <c r="AH83" s="304">
        <f t="shared" ca="1" si="57"/>
        <v>-19.960161777144776</v>
      </c>
    </row>
    <row r="84" spans="1:34" x14ac:dyDescent="0.2">
      <c r="A84" s="347">
        <f t="shared" ca="1" si="35"/>
        <v>0.01</v>
      </c>
      <c r="B84" s="304">
        <f t="shared" ca="1" si="36"/>
        <v>3.9999999999999831</v>
      </c>
      <c r="D84" s="306">
        <f t="shared" ca="1" si="37"/>
        <v>-4.4302785542542189</v>
      </c>
      <c r="E84" s="307">
        <f t="shared" ca="1" si="38"/>
        <v>-29.187827393963254</v>
      </c>
      <c r="F84" s="304">
        <f t="shared" ca="1" si="39"/>
        <v>29.522138067018055</v>
      </c>
      <c r="G84" s="306">
        <f t="shared" ca="1" si="40"/>
        <v>32.908714724694896</v>
      </c>
      <c r="H84" s="307">
        <f t="shared" ca="1" si="41"/>
        <v>143.84305085155484</v>
      </c>
      <c r="I84" s="304">
        <f t="shared" ca="1" si="42"/>
        <v>147.5595025171688</v>
      </c>
      <c r="J84" s="306">
        <f t="shared" ca="1" si="43"/>
        <v>126.85259759058921</v>
      </c>
      <c r="K84" s="307">
        <f t="shared" ca="1" si="44"/>
        <v>613.01310007412121</v>
      </c>
      <c r="L84" s="304">
        <f t="shared" ca="1" si="29"/>
        <v>626.00051308123102</v>
      </c>
      <c r="M84" s="306">
        <f t="shared" ca="1" si="45"/>
        <v>1.3458849595726612</v>
      </c>
      <c r="N84" s="304">
        <f t="shared" ca="1" si="46"/>
        <v>77.113527893648907</v>
      </c>
      <c r="P84" s="310">
        <f t="shared" ca="1" si="47"/>
        <v>3</v>
      </c>
      <c r="Q84" s="304">
        <f t="shared" ca="1" si="48"/>
        <v>0</v>
      </c>
      <c r="R84" s="306">
        <f t="shared" ca="1" si="49"/>
        <v>0</v>
      </c>
      <c r="S84" s="307">
        <f t="shared" ca="1" si="50"/>
        <v>2.5949999999999998</v>
      </c>
      <c r="T84" s="304">
        <f t="shared" ca="1" si="30"/>
        <v>25.456949999999999</v>
      </c>
      <c r="U84" s="311">
        <f t="shared" ca="1" si="31"/>
        <v>0</v>
      </c>
      <c r="V84" s="306">
        <f t="shared" ca="1" si="32"/>
        <v>1.1521391286712861</v>
      </c>
      <c r="W84" s="304">
        <f t="shared" ca="1" si="33"/>
        <v>51.370306915264678</v>
      </c>
      <c r="Y84" s="314" t="str">
        <f t="shared" ca="1" si="51"/>
        <v/>
      </c>
      <c r="Z84" s="315" t="str">
        <f t="shared" ca="1" si="52"/>
        <v/>
      </c>
      <c r="AA84" s="316" t="str">
        <f t="shared" ca="1" si="53"/>
        <v/>
      </c>
      <c r="AC84" s="310">
        <f t="shared" ca="1" si="54"/>
        <v>3.9999999999999831</v>
      </c>
      <c r="AD84" s="323">
        <f t="shared" ca="1" si="55"/>
        <v>126.85259759058921</v>
      </c>
      <c r="AE84" s="324">
        <f t="shared" ca="1" si="34"/>
        <v>613.01310007412121</v>
      </c>
      <c r="AG84" s="306">
        <f t="shared" ca="1" si="56"/>
        <v>-29.441064049329448</v>
      </c>
      <c r="AH84" s="304">
        <f t="shared" ca="1" si="57"/>
        <v>-19.877815840240537</v>
      </c>
    </row>
    <row r="85" spans="1:34" x14ac:dyDescent="0.2">
      <c r="A85" s="347">
        <f t="shared" ca="1" si="35"/>
        <v>0.01</v>
      </c>
      <c r="B85" s="304">
        <f t="shared" ca="1" si="36"/>
        <v>4.0099999999999829</v>
      </c>
      <c r="D85" s="306">
        <f t="shared" ca="1" si="37"/>
        <v>-4.4148762713765572</v>
      </c>
      <c r="E85" s="307">
        <f t="shared" ca="1" si="38"/>
        <v>-29.107297913929052</v>
      </c>
      <c r="F85" s="304">
        <f t="shared" ca="1" si="39"/>
        <v>29.440209312125862</v>
      </c>
      <c r="G85" s="306">
        <f t="shared" ca="1" si="40"/>
        <v>32.864565961981128</v>
      </c>
      <c r="H85" s="307">
        <f t="shared" ca="1" si="41"/>
        <v>143.55197787241553</v>
      </c>
      <c r="I85" s="304">
        <f t="shared" ca="1" si="42"/>
        <v>147.26591610740039</v>
      </c>
      <c r="J85" s="306">
        <f t="shared" ca="1" si="43"/>
        <v>127.18146399402259</v>
      </c>
      <c r="K85" s="307">
        <f t="shared" ca="1" si="44"/>
        <v>614.45007521774107</v>
      </c>
      <c r="L85" s="304">
        <f t="shared" ca="1" si="29"/>
        <v>627.4743179754455</v>
      </c>
      <c r="M85" s="306">
        <f t="shared" ca="1" si="45"/>
        <v>1.345736396626227</v>
      </c>
      <c r="N85" s="304">
        <f t="shared" ca="1" si="46"/>
        <v>77.10501586382621</v>
      </c>
      <c r="P85" s="310">
        <f t="shared" ca="1" si="47"/>
        <v>3</v>
      </c>
      <c r="Q85" s="304">
        <f t="shared" ca="1" si="48"/>
        <v>0</v>
      </c>
      <c r="R85" s="306">
        <f t="shared" ca="1" si="49"/>
        <v>0</v>
      </c>
      <c r="S85" s="307">
        <f t="shared" ca="1" si="50"/>
        <v>2.5949999999999998</v>
      </c>
      <c r="T85" s="304">
        <f t="shared" ca="1" si="30"/>
        <v>25.456949999999999</v>
      </c>
      <c r="U85" s="311">
        <f t="shared" ca="1" si="31"/>
        <v>0</v>
      </c>
      <c r="V85" s="306">
        <f t="shared" ca="1" si="32"/>
        <v>1.1519734250105838</v>
      </c>
      <c r="W85" s="304">
        <f t="shared" ca="1" si="33"/>
        <v>51.158737291961259</v>
      </c>
      <c r="Y85" s="314" t="str">
        <f t="shared" ca="1" si="51"/>
        <v/>
      </c>
      <c r="Z85" s="315" t="str">
        <f t="shared" ca="1" si="52"/>
        <v/>
      </c>
      <c r="AA85" s="316" t="str">
        <f t="shared" ca="1" si="53"/>
        <v/>
      </c>
      <c r="AC85" s="310" t="e">
        <f t="shared" ca="1" si="54"/>
        <v>#N/A</v>
      </c>
      <c r="AD85" s="323" t="e">
        <f t="shared" ca="1" si="55"/>
        <v>#N/A</v>
      </c>
      <c r="AE85" s="324">
        <f t="shared" ca="1" si="34"/>
        <v>614.45007521774107</v>
      </c>
      <c r="AG85" s="306">
        <f t="shared" ca="1" si="56"/>
        <v>-29.358803491765322</v>
      </c>
      <c r="AH85" s="304">
        <f t="shared" ca="1" si="57"/>
        <v>-19.795879350776371</v>
      </c>
    </row>
    <row r="86" spans="1:34" x14ac:dyDescent="0.2">
      <c r="A86" s="347">
        <f t="shared" ca="1" si="35"/>
        <v>0.01</v>
      </c>
      <c r="B86" s="304">
        <f t="shared" ca="1" si="36"/>
        <v>4.0199999999999827</v>
      </c>
      <c r="D86" s="306">
        <f t="shared" ca="1" si="37"/>
        <v>-4.3995485239566099</v>
      </c>
      <c r="E86" s="307">
        <f t="shared" ca="1" si="38"/>
        <v>-29.027168213639364</v>
      </c>
      <c r="F86" s="304">
        <f t="shared" ca="1" si="39"/>
        <v>29.358687329605939</v>
      </c>
      <c r="G86" s="306">
        <f t="shared" ca="1" si="40"/>
        <v>32.820570476741565</v>
      </c>
      <c r="H86" s="307">
        <f t="shared" ca="1" si="41"/>
        <v>143.26170619027914</v>
      </c>
      <c r="I86" s="304">
        <f t="shared" ca="1" si="42"/>
        <v>146.97314825153822</v>
      </c>
      <c r="J86" s="306">
        <f t="shared" ca="1" si="43"/>
        <v>127.5098896762162</v>
      </c>
      <c r="K86" s="307">
        <f t="shared" ca="1" si="44"/>
        <v>615.88414363805452</v>
      </c>
      <c r="L86" s="304">
        <f t="shared" ca="1" si="29"/>
        <v>628.94518866910857</v>
      </c>
      <c r="M86" s="306">
        <f t="shared" ca="1" si="45"/>
        <v>1.3455874410830713</v>
      </c>
      <c r="N86" s="304">
        <f t="shared" ca="1" si="46"/>
        <v>77.096481339868305</v>
      </c>
      <c r="P86" s="310">
        <f t="shared" ca="1" si="47"/>
        <v>3</v>
      </c>
      <c r="Q86" s="304">
        <f t="shared" ca="1" si="48"/>
        <v>0</v>
      </c>
      <c r="R86" s="306">
        <f t="shared" ca="1" si="49"/>
        <v>0</v>
      </c>
      <c r="S86" s="307">
        <f t="shared" ca="1" si="50"/>
        <v>2.5949999999999998</v>
      </c>
      <c r="T86" s="304">
        <f t="shared" ca="1" si="30"/>
        <v>25.456949999999999</v>
      </c>
      <c r="U86" s="311">
        <f t="shared" ca="1" si="31"/>
        <v>0</v>
      </c>
      <c r="V86" s="306">
        <f t="shared" ca="1" si="32"/>
        <v>1.1518080795662178</v>
      </c>
      <c r="W86" s="304">
        <f t="shared" ca="1" si="33"/>
        <v>50.94821634354799</v>
      </c>
      <c r="Y86" s="314" t="str">
        <f t="shared" ca="1" si="51"/>
        <v/>
      </c>
      <c r="Z86" s="315" t="str">
        <f t="shared" ca="1" si="52"/>
        <v/>
      </c>
      <c r="AA86" s="316" t="str">
        <f t="shared" ca="1" si="53"/>
        <v/>
      </c>
      <c r="AC86" s="310" t="e">
        <f t="shared" ca="1" si="54"/>
        <v>#N/A</v>
      </c>
      <c r="AD86" s="323" t="e">
        <f t="shared" ca="1" si="55"/>
        <v>#N/A</v>
      </c>
      <c r="AE86" s="324">
        <f t="shared" ca="1" si="34"/>
        <v>615.88414363805452</v>
      </c>
      <c r="AG86" s="306">
        <f t="shared" ca="1" si="56"/>
        <v>-29.276948636420357</v>
      </c>
      <c r="AH86" s="304">
        <f t="shared" ca="1" si="57"/>
        <v>-19.71434963081359</v>
      </c>
    </row>
    <row r="87" spans="1:34" x14ac:dyDescent="0.2">
      <c r="A87" s="347">
        <f t="shared" ca="1" si="35"/>
        <v>0.01</v>
      </c>
      <c r="B87" s="304">
        <f t="shared" ca="1" si="36"/>
        <v>4.0299999999999825</v>
      </c>
      <c r="D87" s="306">
        <f t="shared" ca="1" si="37"/>
        <v>-4.384294821517785</v>
      </c>
      <c r="E87" s="307">
        <f t="shared" ca="1" si="38"/>
        <v>-28.947435682812099</v>
      </c>
      <c r="F87" s="304">
        <f t="shared" ca="1" si="39"/>
        <v>29.277569463542065</v>
      </c>
      <c r="G87" s="306">
        <f t="shared" ca="1" si="40"/>
        <v>32.776727528526386</v>
      </c>
      <c r="H87" s="307">
        <f t="shared" ca="1" si="41"/>
        <v>142.97223183345102</v>
      </c>
      <c r="I87" s="304">
        <f t="shared" ca="1" si="42"/>
        <v>146.68119491917608</v>
      </c>
      <c r="J87" s="306">
        <f t="shared" ca="1" si="43"/>
        <v>127.83787616624254</v>
      </c>
      <c r="K87" s="307">
        <f t="shared" ca="1" si="44"/>
        <v>617.31531332817315</v>
      </c>
      <c r="L87" s="304">
        <f t="shared" ca="1" si="29"/>
        <v>630.41313331192282</v>
      </c>
      <c r="M87" s="306">
        <f t="shared" ca="1" si="45"/>
        <v>1.3454380919526798</v>
      </c>
      <c r="N87" s="304">
        <f t="shared" ca="1" si="46"/>
        <v>77.08792426502292</v>
      </c>
      <c r="P87" s="310">
        <f t="shared" ca="1" si="47"/>
        <v>3</v>
      </c>
      <c r="Q87" s="304">
        <f t="shared" ca="1" si="48"/>
        <v>0</v>
      </c>
      <c r="R87" s="306">
        <f t="shared" ca="1" si="49"/>
        <v>0</v>
      </c>
      <c r="S87" s="307">
        <f t="shared" ca="1" si="50"/>
        <v>2.5949999999999998</v>
      </c>
      <c r="T87" s="304">
        <f t="shared" ca="1" si="30"/>
        <v>25.456949999999999</v>
      </c>
      <c r="U87" s="311">
        <f t="shared" ca="1" si="31"/>
        <v>0</v>
      </c>
      <c r="V87" s="306">
        <f t="shared" ca="1" si="32"/>
        <v>1.1516430912721061</v>
      </c>
      <c r="W87" s="304">
        <f t="shared" ca="1" si="33"/>
        <v>50.738737234776792</v>
      </c>
      <c r="Y87" s="314" t="str">
        <f t="shared" ca="1" si="51"/>
        <v/>
      </c>
      <c r="Z87" s="315" t="str">
        <f t="shared" ca="1" si="52"/>
        <v/>
      </c>
      <c r="AA87" s="316" t="str">
        <f t="shared" ca="1" si="53"/>
        <v/>
      </c>
      <c r="AC87" s="310" t="e">
        <f t="shared" ca="1" si="54"/>
        <v>#N/A</v>
      </c>
      <c r="AD87" s="323" t="e">
        <f t="shared" ca="1" si="55"/>
        <v>#N/A</v>
      </c>
      <c r="AE87" s="324">
        <f t="shared" ca="1" si="34"/>
        <v>617.31531332817315</v>
      </c>
      <c r="AG87" s="306">
        <f t="shared" ca="1" si="56"/>
        <v>-29.19549682360811</v>
      </c>
      <c r="AH87" s="304">
        <f t="shared" ca="1" si="57"/>
        <v>-19.63322402448863</v>
      </c>
    </row>
    <row r="88" spans="1:34" x14ac:dyDescent="0.2">
      <c r="A88" s="347">
        <f t="shared" ca="1" si="35"/>
        <v>0.01</v>
      </c>
      <c r="B88" s="304">
        <f t="shared" ca="1" si="36"/>
        <v>4.0399999999999823</v>
      </c>
      <c r="D88" s="306">
        <f t="shared" ca="1" si="37"/>
        <v>-4.3691146776154923</v>
      </c>
      <c r="E88" s="307">
        <f t="shared" ca="1" si="38"/>
        <v>-28.868097732646348</v>
      </c>
      <c r="F88" s="304">
        <f t="shared" ca="1" si="39"/>
        <v>29.196853079874487</v>
      </c>
      <c r="G88" s="306">
        <f t="shared" ca="1" si="40"/>
        <v>32.733036381750232</v>
      </c>
      <c r="H88" s="307">
        <f t="shared" ca="1" si="41"/>
        <v>142.68355085612455</v>
      </c>
      <c r="I88" s="304">
        <f t="shared" ca="1" si="42"/>
        <v>146.39005210628645</v>
      </c>
      <c r="J88" s="306">
        <f t="shared" ca="1" si="43"/>
        <v>128.16542498579392</v>
      </c>
      <c r="K88" s="307">
        <f t="shared" ca="1" si="44"/>
        <v>618.74359224162106</v>
      </c>
      <c r="L88" s="304">
        <f t="shared" ca="1" si="29"/>
        <v>631.87816001334829</v>
      </c>
      <c r="M88" s="306">
        <f t="shared" ca="1" si="45"/>
        <v>1.3452883482404676</v>
      </c>
      <c r="N88" s="304">
        <f t="shared" ca="1" si="46"/>
        <v>77.079344582304543</v>
      </c>
      <c r="P88" s="310">
        <f t="shared" ca="1" si="47"/>
        <v>3</v>
      </c>
      <c r="Q88" s="304">
        <f t="shared" ca="1" si="48"/>
        <v>0</v>
      </c>
      <c r="R88" s="306">
        <f t="shared" ca="1" si="49"/>
        <v>0</v>
      </c>
      <c r="S88" s="307">
        <f t="shared" ca="1" si="50"/>
        <v>2.5949999999999998</v>
      </c>
      <c r="T88" s="304">
        <f t="shared" ca="1" si="30"/>
        <v>25.456949999999999</v>
      </c>
      <c r="U88" s="311">
        <f t="shared" ca="1" si="31"/>
        <v>0</v>
      </c>
      <c r="V88" s="306">
        <f t="shared" ca="1" si="32"/>
        <v>1.1514784590675844</v>
      </c>
      <c r="W88" s="304">
        <f t="shared" ca="1" si="33"/>
        <v>50.530293186557451</v>
      </c>
      <c r="Y88" s="314" t="str">
        <f t="shared" ca="1" si="51"/>
        <v/>
      </c>
      <c r="Z88" s="315" t="str">
        <f t="shared" ca="1" si="52"/>
        <v/>
      </c>
      <c r="AA88" s="316" t="str">
        <f t="shared" ca="1" si="53"/>
        <v/>
      </c>
      <c r="AC88" s="310" t="e">
        <f t="shared" ca="1" si="54"/>
        <v>#N/A</v>
      </c>
      <c r="AD88" s="323" t="e">
        <f t="shared" ca="1" si="55"/>
        <v>#N/A</v>
      </c>
      <c r="AE88" s="324">
        <f t="shared" ca="1" si="34"/>
        <v>618.74359224162106</v>
      </c>
      <c r="AG88" s="306">
        <f t="shared" ca="1" si="56"/>
        <v>-29.114445415479928</v>
      </c>
      <c r="AH88" s="304">
        <f t="shared" ca="1" si="57"/>
        <v>-19.552499897794526</v>
      </c>
    </row>
    <row r="89" spans="1:34" x14ac:dyDescent="0.2">
      <c r="A89" s="347">
        <f t="shared" ca="1" si="35"/>
        <v>0.01</v>
      </c>
      <c r="B89" s="304">
        <f t="shared" ca="1" si="36"/>
        <v>4.0499999999999821</v>
      </c>
      <c r="D89" s="306">
        <f t="shared" ca="1" si="37"/>
        <v>-4.3540076097973319</v>
      </c>
      <c r="E89" s="307">
        <f t="shared" ca="1" si="38"/>
        <v>-28.789151795610259</v>
      </c>
      <c r="F89" s="304">
        <f t="shared" ca="1" si="39"/>
        <v>29.11653556618408</v>
      </c>
      <c r="G89" s="306">
        <f t="shared" ca="1" si="40"/>
        <v>32.689496305652256</v>
      </c>
      <c r="H89" s="307">
        <f t="shared" ca="1" si="41"/>
        <v>142.39565933816846</v>
      </c>
      <c r="I89" s="304">
        <f t="shared" ca="1" si="42"/>
        <v>146.09971583500419</v>
      </c>
      <c r="J89" s="306">
        <f t="shared" ca="1" si="43"/>
        <v>128.49253764923094</v>
      </c>
      <c r="K89" s="307">
        <f t="shared" ca="1" si="44"/>
        <v>620.16898829259253</v>
      </c>
      <c r="L89" s="304">
        <f t="shared" ca="1" si="29"/>
        <v>633.34027684286491</v>
      </c>
      <c r="M89" s="306">
        <f t="shared" ca="1" si="45"/>
        <v>1.3451382089477606</v>
      </c>
      <c r="N89" s="304">
        <f t="shared" ca="1" si="46"/>
        <v>77.070742234493352</v>
      </c>
      <c r="P89" s="310">
        <f t="shared" ca="1" si="47"/>
        <v>3</v>
      </c>
      <c r="Q89" s="304">
        <f t="shared" ca="1" si="48"/>
        <v>0</v>
      </c>
      <c r="R89" s="306">
        <f t="shared" ca="1" si="49"/>
        <v>0</v>
      </c>
      <c r="S89" s="307">
        <f t="shared" ca="1" si="50"/>
        <v>2.5949999999999998</v>
      </c>
      <c r="T89" s="304">
        <f t="shared" ca="1" si="30"/>
        <v>25.456949999999999</v>
      </c>
      <c r="U89" s="311">
        <f t="shared" ca="1" si="31"/>
        <v>0</v>
      </c>
      <c r="V89" s="306">
        <f t="shared" ca="1" si="32"/>
        <v>1.1513141818973684</v>
      </c>
      <c r="W89" s="304">
        <f t="shared" ca="1" si="33"/>
        <v>50.322877475403651</v>
      </c>
      <c r="Y89" s="314" t="str">
        <f t="shared" ca="1" si="51"/>
        <v/>
      </c>
      <c r="Z89" s="315" t="str">
        <f t="shared" ca="1" si="52"/>
        <v/>
      </c>
      <c r="AA89" s="316" t="str">
        <f t="shared" ca="1" si="53"/>
        <v/>
      </c>
      <c r="AC89" s="310" t="e">
        <f t="shared" ca="1" si="54"/>
        <v>#N/A</v>
      </c>
      <c r="AD89" s="323" t="e">
        <f t="shared" ca="1" si="55"/>
        <v>#N/A</v>
      </c>
      <c r="AE89" s="324">
        <f t="shared" ca="1" si="34"/>
        <v>620.16898829259253</v>
      </c>
      <c r="AG89" s="306">
        <f t="shared" ca="1" si="56"/>
        <v>-29.033791795809051</v>
      </c>
      <c r="AH89" s="304">
        <f t="shared" ca="1" si="57"/>
        <v>-19.472174638365107</v>
      </c>
    </row>
    <row r="90" spans="1:34" x14ac:dyDescent="0.2">
      <c r="A90" s="347">
        <f t="shared" ca="1" si="35"/>
        <v>0.01</v>
      </c>
      <c r="B90" s="304">
        <f t="shared" ca="1" si="36"/>
        <v>4.0599999999999818</v>
      </c>
      <c r="D90" s="306">
        <f t="shared" ca="1" si="37"/>
        <v>-4.3389731395636995</v>
      </c>
      <c r="E90" s="307">
        <f t="shared" ca="1" si="38"/>
        <v>-28.710595325231274</v>
      </c>
      <c r="F90" s="304">
        <f t="shared" ca="1" si="39"/>
        <v>29.036614331478923</v>
      </c>
      <c r="G90" s="306">
        <f t="shared" ca="1" si="40"/>
        <v>32.646106574256621</v>
      </c>
      <c r="H90" s="307">
        <f t="shared" ca="1" si="41"/>
        <v>142.10855338491615</v>
      </c>
      <c r="I90" s="304">
        <f t="shared" ca="1" si="42"/>
        <v>145.81018215341234</v>
      </c>
      <c r="J90" s="306">
        <f t="shared" ca="1" si="43"/>
        <v>128.81921566363047</v>
      </c>
      <c r="K90" s="307">
        <f t="shared" ca="1" si="44"/>
        <v>621.59150935620801</v>
      </c>
      <c r="L90" s="304">
        <f t="shared" ca="1" si="29"/>
        <v>634.7994918302328</v>
      </c>
      <c r="M90" s="306">
        <f t="shared" ca="1" si="45"/>
        <v>1.3449876730717771</v>
      </c>
      <c r="N90" s="304">
        <f t="shared" ca="1" si="46"/>
        <v>77.062117164134193</v>
      </c>
      <c r="P90" s="310">
        <f t="shared" ca="1" si="47"/>
        <v>3</v>
      </c>
      <c r="Q90" s="304">
        <f t="shared" ca="1" si="48"/>
        <v>0</v>
      </c>
      <c r="R90" s="306">
        <f t="shared" ca="1" si="49"/>
        <v>0</v>
      </c>
      <c r="S90" s="307">
        <f t="shared" ca="1" si="50"/>
        <v>2.5949999999999998</v>
      </c>
      <c r="T90" s="304">
        <f t="shared" ca="1" si="30"/>
        <v>25.456949999999999</v>
      </c>
      <c r="U90" s="311">
        <f t="shared" ca="1" si="31"/>
        <v>0</v>
      </c>
      <c r="V90" s="306">
        <f t="shared" ca="1" si="32"/>
        <v>1.1511502587115183</v>
      </c>
      <c r="W90" s="304">
        <f t="shared" ca="1" si="33"/>
        <v>50.116483432885566</v>
      </c>
      <c r="Y90" s="314" t="str">
        <f t="shared" ca="1" si="51"/>
        <v/>
      </c>
      <c r="Z90" s="315" t="str">
        <f t="shared" ca="1" si="52"/>
        <v/>
      </c>
      <c r="AA90" s="316" t="str">
        <f t="shared" ca="1" si="53"/>
        <v/>
      </c>
      <c r="AC90" s="310" t="e">
        <f t="shared" ca="1" si="54"/>
        <v>#N/A</v>
      </c>
      <c r="AD90" s="323" t="e">
        <f t="shared" ca="1" si="55"/>
        <v>#N/A</v>
      </c>
      <c r="AE90" s="324">
        <f t="shared" ca="1" si="34"/>
        <v>621.59150935620801</v>
      </c>
      <c r="AG90" s="306">
        <f t="shared" ca="1" si="56"/>
        <v>-28.953533369777034</v>
      </c>
      <c r="AH90" s="304">
        <f t="shared" ca="1" si="57"/>
        <v>-19.392245655261526</v>
      </c>
    </row>
    <row r="91" spans="1:34" x14ac:dyDescent="0.2">
      <c r="A91" s="347">
        <f t="shared" ca="1" si="35"/>
        <v>0.01</v>
      </c>
      <c r="B91" s="304">
        <f t="shared" ca="1" si="36"/>
        <v>4.0699999999999816</v>
      </c>
      <c r="D91" s="306">
        <f t="shared" ca="1" si="37"/>
        <v>-4.3240107923288695</v>
      </c>
      <c r="E91" s="307">
        <f t="shared" ca="1" si="38"/>
        <v>-28.632425795888736</v>
      </c>
      <c r="F91" s="304">
        <f t="shared" ca="1" si="39"/>
        <v>28.957086805983284</v>
      </c>
      <c r="G91" s="306">
        <f t="shared" ca="1" si="40"/>
        <v>32.602866466333332</v>
      </c>
      <c r="H91" s="307">
        <f t="shared" ca="1" si="41"/>
        <v>141.82222912695727</v>
      </c>
      <c r="I91" s="304">
        <f t="shared" ca="1" si="42"/>
        <v>145.52144713533031</v>
      </c>
      <c r="J91" s="306">
        <f t="shared" ca="1" si="43"/>
        <v>129.14546052883341</v>
      </c>
      <c r="K91" s="307">
        <f t="shared" ca="1" si="44"/>
        <v>623.0111632687674</v>
      </c>
      <c r="L91" s="304">
        <f t="shared" ca="1" si="29"/>
        <v>636.25581296574978</v>
      </c>
      <c r="M91" s="306">
        <f t="shared" ca="1" si="45"/>
        <v>1.3448367396056107</v>
      </c>
      <c r="N91" s="304">
        <f t="shared" ca="1" si="46"/>
        <v>77.053469313535572</v>
      </c>
      <c r="P91" s="310">
        <f t="shared" ca="1" si="47"/>
        <v>3</v>
      </c>
      <c r="Q91" s="304">
        <f t="shared" ca="1" si="48"/>
        <v>0</v>
      </c>
      <c r="R91" s="306">
        <f t="shared" ca="1" si="49"/>
        <v>0</v>
      </c>
      <c r="S91" s="307">
        <f t="shared" ca="1" si="50"/>
        <v>2.5949999999999998</v>
      </c>
      <c r="T91" s="304">
        <f t="shared" ca="1" si="30"/>
        <v>25.456949999999999</v>
      </c>
      <c r="U91" s="311">
        <f t="shared" ca="1" si="31"/>
        <v>0</v>
      </c>
      <c r="V91" s="306">
        <f t="shared" ca="1" si="32"/>
        <v>1.1509866884654034</v>
      </c>
      <c r="W91" s="304">
        <f t="shared" ca="1" si="33"/>
        <v>49.911104445088668</v>
      </c>
      <c r="Y91" s="314" t="str">
        <f t="shared" ca="1" si="51"/>
        <v/>
      </c>
      <c r="Z91" s="315" t="str">
        <f t="shared" ca="1" si="52"/>
        <v/>
      </c>
      <c r="AA91" s="316" t="str">
        <f t="shared" ca="1" si="53"/>
        <v/>
      </c>
      <c r="AC91" s="310" t="e">
        <f t="shared" ca="1" si="54"/>
        <v>#N/A</v>
      </c>
      <c r="AD91" s="323" t="e">
        <f t="shared" ca="1" si="55"/>
        <v>#N/A</v>
      </c>
      <c r="AE91" s="324">
        <f t="shared" ca="1" si="34"/>
        <v>623.0111632687674</v>
      </c>
      <c r="AG91" s="306">
        <f t="shared" ca="1" si="56"/>
        <v>-28.87366756376268</v>
      </c>
      <c r="AH91" s="304">
        <f t="shared" ca="1" si="57"/>
        <v>-19.312710378761299</v>
      </c>
    </row>
    <row r="92" spans="1:34" x14ac:dyDescent="0.2">
      <c r="A92" s="347">
        <f t="shared" ca="1" si="35"/>
        <v>0.01</v>
      </c>
      <c r="B92" s="304">
        <f t="shared" ca="1" si="36"/>
        <v>4.0799999999999814</v>
      </c>
      <c r="D92" s="306">
        <f t="shared" ca="1" si="37"/>
        <v>-4.3091200973825021</v>
      </c>
      <c r="E92" s="307">
        <f t="shared" ca="1" si="38"/>
        <v>-28.554640702609007</v>
      </c>
      <c r="F92" s="304">
        <f t="shared" ca="1" si="39"/>
        <v>28.877950440929162</v>
      </c>
      <c r="G92" s="306">
        <f t="shared" ca="1" si="40"/>
        <v>32.559775265359505</v>
      </c>
      <c r="H92" s="307">
        <f t="shared" ca="1" si="41"/>
        <v>141.53668271993118</v>
      </c>
      <c r="I92" s="304">
        <f t="shared" ca="1" si="42"/>
        <v>145.23350688010387</v>
      </c>
      <c r="J92" s="306">
        <f t="shared" ca="1" si="43"/>
        <v>129.47127373749188</v>
      </c>
      <c r="K92" s="307">
        <f t="shared" ca="1" si="44"/>
        <v>624.42795782800181</v>
      </c>
      <c r="L92" s="304">
        <f t="shared" ca="1" si="29"/>
        <v>637.70924820050811</v>
      </c>
      <c r="M92" s="306">
        <f t="shared" ca="1" si="45"/>
        <v>1.3446854075382098</v>
      </c>
      <c r="N92" s="304">
        <f t="shared" ca="1" si="46"/>
        <v>77.044798624768518</v>
      </c>
      <c r="P92" s="310">
        <f t="shared" ca="1" si="47"/>
        <v>3</v>
      </c>
      <c r="Q92" s="304">
        <f t="shared" ca="1" si="48"/>
        <v>0</v>
      </c>
      <c r="R92" s="306">
        <f t="shared" ca="1" si="49"/>
        <v>0</v>
      </c>
      <c r="S92" s="307">
        <f t="shared" ca="1" si="50"/>
        <v>2.5949999999999998</v>
      </c>
      <c r="T92" s="304">
        <f t="shared" ca="1" si="30"/>
        <v>25.456949999999999</v>
      </c>
      <c r="U92" s="311">
        <f t="shared" ca="1" si="31"/>
        <v>0</v>
      </c>
      <c r="V92" s="306">
        <f t="shared" ca="1" si="32"/>
        <v>1.1508234701196671</v>
      </c>
      <c r="W92" s="304">
        <f t="shared" ca="1" si="33"/>
        <v>49.706733952078956</v>
      </c>
      <c r="Y92" s="314" t="str">
        <f t="shared" ca="1" si="51"/>
        <v/>
      </c>
      <c r="Z92" s="315" t="str">
        <f t="shared" ca="1" si="52"/>
        <v/>
      </c>
      <c r="AA92" s="316" t="str">
        <f t="shared" ca="1" si="53"/>
        <v/>
      </c>
      <c r="AC92" s="310" t="e">
        <f t="shared" ca="1" si="54"/>
        <v>#N/A</v>
      </c>
      <c r="AD92" s="323" t="e">
        <f t="shared" ca="1" si="55"/>
        <v>#N/A</v>
      </c>
      <c r="AE92" s="324">
        <f t="shared" ca="1" si="34"/>
        <v>624.42795782800181</v>
      </c>
      <c r="AG92" s="306">
        <f t="shared" ca="1" si="56"/>
        <v>-28.794191825133396</v>
      </c>
      <c r="AH92" s="304">
        <f t="shared" ca="1" si="57"/>
        <v>-19.233566260149779</v>
      </c>
    </row>
    <row r="93" spans="1:34" x14ac:dyDescent="0.2">
      <c r="A93" s="347">
        <f t="shared" ca="1" si="35"/>
        <v>0.01</v>
      </c>
      <c r="B93" s="304">
        <f t="shared" ca="1" si="36"/>
        <v>4.0899999999999812</v>
      </c>
      <c r="D93" s="306">
        <f t="shared" ca="1" si="37"/>
        <v>-4.2943005878516365</v>
      </c>
      <c r="E93" s="307">
        <f t="shared" ca="1" si="38"/>
        <v>-28.477237560862825</v>
      </c>
      <c r="F93" s="304">
        <f t="shared" ca="1" si="39"/>
        <v>28.799202708350098</v>
      </c>
      <c r="G93" s="306">
        <f t="shared" ca="1" si="40"/>
        <v>32.516832259480992</v>
      </c>
      <c r="H93" s="307">
        <f t="shared" ca="1" si="41"/>
        <v>141.25191034432254</v>
      </c>
      <c r="I93" s="304">
        <f t="shared" ca="1" si="42"/>
        <v>144.94635751239753</v>
      </c>
      <c r="J93" s="306">
        <f t="shared" ca="1" si="43"/>
        <v>129.79665677511608</v>
      </c>
      <c r="K93" s="307">
        <f t="shared" ca="1" si="44"/>
        <v>625.84190079332302</v>
      </c>
      <c r="L93" s="304">
        <f t="shared" ca="1" si="29"/>
        <v>639.15980544664797</v>
      </c>
      <c r="M93" s="306">
        <f t="shared" ca="1" si="45"/>
        <v>1.3445336758543605</v>
      </c>
      <c r="N93" s="304">
        <f t="shared" ca="1" si="46"/>
        <v>77.036105039665529</v>
      </c>
      <c r="P93" s="310">
        <f t="shared" ca="1" si="47"/>
        <v>3</v>
      </c>
      <c r="Q93" s="304">
        <f t="shared" ca="1" si="48"/>
        <v>0</v>
      </c>
      <c r="R93" s="306">
        <f t="shared" ca="1" si="49"/>
        <v>0</v>
      </c>
      <c r="S93" s="307">
        <f t="shared" ca="1" si="50"/>
        <v>2.5949999999999998</v>
      </c>
      <c r="T93" s="304">
        <f t="shared" ca="1" si="30"/>
        <v>25.456949999999999</v>
      </c>
      <c r="U93" s="311">
        <f t="shared" ca="1" si="31"/>
        <v>0</v>
      </c>
      <c r="V93" s="306">
        <f t="shared" ca="1" si="32"/>
        <v>1.1506606026401927</v>
      </c>
      <c r="W93" s="304">
        <f t="shared" ca="1" si="33"/>
        <v>49.503365447374051</v>
      </c>
      <c r="Y93" s="314" t="str">
        <f t="shared" ca="1" si="51"/>
        <v/>
      </c>
      <c r="Z93" s="315" t="str">
        <f t="shared" ca="1" si="52"/>
        <v/>
      </c>
      <c r="AA93" s="316" t="str">
        <f t="shared" ca="1" si="53"/>
        <v/>
      </c>
      <c r="AC93" s="310" t="e">
        <f t="shared" ca="1" si="54"/>
        <v>#N/A</v>
      </c>
      <c r="AD93" s="323" t="e">
        <f t="shared" ca="1" si="55"/>
        <v>#N/A</v>
      </c>
      <c r="AE93" s="324">
        <f t="shared" ca="1" si="34"/>
        <v>625.84190079332302</v>
      </c>
      <c r="AG93" s="306">
        <f t="shared" ca="1" si="56"/>
        <v>-28.71510362203901</v>
      </c>
      <c r="AH93" s="304">
        <f t="shared" ca="1" si="57"/>
        <v>-19.15481077151405</v>
      </c>
    </row>
    <row r="94" spans="1:34" x14ac:dyDescent="0.2">
      <c r="A94" s="347">
        <f t="shared" ca="1" si="35"/>
        <v>0.01</v>
      </c>
      <c r="B94" s="304">
        <f t="shared" ca="1" si="36"/>
        <v>4.099999999999981</v>
      </c>
      <c r="D94" s="306">
        <f t="shared" ca="1" si="37"/>
        <v>-4.2795518006630715</v>
      </c>
      <c r="E94" s="307">
        <f t="shared" ca="1" si="38"/>
        <v>-28.400213906365074</v>
      </c>
      <c r="F94" s="304">
        <f t="shared" ca="1" si="39"/>
        <v>28.720841100877436</v>
      </c>
      <c r="G94" s="306">
        <f t="shared" ca="1" si="40"/>
        <v>32.474036741474364</v>
      </c>
      <c r="H94" s="307">
        <f t="shared" ca="1" si="41"/>
        <v>140.96790820525888</v>
      </c>
      <c r="I94" s="304">
        <f t="shared" ca="1" si="42"/>
        <v>144.65999518198845</v>
      </c>
      <c r="J94" s="306">
        <f t="shared" ca="1" si="43"/>
        <v>130.12161112012086</v>
      </c>
      <c r="K94" s="307">
        <f t="shared" ca="1" si="44"/>
        <v>627.25299988607094</v>
      </c>
      <c r="L94" s="304">
        <f t="shared" ca="1" si="29"/>
        <v>640.60749257760892</v>
      </c>
      <c r="M94" s="306">
        <f t="shared" ca="1" si="45"/>
        <v>1.344381543534668</v>
      </c>
      <c r="N94" s="304">
        <f t="shared" ca="1" si="46"/>
        <v>77.027388499819622</v>
      </c>
      <c r="P94" s="310">
        <f t="shared" ca="1" si="47"/>
        <v>3</v>
      </c>
      <c r="Q94" s="304">
        <f t="shared" ca="1" si="48"/>
        <v>0</v>
      </c>
      <c r="R94" s="306">
        <f t="shared" ca="1" si="49"/>
        <v>0</v>
      </c>
      <c r="S94" s="307">
        <f t="shared" ca="1" si="50"/>
        <v>2.5949999999999998</v>
      </c>
      <c r="T94" s="304">
        <f t="shared" ca="1" si="30"/>
        <v>25.456949999999999</v>
      </c>
      <c r="U94" s="311">
        <f t="shared" ca="1" si="31"/>
        <v>0</v>
      </c>
      <c r="V94" s="306">
        <f t="shared" ca="1" si="32"/>
        <v>1.1504980849980675</v>
      </c>
      <c r="W94" s="304">
        <f t="shared" ca="1" si="33"/>
        <v>49.300992477420444</v>
      </c>
      <c r="Y94" s="314" t="str">
        <f t="shared" ca="1" si="51"/>
        <v/>
      </c>
      <c r="Z94" s="315" t="str">
        <f t="shared" ca="1" si="52"/>
        <v/>
      </c>
      <c r="AA94" s="316" t="str">
        <f t="shared" ca="1" si="53"/>
        <v/>
      </c>
      <c r="AC94" s="310" t="e">
        <f t="shared" ca="1" si="54"/>
        <v>#N/A</v>
      </c>
      <c r="AD94" s="323" t="e">
        <f t="shared" ca="1" si="55"/>
        <v>#N/A</v>
      </c>
      <c r="AE94" s="324">
        <f t="shared" ca="1" si="34"/>
        <v>627.25299988607094</v>
      </c>
      <c r="AG94" s="306">
        <f t="shared" ca="1" si="56"/>
        <v>-28.636400443207844</v>
      </c>
      <c r="AH94" s="304">
        <f t="shared" ca="1" si="57"/>
        <v>-19.076441405539136</v>
      </c>
    </row>
    <row r="95" spans="1:34" x14ac:dyDescent="0.2">
      <c r="A95" s="347">
        <f t="shared" ca="1" si="35"/>
        <v>0.01</v>
      </c>
      <c r="B95" s="304">
        <f t="shared" ca="1" si="36"/>
        <v>4.1099999999999808</v>
      </c>
      <c r="D95" s="306">
        <f t="shared" ca="1" si="37"/>
        <v>-4.2648732765061874</v>
      </c>
      <c r="E95" s="307">
        <f t="shared" ca="1" si="38"/>
        <v>-28.32356729487676</v>
      </c>
      <c r="F95" s="304">
        <f t="shared" ca="1" si="39"/>
        <v>28.642863131538874</v>
      </c>
      <c r="G95" s="306">
        <f t="shared" ca="1" si="40"/>
        <v>32.431388008709305</v>
      </c>
      <c r="H95" s="307">
        <f t="shared" ca="1" si="41"/>
        <v>140.68467253231012</v>
      </c>
      <c r="I95" s="304">
        <f t="shared" ca="1" si="42"/>
        <v>144.37441606356296</v>
      </c>
      <c r="J95" s="306">
        <f t="shared" ca="1" si="43"/>
        <v>130.44613824387179</v>
      </c>
      <c r="K95" s="307">
        <f t="shared" ca="1" si="44"/>
        <v>628.66126278975878</v>
      </c>
      <c r="L95" s="304">
        <f t="shared" ca="1" si="29"/>
        <v>642.05231742838021</v>
      </c>
      <c r="M95" s="306">
        <f t="shared" ca="1" si="45"/>
        <v>1.3442290095555363</v>
      </c>
      <c r="N95" s="304">
        <f t="shared" ca="1" si="46"/>
        <v>77.018648946583042</v>
      </c>
      <c r="P95" s="310">
        <f t="shared" ca="1" si="47"/>
        <v>3</v>
      </c>
      <c r="Q95" s="304">
        <f t="shared" ca="1" si="48"/>
        <v>0</v>
      </c>
      <c r="R95" s="306">
        <f t="shared" ca="1" si="49"/>
        <v>0</v>
      </c>
      <c r="S95" s="307">
        <f t="shared" ca="1" si="50"/>
        <v>2.5949999999999998</v>
      </c>
      <c r="T95" s="304">
        <f t="shared" ca="1" si="30"/>
        <v>25.456949999999999</v>
      </c>
      <c r="U95" s="311">
        <f t="shared" ca="1" si="31"/>
        <v>0</v>
      </c>
      <c r="V95" s="306">
        <f t="shared" ca="1" si="32"/>
        <v>1.1503359161695492</v>
      </c>
      <c r="W95" s="304">
        <f t="shared" ca="1" si="33"/>
        <v>49.099608641076706</v>
      </c>
      <c r="Y95" s="314" t="str">
        <f t="shared" ca="1" si="51"/>
        <v/>
      </c>
      <c r="Z95" s="315" t="str">
        <f t="shared" ca="1" si="52"/>
        <v/>
      </c>
      <c r="AA95" s="316" t="str">
        <f t="shared" ca="1" si="53"/>
        <v/>
      </c>
      <c r="AC95" s="310" t="e">
        <f t="shared" ca="1" si="54"/>
        <v>#N/A</v>
      </c>
      <c r="AD95" s="323" t="e">
        <f t="shared" ca="1" si="55"/>
        <v>#N/A</v>
      </c>
      <c r="AE95" s="324">
        <f t="shared" ca="1" si="34"/>
        <v>628.66126278975878</v>
      </c>
      <c r="AG95" s="306">
        <f t="shared" ca="1" si="56"/>
        <v>-28.558079797745137</v>
      </c>
      <c r="AH95" s="304">
        <f t="shared" ca="1" si="57"/>
        <v>-18.998455675306531</v>
      </c>
    </row>
    <row r="96" spans="1:34" x14ac:dyDescent="0.2">
      <c r="A96" s="347">
        <f t="shared" ca="1" si="35"/>
        <v>0.01</v>
      </c>
      <c r="B96" s="304">
        <f t="shared" ca="1" si="36"/>
        <v>4.1199999999999806</v>
      </c>
      <c r="D96" s="306">
        <f t="shared" ca="1" si="37"/>
        <v>-4.2502645597962312</v>
      </c>
      <c r="E96" s="307">
        <f t="shared" ca="1" si="38"/>
        <v>-28.247295302009263</v>
      </c>
      <c r="F96" s="304">
        <f t="shared" ca="1" si="39"/>
        <v>28.565266333559268</v>
      </c>
      <c r="G96" s="306">
        <f t="shared" ca="1" si="40"/>
        <v>32.388885363111342</v>
      </c>
      <c r="H96" s="307">
        <f t="shared" ca="1" si="41"/>
        <v>140.40219957929003</v>
      </c>
      <c r="I96" s="304">
        <f t="shared" ca="1" si="42"/>
        <v>144.0896163565146</v>
      </c>
      <c r="J96" s="306">
        <f t="shared" ca="1" si="43"/>
        <v>130.7702396107309</v>
      </c>
      <c r="K96" s="307">
        <f t="shared" ca="1" si="44"/>
        <v>630.06669715031683</v>
      </c>
      <c r="L96" s="304">
        <f t="shared" ca="1" si="29"/>
        <v>643.49428779574805</v>
      </c>
      <c r="M96" s="306">
        <f t="shared" ca="1" si="45"/>
        <v>1.3440760728891512</v>
      </c>
      <c r="N96" s="304">
        <f t="shared" ca="1" si="46"/>
        <v>77.009886321066375</v>
      </c>
      <c r="P96" s="310">
        <f t="shared" ca="1" si="47"/>
        <v>3</v>
      </c>
      <c r="Q96" s="304">
        <f t="shared" ca="1" si="48"/>
        <v>0</v>
      </c>
      <c r="R96" s="306">
        <f t="shared" ca="1" si="49"/>
        <v>0</v>
      </c>
      <c r="S96" s="307">
        <f t="shared" ca="1" si="50"/>
        <v>2.5949999999999998</v>
      </c>
      <c r="T96" s="304">
        <f t="shared" ca="1" si="30"/>
        <v>25.456949999999999</v>
      </c>
      <c r="U96" s="311">
        <f t="shared" ca="1" si="31"/>
        <v>0</v>
      </c>
      <c r="V96" s="306">
        <f t="shared" ca="1" si="32"/>
        <v>1.1501740951360326</v>
      </c>
      <c r="W96" s="304">
        <f t="shared" ca="1" si="33"/>
        <v>48.899207589102652</v>
      </c>
      <c r="Y96" s="314" t="str">
        <f t="shared" ca="1" si="51"/>
        <v/>
      </c>
      <c r="Z96" s="315" t="str">
        <f t="shared" ca="1" si="52"/>
        <v/>
      </c>
      <c r="AA96" s="316" t="str">
        <f t="shared" ca="1" si="53"/>
        <v/>
      </c>
      <c r="AC96" s="310" t="e">
        <f t="shared" ca="1" si="54"/>
        <v>#N/A</v>
      </c>
      <c r="AD96" s="323" t="e">
        <f t="shared" ca="1" si="55"/>
        <v>#N/A</v>
      </c>
      <c r="AE96" s="324">
        <f t="shared" ca="1" si="34"/>
        <v>630.06669715031683</v>
      </c>
      <c r="AG96" s="306">
        <f t="shared" ca="1" si="56"/>
        <v>-28.480139214933835</v>
      </c>
      <c r="AH96" s="304">
        <f t="shared" ca="1" si="57"/>
        <v>-18.920851114095072</v>
      </c>
    </row>
    <row r="97" spans="1:34" x14ac:dyDescent="0.2">
      <c r="A97" s="347">
        <f t="shared" ca="1" si="35"/>
        <v>0.01</v>
      </c>
      <c r="B97" s="304">
        <f t="shared" ca="1" si="36"/>
        <v>4.1299999999999804</v>
      </c>
      <c r="D97" s="306">
        <f t="shared" ca="1" si="37"/>
        <v>-4.2357251986379501</v>
      </c>
      <c r="E97" s="307">
        <f t="shared" ca="1" si="38"/>
        <v>-28.171395523030903</v>
      </c>
      <c r="F97" s="304">
        <f t="shared" ca="1" si="39"/>
        <v>28.488048260163808</v>
      </c>
      <c r="G97" s="306">
        <f t="shared" ca="1" si="40"/>
        <v>32.346528111124961</v>
      </c>
      <c r="H97" s="307">
        <f t="shared" ca="1" si="41"/>
        <v>140.12048562405971</v>
      </c>
      <c r="I97" s="304">
        <f t="shared" ca="1" si="42"/>
        <v>143.80559228474436</v>
      </c>
      <c r="J97" s="306">
        <f t="shared" ca="1" si="43"/>
        <v>131.09391667810209</v>
      </c>
      <c r="K97" s="307">
        <f t="shared" ca="1" si="44"/>
        <v>631.46931057633356</v>
      </c>
      <c r="L97" s="304">
        <f t="shared" ca="1" si="29"/>
        <v>644.93341143854161</v>
      </c>
      <c r="M97" s="306">
        <f t="shared" ca="1" si="45"/>
        <v>1.3439227325034593</v>
      </c>
      <c r="N97" s="304">
        <f t="shared" ca="1" si="46"/>
        <v>77.001100564137317</v>
      </c>
      <c r="P97" s="310">
        <f t="shared" ca="1" si="47"/>
        <v>3</v>
      </c>
      <c r="Q97" s="304">
        <f t="shared" ca="1" si="48"/>
        <v>0</v>
      </c>
      <c r="R97" s="306">
        <f t="shared" ca="1" si="49"/>
        <v>0</v>
      </c>
      <c r="S97" s="307">
        <f t="shared" ca="1" si="50"/>
        <v>2.5949999999999998</v>
      </c>
      <c r="T97" s="304">
        <f t="shared" ca="1" si="30"/>
        <v>25.456949999999999</v>
      </c>
      <c r="U97" s="311">
        <f t="shared" ca="1" si="31"/>
        <v>0</v>
      </c>
      <c r="V97" s="306">
        <f t="shared" ca="1" si="32"/>
        <v>1.1500126208840142</v>
      </c>
      <c r="W97" s="304">
        <f t="shared" ca="1" si="33"/>
        <v>48.699783023654184</v>
      </c>
      <c r="Y97" s="314" t="str">
        <f t="shared" ca="1" si="51"/>
        <v/>
      </c>
      <c r="Z97" s="315" t="str">
        <f t="shared" ca="1" si="52"/>
        <v/>
      </c>
      <c r="AA97" s="316" t="str">
        <f t="shared" ca="1" si="53"/>
        <v/>
      </c>
      <c r="AC97" s="310" t="e">
        <f t="shared" ca="1" si="54"/>
        <v>#N/A</v>
      </c>
      <c r="AD97" s="323" t="e">
        <f t="shared" ca="1" si="55"/>
        <v>#N/A</v>
      </c>
      <c r="AE97" s="324">
        <f t="shared" ca="1" si="34"/>
        <v>631.46931057633356</v>
      </c>
      <c r="AG97" s="306">
        <f t="shared" ca="1" si="56"/>
        <v>-28.402576244037576</v>
      </c>
      <c r="AH97" s="304">
        <f t="shared" ca="1" si="57"/>
        <v>-18.843625275184067</v>
      </c>
    </row>
    <row r="98" spans="1:34" x14ac:dyDescent="0.2">
      <c r="A98" s="347">
        <f t="shared" ca="1" si="35"/>
        <v>0.01</v>
      </c>
      <c r="B98" s="304">
        <f t="shared" ca="1" si="36"/>
        <v>4.1399999999999801</v>
      </c>
      <c r="D98" s="306">
        <f t="shared" ca="1" si="37"/>
        <v>-4.2212547447897268</v>
      </c>
      <c r="E98" s="307">
        <f t="shared" ca="1" si="38"/>
        <v>-28.095865572675585</v>
      </c>
      <c r="F98" s="304">
        <f t="shared" ca="1" si="39"/>
        <v>28.411206484383356</v>
      </c>
      <c r="G98" s="306">
        <f t="shared" ca="1" si="40"/>
        <v>32.304315563677065</v>
      </c>
      <c r="H98" s="307">
        <f t="shared" ca="1" si="41"/>
        <v>139.83952696833296</v>
      </c>
      <c r="I98" s="304">
        <f t="shared" ca="1" si="42"/>
        <v>143.52234009646287</v>
      </c>
      <c r="J98" s="306">
        <f t="shared" ca="1" si="43"/>
        <v>131.41717089647611</v>
      </c>
      <c r="K98" s="307">
        <f t="shared" ca="1" si="44"/>
        <v>632.86911063929551</v>
      </c>
      <c r="L98" s="304">
        <f t="shared" ca="1" si="29"/>
        <v>646.3696960778766</v>
      </c>
      <c r="M98" s="306">
        <f t="shared" ca="1" si="45"/>
        <v>1.3437689873621506</v>
      </c>
      <c r="N98" s="304">
        <f t="shared" ca="1" si="46"/>
        <v>76.992291616419678</v>
      </c>
      <c r="P98" s="310">
        <f t="shared" ca="1" si="47"/>
        <v>3</v>
      </c>
      <c r="Q98" s="304">
        <f t="shared" ca="1" si="48"/>
        <v>0</v>
      </c>
      <c r="R98" s="306">
        <f t="shared" ca="1" si="49"/>
        <v>0</v>
      </c>
      <c r="S98" s="307">
        <f t="shared" ca="1" si="50"/>
        <v>2.5949999999999998</v>
      </c>
      <c r="T98" s="304">
        <f t="shared" ca="1" si="30"/>
        <v>25.456949999999999</v>
      </c>
      <c r="U98" s="311">
        <f t="shared" ca="1" si="31"/>
        <v>0</v>
      </c>
      <c r="V98" s="306">
        <f t="shared" ca="1" si="32"/>
        <v>1.1498514924050605</v>
      </c>
      <c r="W98" s="304">
        <f t="shared" ca="1" si="33"/>
        <v>48.501328697784025</v>
      </c>
      <c r="Y98" s="314" t="str">
        <f t="shared" ca="1" si="51"/>
        <v/>
      </c>
      <c r="Z98" s="315" t="str">
        <f t="shared" ca="1" si="52"/>
        <v/>
      </c>
      <c r="AA98" s="316" t="str">
        <f t="shared" ca="1" si="53"/>
        <v/>
      </c>
      <c r="AC98" s="310" t="e">
        <f t="shared" ca="1" si="54"/>
        <v>#N/A</v>
      </c>
      <c r="AD98" s="323" t="e">
        <f t="shared" ca="1" si="55"/>
        <v>#N/A</v>
      </c>
      <c r="AE98" s="324">
        <f t="shared" ca="1" si="34"/>
        <v>632.86911063929551</v>
      </c>
      <c r="AG98" s="306">
        <f t="shared" ca="1" si="56"/>
        <v>-28.325388454105941</v>
      </c>
      <c r="AH98" s="304">
        <f t="shared" ca="1" si="57"/>
        <v>-18.766775731658647</v>
      </c>
    </row>
    <row r="99" spans="1:34" x14ac:dyDescent="0.2">
      <c r="A99" s="347">
        <f t="shared" ca="1" si="35"/>
        <v>0.01</v>
      </c>
      <c r="B99" s="304">
        <f t="shared" ca="1" si="36"/>
        <v>4.1499999999999799</v>
      </c>
      <c r="D99" s="306">
        <f t="shared" ca="1" si="37"/>
        <v>-4.2068527536280254</v>
      </c>
      <c r="E99" s="307">
        <f t="shared" ca="1" si="38"/>
        <v>-28.020703084953716</v>
      </c>
      <c r="F99" s="304">
        <f t="shared" ca="1" si="39"/>
        <v>28.334738598862042</v>
      </c>
      <c r="G99" s="306">
        <f t="shared" ca="1" si="40"/>
        <v>32.262247036140785</v>
      </c>
      <c r="H99" s="307">
        <f t="shared" ca="1" si="41"/>
        <v>139.55931993748342</v>
      </c>
      <c r="I99" s="304">
        <f t="shared" ca="1" si="42"/>
        <v>143.23985606399441</v>
      </c>
      <c r="J99" s="306">
        <f t="shared" ca="1" si="43"/>
        <v>131.74000370947519</v>
      </c>
      <c r="K99" s="307">
        <f t="shared" ca="1" si="44"/>
        <v>634.26610487382459</v>
      </c>
      <c r="L99" s="304">
        <f t="shared" ca="1" si="29"/>
        <v>647.80314939739674</v>
      </c>
      <c r="M99" s="306">
        <f t="shared" ca="1" si="45"/>
        <v>1.3436148364246383</v>
      </c>
      <c r="N99" s="304">
        <f t="shared" ca="1" si="46"/>
        <v>76.983459418292242</v>
      </c>
      <c r="P99" s="310">
        <f t="shared" ca="1" si="47"/>
        <v>3</v>
      </c>
      <c r="Q99" s="304">
        <f t="shared" ca="1" si="48"/>
        <v>0</v>
      </c>
      <c r="R99" s="306">
        <f t="shared" ca="1" si="49"/>
        <v>0</v>
      </c>
      <c r="S99" s="307">
        <f t="shared" ca="1" si="50"/>
        <v>2.5949999999999998</v>
      </c>
      <c r="T99" s="304">
        <f t="shared" ca="1" si="30"/>
        <v>25.456949999999999</v>
      </c>
      <c r="U99" s="311">
        <f t="shared" ca="1" si="31"/>
        <v>0</v>
      </c>
      <c r="V99" s="306">
        <f t="shared" ca="1" si="32"/>
        <v>1.1496907086957737</v>
      </c>
      <c r="W99" s="304">
        <f t="shared" ca="1" si="33"/>
        <v>48.303838414948018</v>
      </c>
      <c r="Y99" s="314" t="str">
        <f t="shared" ca="1" si="51"/>
        <v/>
      </c>
      <c r="Z99" s="315" t="str">
        <f t="shared" ca="1" si="52"/>
        <v/>
      </c>
      <c r="AA99" s="316" t="str">
        <f t="shared" ca="1" si="53"/>
        <v/>
      </c>
      <c r="AC99" s="310" t="e">
        <f t="shared" ca="1" si="54"/>
        <v>#N/A</v>
      </c>
      <c r="AD99" s="323" t="e">
        <f t="shared" ca="1" si="55"/>
        <v>#N/A</v>
      </c>
      <c r="AE99" s="324">
        <f t="shared" ca="1" si="34"/>
        <v>634.26610487382459</v>
      </c>
      <c r="AG99" s="306">
        <f t="shared" ca="1" si="56"/>
        <v>-28.248573433781949</v>
      </c>
      <c r="AH99" s="304">
        <f t="shared" ca="1" si="57"/>
        <v>-18.690300076217351</v>
      </c>
    </row>
    <row r="100" spans="1:34" x14ac:dyDescent="0.2">
      <c r="A100" s="347">
        <f t="shared" ca="1" si="35"/>
        <v>0.01</v>
      </c>
      <c r="B100" s="304">
        <f t="shared" ca="1" si="36"/>
        <v>4.1599999999999797</v>
      </c>
      <c r="D100" s="306">
        <f t="shared" ca="1" si="37"/>
        <v>-4.1925187841123224</v>
      </c>
      <c r="E100" s="307">
        <f t="shared" ca="1" si="38"/>
        <v>-27.945905712965214</v>
      </c>
      <c r="F100" s="304">
        <f t="shared" ca="1" si="39"/>
        <v>28.258642215666988</v>
      </c>
      <c r="G100" s="306">
        <f t="shared" ca="1" si="40"/>
        <v>32.220321848299662</v>
      </c>
      <c r="H100" s="307">
        <f t="shared" ca="1" si="41"/>
        <v>139.27986088035377</v>
      </c>
      <c r="I100" s="304">
        <f t="shared" ca="1" si="42"/>
        <v>142.9581364835829</v>
      </c>
      <c r="J100" s="306">
        <f t="shared" ca="1" si="43"/>
        <v>132.06241655389738</v>
      </c>
      <c r="K100" s="307">
        <f t="shared" ca="1" si="44"/>
        <v>635.66030077791379</v>
      </c>
      <c r="L100" s="304">
        <f t="shared" ca="1" si="29"/>
        <v>649.23377904351446</v>
      </c>
      <c r="M100" s="306">
        <f t="shared" ca="1" si="45"/>
        <v>1.3434602786460397</v>
      </c>
      <c r="N100" s="304">
        <f t="shared" ca="1" si="46"/>
        <v>76.974603909887634</v>
      </c>
      <c r="P100" s="310">
        <f t="shared" ca="1" si="47"/>
        <v>3</v>
      </c>
      <c r="Q100" s="304">
        <f t="shared" ca="1" si="48"/>
        <v>0</v>
      </c>
      <c r="R100" s="306">
        <f t="shared" ca="1" si="49"/>
        <v>0</v>
      </c>
      <c r="S100" s="307">
        <f t="shared" ca="1" si="50"/>
        <v>2.5949999999999998</v>
      </c>
      <c r="T100" s="304">
        <f t="shared" ca="1" si="30"/>
        <v>25.456949999999999</v>
      </c>
      <c r="U100" s="311">
        <f t="shared" ca="1" si="31"/>
        <v>0</v>
      </c>
      <c r="V100" s="306">
        <f t="shared" ca="1" si="32"/>
        <v>1.1495302687577595</v>
      </c>
      <c r="W100" s="304">
        <f t="shared" ca="1" si="33"/>
        <v>48.107306028517058</v>
      </c>
      <c r="Y100" s="314" t="str">
        <f t="shared" ca="1" si="51"/>
        <v/>
      </c>
      <c r="Z100" s="315" t="str">
        <f t="shared" ca="1" si="52"/>
        <v/>
      </c>
      <c r="AA100" s="316" t="str">
        <f t="shared" ca="1" si="53"/>
        <v/>
      </c>
      <c r="AC100" s="310" t="e">
        <f t="shared" ca="1" si="54"/>
        <v>#N/A</v>
      </c>
      <c r="AD100" s="323" t="e">
        <f t="shared" ca="1" si="55"/>
        <v>#N/A</v>
      </c>
      <c r="AE100" s="324">
        <f t="shared" ca="1" si="34"/>
        <v>635.66030077791379</v>
      </c>
      <c r="AG100" s="306">
        <f t="shared" ca="1" si="56"/>
        <v>-28.172128791111689</v>
      </c>
      <c r="AH100" s="304">
        <f t="shared" ca="1" si="57"/>
        <v>-18.614195920981896</v>
      </c>
    </row>
    <row r="101" spans="1:34" x14ac:dyDescent="0.2">
      <c r="A101" s="347">
        <f t="shared" ca="1" si="35"/>
        <v>0.01</v>
      </c>
      <c r="B101" s="304">
        <f t="shared" ca="1" si="36"/>
        <v>4.1699999999999795</v>
      </c>
      <c r="D101" s="306">
        <f t="shared" ca="1" si="37"/>
        <v>-4.1782523987503941</v>
      </c>
      <c r="E101" s="307">
        <f t="shared" ca="1" si="38"/>
        <v>-27.871471128714688</v>
      </c>
      <c r="F101" s="304">
        <f t="shared" ca="1" si="39"/>
        <v>28.182914966100292</v>
      </c>
      <c r="G101" s="306">
        <f t="shared" ca="1" si="40"/>
        <v>32.178539324312155</v>
      </c>
      <c r="H101" s="307">
        <f t="shared" ca="1" si="41"/>
        <v>139.00114616906663</v>
      </c>
      <c r="I101" s="304">
        <f t="shared" ca="1" si="42"/>
        <v>142.6771776751998</v>
      </c>
      <c r="J101" s="306">
        <f t="shared" ca="1" si="43"/>
        <v>132.38441085976044</v>
      </c>
      <c r="K101" s="307">
        <f t="shared" ca="1" si="44"/>
        <v>637.05170581316088</v>
      </c>
      <c r="L101" s="304">
        <f t="shared" ca="1" si="29"/>
        <v>650.66159262564736</v>
      </c>
      <c r="M101" s="306">
        <f t="shared" ca="1" si="45"/>
        <v>1.3433053129771566</v>
      </c>
      <c r="N101" s="304">
        <f t="shared" ca="1" si="46"/>
        <v>76.96572503109121</v>
      </c>
      <c r="P101" s="310">
        <f t="shared" ca="1" si="47"/>
        <v>3</v>
      </c>
      <c r="Q101" s="304">
        <f t="shared" ca="1" si="48"/>
        <v>0</v>
      </c>
      <c r="R101" s="306">
        <f t="shared" ca="1" si="49"/>
        <v>0</v>
      </c>
      <c r="S101" s="307">
        <f t="shared" ca="1" si="50"/>
        <v>2.5949999999999998</v>
      </c>
      <c r="T101" s="304">
        <f t="shared" ca="1" si="30"/>
        <v>25.456949999999999</v>
      </c>
      <c r="U101" s="311">
        <f t="shared" ca="1" si="31"/>
        <v>0</v>
      </c>
      <c r="V101" s="306">
        <f t="shared" ca="1" si="32"/>
        <v>1.1493701715975937</v>
      </c>
      <c r="W101" s="304">
        <f t="shared" ca="1" si="33"/>
        <v>47.911725441294479</v>
      </c>
      <c r="Y101" s="314" t="str">
        <f t="shared" ca="1" si="51"/>
        <v/>
      </c>
      <c r="Z101" s="315" t="str">
        <f t="shared" ca="1" si="52"/>
        <v/>
      </c>
      <c r="AA101" s="316" t="str">
        <f t="shared" ca="1" si="53"/>
        <v/>
      </c>
      <c r="AC101" s="310" t="e">
        <f t="shared" ca="1" si="54"/>
        <v>#N/A</v>
      </c>
      <c r="AD101" s="323" t="e">
        <f t="shared" ca="1" si="55"/>
        <v>#N/A</v>
      </c>
      <c r="AE101" s="324">
        <f t="shared" ca="1" si="34"/>
        <v>637.05170581316088</v>
      </c>
      <c r="AG101" s="306">
        <f t="shared" ca="1" si="56"/>
        <v>-28.096052153356112</v>
      </c>
      <c r="AH101" s="304">
        <f t="shared" ca="1" si="57"/>
        <v>-18.538460897309079</v>
      </c>
    </row>
    <row r="102" spans="1:34" x14ac:dyDescent="0.2">
      <c r="A102" s="347">
        <f t="shared" ca="1" si="35"/>
        <v>0.01</v>
      </c>
      <c r="B102" s="304">
        <f t="shared" ca="1" si="36"/>
        <v>4.1799999999999793</v>
      </c>
      <c r="D102" s="306">
        <f t="shared" ca="1" si="37"/>
        <v>-4.1640531635639979</v>
      </c>
      <c r="E102" s="307">
        <f t="shared" ca="1" si="38"/>
        <v>-27.797397022928607</v>
      </c>
      <c r="F102" s="304">
        <f t="shared" ca="1" si="39"/>
        <v>28.107554500512979</v>
      </c>
      <c r="G102" s="306">
        <f t="shared" ca="1" si="40"/>
        <v>32.136898792676512</v>
      </c>
      <c r="H102" s="307">
        <f t="shared" ca="1" si="41"/>
        <v>138.72317219883735</v>
      </c>
      <c r="I102" s="304">
        <f t="shared" ca="1" si="42"/>
        <v>142.39697598235367</v>
      </c>
      <c r="J102" s="306">
        <f t="shared" ca="1" si="43"/>
        <v>132.70598805034538</v>
      </c>
      <c r="K102" s="307">
        <f t="shared" ca="1" si="44"/>
        <v>638.4403274050004</v>
      </c>
      <c r="L102" s="304">
        <f t="shared" ca="1" si="29"/>
        <v>652.08659771645557</v>
      </c>
      <c r="M102" s="306">
        <f t="shared" ca="1" si="45"/>
        <v>1.3431499383644561</v>
      </c>
      <c r="N102" s="304">
        <f t="shared" ca="1" si="46"/>
        <v>76.956822721539993</v>
      </c>
      <c r="P102" s="310">
        <f t="shared" ca="1" si="47"/>
        <v>3</v>
      </c>
      <c r="Q102" s="304">
        <f t="shared" ca="1" si="48"/>
        <v>0</v>
      </c>
      <c r="R102" s="306">
        <f t="shared" ca="1" si="49"/>
        <v>0</v>
      </c>
      <c r="S102" s="307">
        <f t="shared" ca="1" si="50"/>
        <v>2.5949999999999998</v>
      </c>
      <c r="T102" s="304">
        <f t="shared" ca="1" si="30"/>
        <v>25.456949999999999</v>
      </c>
      <c r="U102" s="311">
        <f t="shared" ca="1" si="31"/>
        <v>0</v>
      </c>
      <c r="V102" s="306">
        <f t="shared" ca="1" si="32"/>
        <v>1.1492104162267902</v>
      </c>
      <c r="W102" s="304">
        <f t="shared" ca="1" si="33"/>
        <v>47.717090605038962</v>
      </c>
      <c r="Y102" s="314" t="str">
        <f t="shared" ca="1" si="51"/>
        <v/>
      </c>
      <c r="Z102" s="315" t="str">
        <f t="shared" ca="1" si="52"/>
        <v/>
      </c>
      <c r="AA102" s="316" t="str">
        <f t="shared" ca="1" si="53"/>
        <v/>
      </c>
      <c r="AC102" s="310" t="e">
        <f t="shared" ca="1" si="54"/>
        <v>#N/A</v>
      </c>
      <c r="AD102" s="323" t="e">
        <f t="shared" ca="1" si="55"/>
        <v>#N/A</v>
      </c>
      <c r="AE102" s="324">
        <f t="shared" ca="1" si="34"/>
        <v>638.4403274050004</v>
      </c>
      <c r="AG102" s="306">
        <f t="shared" ca="1" si="56"/>
        <v>-28.020341166804968</v>
      </c>
      <c r="AH102" s="304">
        <f t="shared" ca="1" si="57"/>
        <v>-18.463092655604811</v>
      </c>
    </row>
    <row r="103" spans="1:34" x14ac:dyDescent="0.2">
      <c r="A103" s="347">
        <f t="shared" ca="1" si="35"/>
        <v>0.01</v>
      </c>
      <c r="B103" s="304">
        <f t="shared" ca="1" si="36"/>
        <v>4.1899999999999791</v>
      </c>
      <c r="D103" s="306">
        <f t="shared" ca="1" si="37"/>
        <v>-4.1499206480549509</v>
      </c>
      <c r="E103" s="307">
        <f t="shared" ca="1" si="38"/>
        <v>-27.723681104874629</v>
      </c>
      <c r="F103" s="304">
        <f t="shared" ca="1" si="39"/>
        <v>28.03255848812119</v>
      </c>
      <c r="G103" s="306">
        <f t="shared" ca="1" si="40"/>
        <v>32.09539958619596</v>
      </c>
      <c r="H103" s="307">
        <f t="shared" ca="1" si="41"/>
        <v>138.44593538778861</v>
      </c>
      <c r="I103" s="304">
        <f t="shared" ca="1" si="42"/>
        <v>142.11752777190196</v>
      </c>
      <c r="J103" s="306">
        <f t="shared" ca="1" si="43"/>
        <v>133.02714954223975</v>
      </c>
      <c r="K103" s="307">
        <f t="shared" ca="1" si="44"/>
        <v>639.82617294293357</v>
      </c>
      <c r="L103" s="304">
        <f t="shared" ca="1" si="29"/>
        <v>653.50880185207461</v>
      </c>
      <c r="M103" s="306">
        <f t="shared" ca="1" si="45"/>
        <v>1.3429941537500503</v>
      </c>
      <c r="N103" s="304">
        <f t="shared" ca="1" si="46"/>
        <v>76.94789692062146</v>
      </c>
      <c r="P103" s="310">
        <f t="shared" ca="1" si="47"/>
        <v>3</v>
      </c>
      <c r="Q103" s="304">
        <f t="shared" ca="1" si="48"/>
        <v>0</v>
      </c>
      <c r="R103" s="306">
        <f t="shared" ca="1" si="49"/>
        <v>0</v>
      </c>
      <c r="S103" s="307">
        <f t="shared" ca="1" si="50"/>
        <v>2.5949999999999998</v>
      </c>
      <c r="T103" s="304">
        <f t="shared" ca="1" si="30"/>
        <v>25.456949999999999</v>
      </c>
      <c r="U103" s="311">
        <f t="shared" ca="1" si="31"/>
        <v>0</v>
      </c>
      <c r="V103" s="306">
        <f t="shared" ca="1" si="32"/>
        <v>1.1490510016617708</v>
      </c>
      <c r="W103" s="304">
        <f t="shared" ca="1" si="33"/>
        <v>47.523395519992917</v>
      </c>
      <c r="Y103" s="314" t="str">
        <f t="shared" ca="1" si="51"/>
        <v/>
      </c>
      <c r="Z103" s="315" t="str">
        <f t="shared" ca="1" si="52"/>
        <v/>
      </c>
      <c r="AA103" s="316" t="str">
        <f t="shared" ca="1" si="53"/>
        <v/>
      </c>
      <c r="AC103" s="310" t="e">
        <f t="shared" ca="1" si="54"/>
        <v>#N/A</v>
      </c>
      <c r="AD103" s="323" t="e">
        <f t="shared" ca="1" si="55"/>
        <v>#N/A</v>
      </c>
      <c r="AE103" s="324">
        <f t="shared" ca="1" si="34"/>
        <v>639.82617294293357</v>
      </c>
      <c r="AG103" s="306">
        <f t="shared" ca="1" si="56"/>
        <v>-27.944993496592815</v>
      </c>
      <c r="AH103" s="304">
        <f t="shared" ca="1" si="57"/>
        <v>-18.388088865140258</v>
      </c>
    </row>
    <row r="104" spans="1:34" x14ac:dyDescent="0.2">
      <c r="A104" s="347">
        <f t="shared" ca="1" si="35"/>
        <v>0.01</v>
      </c>
      <c r="B104" s="304">
        <f t="shared" ca="1" si="36"/>
        <v>4.1999999999999789</v>
      </c>
      <c r="D104" s="306">
        <f t="shared" ca="1" si="37"/>
        <v>-4.1358544251715976</v>
      </c>
      <c r="E104" s="307">
        <f t="shared" ca="1" si="38"/>
        <v>-27.650321102182978</v>
      </c>
      <c r="F104" s="304">
        <f t="shared" ca="1" si="39"/>
        <v>27.957924616824418</v>
      </c>
      <c r="G104" s="306">
        <f t="shared" ca="1" si="40"/>
        <v>32.054041041944245</v>
      </c>
      <c r="H104" s="307">
        <f t="shared" ca="1" si="41"/>
        <v>138.16943217676678</v>
      </c>
      <c r="I104" s="304">
        <f t="shared" ca="1" si="42"/>
        <v>141.83882943386411</v>
      </c>
      <c r="J104" s="306">
        <f t="shared" ca="1" si="43"/>
        <v>133.34789674538047</v>
      </c>
      <c r="K104" s="307">
        <f t="shared" ca="1" si="44"/>
        <v>641.20924978075629</v>
      </c>
      <c r="L104" s="304">
        <f t="shared" ca="1" si="29"/>
        <v>654.92821253234843</v>
      </c>
      <c r="M104" s="306">
        <f t="shared" ca="1" si="45"/>
        <v>1.3428379580716769</v>
      </c>
      <c r="N104" s="304">
        <f t="shared" ca="1" si="46"/>
        <v>76.938947567472482</v>
      </c>
      <c r="P104" s="310">
        <f t="shared" ca="1" si="47"/>
        <v>3</v>
      </c>
      <c r="Q104" s="304">
        <f t="shared" ca="1" si="48"/>
        <v>0</v>
      </c>
      <c r="R104" s="306">
        <f t="shared" ca="1" si="49"/>
        <v>0</v>
      </c>
      <c r="S104" s="307">
        <f t="shared" ca="1" si="50"/>
        <v>2.5949999999999998</v>
      </c>
      <c r="T104" s="304">
        <f t="shared" ca="1" si="30"/>
        <v>25.456949999999999</v>
      </c>
      <c r="U104" s="311">
        <f t="shared" ca="1" si="31"/>
        <v>0</v>
      </c>
      <c r="V104" s="306">
        <f t="shared" ca="1" si="32"/>
        <v>1.1488919269238289</v>
      </c>
      <c r="W104" s="304">
        <f t="shared" ca="1" si="33"/>
        <v>47.330634234415754</v>
      </c>
      <c r="Y104" s="314" t="str">
        <f t="shared" ca="1" si="51"/>
        <v/>
      </c>
      <c r="Z104" s="315" t="str">
        <f t="shared" ca="1" si="52"/>
        <v/>
      </c>
      <c r="AA104" s="316" t="str">
        <f t="shared" ca="1" si="53"/>
        <v/>
      </c>
      <c r="AC104" s="310" t="e">
        <f t="shared" ca="1" si="54"/>
        <v>#N/A</v>
      </c>
      <c r="AD104" s="323" t="e">
        <f t="shared" ca="1" si="55"/>
        <v>#N/A</v>
      </c>
      <c r="AE104" s="324">
        <f t="shared" ca="1" si="34"/>
        <v>641.20924978075629</v>
      </c>
      <c r="AG104" s="306">
        <f t="shared" ca="1" si="56"/>
        <v>-27.870006826517173</v>
      </c>
      <c r="AH104" s="304">
        <f t="shared" ca="1" si="57"/>
        <v>-18.313447213870106</v>
      </c>
    </row>
    <row r="105" spans="1:34" x14ac:dyDescent="0.2">
      <c r="A105" s="347">
        <f t="shared" ca="1" si="35"/>
        <v>0.1</v>
      </c>
      <c r="B105" s="304">
        <f t="shared" ca="1" si="36"/>
        <v>4.2999999999999785</v>
      </c>
      <c r="D105" s="306">
        <f t="shared" ca="1" si="37"/>
        <v>-4.1218540712756253</v>
      </c>
      <c r="E105" s="307">
        <f t="shared" ca="1" si="38"/>
        <v>-27.57731476066968</v>
      </c>
      <c r="F105" s="304">
        <f t="shared" ca="1" si="39"/>
        <v>27.883650593025678</v>
      </c>
      <c r="G105" s="306">
        <f t="shared" ca="1" si="40"/>
        <v>31.641855634816682</v>
      </c>
      <c r="H105" s="307">
        <f t="shared" ca="1" si="41"/>
        <v>135.41170070069981</v>
      </c>
      <c r="I105" s="304">
        <f t="shared" ca="1" si="42"/>
        <v>139.05946826689109</v>
      </c>
      <c r="J105" s="306">
        <f t="shared" ca="1" si="43"/>
        <v>136.53269157921852</v>
      </c>
      <c r="K105" s="307">
        <f t="shared" ca="1" si="44"/>
        <v>654.8883064246296</v>
      </c>
      <c r="L105" s="304">
        <f t="shared" ca="1" si="29"/>
        <v>668.96925920522358</v>
      </c>
      <c r="M105" s="306">
        <f t="shared" ca="1" si="45"/>
        <v>1.3412437086168747</v>
      </c>
      <c r="N105" s="304">
        <f t="shared" ca="1" si="46"/>
        <v>76.847603802221286</v>
      </c>
      <c r="P105" s="310">
        <f t="shared" ca="1" si="47"/>
        <v>23</v>
      </c>
      <c r="Q105" s="304">
        <f t="shared" ca="1" si="48"/>
        <v>0</v>
      </c>
      <c r="R105" s="306">
        <f t="shared" ca="1" si="49"/>
        <v>0</v>
      </c>
      <c r="S105" s="307">
        <f t="shared" ca="1" si="50"/>
        <v>2.5949999999999998</v>
      </c>
      <c r="T105" s="304">
        <f t="shared" ca="1" si="30"/>
        <v>25.456949999999999</v>
      </c>
      <c r="U105" s="311">
        <f t="shared" ca="1" si="31"/>
        <v>0</v>
      </c>
      <c r="V105" s="306">
        <f t="shared" ca="1" si="32"/>
        <v>1.1473197759805229</v>
      </c>
      <c r="W105" s="304">
        <f t="shared" ca="1" si="33"/>
        <v>45.431646625471927</v>
      </c>
      <c r="Y105" s="314" t="str">
        <f t="shared" ca="1" si="51"/>
        <v/>
      </c>
      <c r="Z105" s="315" t="str">
        <f t="shared" ca="1" si="52"/>
        <v/>
      </c>
      <c r="AA105" s="316" t="str">
        <f t="shared" ca="1" si="53"/>
        <v/>
      </c>
      <c r="AC105" s="310" t="e">
        <f t="shared" ca="1" si="54"/>
        <v>#N/A</v>
      </c>
      <c r="AD105" s="323" t="e">
        <f t="shared" ca="1" si="55"/>
        <v>#N/A</v>
      </c>
      <c r="AE105" s="324">
        <f t="shared" ca="1" si="34"/>
        <v>654.8883064246296</v>
      </c>
      <c r="AG105" s="306">
        <f t="shared" ca="1" si="56"/>
        <v>-27.795378858858559</v>
      </c>
      <c r="AH105" s="304">
        <f t="shared" ca="1" si="57"/>
        <v>-18.239165408252703</v>
      </c>
    </row>
    <row r="106" spans="1:34" x14ac:dyDescent="0.2">
      <c r="A106" s="347">
        <f t="shared" ca="1" si="35"/>
        <v>0.1</v>
      </c>
      <c r="B106" s="304">
        <f t="shared" ca="1" si="36"/>
        <v>4.3999999999999782</v>
      </c>
      <c r="D106" s="306">
        <f t="shared" ca="1" si="37"/>
        <v>-3.9836621184326129</v>
      </c>
      <c r="E106" s="307">
        <f t="shared" ca="1" si="38"/>
        <v>-26.85812981576067</v>
      </c>
      <c r="F106" s="304">
        <f t="shared" ca="1" si="39"/>
        <v>27.151955750444337</v>
      </c>
      <c r="G106" s="306">
        <f t="shared" ca="1" si="40"/>
        <v>31.243489422973422</v>
      </c>
      <c r="H106" s="307">
        <f t="shared" ca="1" si="41"/>
        <v>132.72588771912373</v>
      </c>
      <c r="I106" s="304">
        <f t="shared" ca="1" si="42"/>
        <v>136.3536464571186</v>
      </c>
      <c r="J106" s="306">
        <f t="shared" ca="1" si="43"/>
        <v>139.67695883210803</v>
      </c>
      <c r="K106" s="307">
        <f t="shared" ca="1" si="44"/>
        <v>668.29518584562084</v>
      </c>
      <c r="L106" s="304">
        <f t="shared" ca="1" si="29"/>
        <v>682.73575287443327</v>
      </c>
      <c r="M106" s="306">
        <f t="shared" ca="1" si="45"/>
        <v>1.3396066515268008</v>
      </c>
      <c r="N106" s="304">
        <f t="shared" ca="1" si="46"/>
        <v>76.753807340138081</v>
      </c>
      <c r="P106" s="310">
        <f t="shared" ca="1" si="47"/>
        <v>23</v>
      </c>
      <c r="Q106" s="304">
        <f t="shared" ca="1" si="48"/>
        <v>0</v>
      </c>
      <c r="R106" s="306">
        <f t="shared" ca="1" si="49"/>
        <v>0</v>
      </c>
      <c r="S106" s="307">
        <f t="shared" ca="1" si="50"/>
        <v>2.5949999999999998</v>
      </c>
      <c r="T106" s="304">
        <f t="shared" ca="1" si="30"/>
        <v>25.456949999999999</v>
      </c>
      <c r="U106" s="311">
        <f t="shared" ca="1" si="31"/>
        <v>0</v>
      </c>
      <c r="V106" s="306">
        <f t="shared" ca="1" si="32"/>
        <v>1.1457809260222358</v>
      </c>
      <c r="W106" s="304">
        <f t="shared" ca="1" si="33"/>
        <v>43.62224080865623</v>
      </c>
      <c r="Y106" s="314" t="str">
        <f t="shared" ca="1" si="51"/>
        <v/>
      </c>
      <c r="Z106" s="315" t="str">
        <f t="shared" ca="1" si="52"/>
        <v/>
      </c>
      <c r="AA106" s="316" t="str">
        <f t="shared" ca="1" si="53"/>
        <v/>
      </c>
      <c r="AC106" s="310" t="e">
        <f t="shared" ca="1" si="54"/>
        <v>#N/A</v>
      </c>
      <c r="AD106" s="323" t="e">
        <f t="shared" ca="1" si="55"/>
        <v>#N/A</v>
      </c>
      <c r="AE106" s="324">
        <f t="shared" ca="1" si="34"/>
        <v>668.29518584562084</v>
      </c>
      <c r="AG106" s="306">
        <f t="shared" ca="1" si="56"/>
        <v>-27.060045206124144</v>
      </c>
      <c r="AH106" s="304">
        <f t="shared" ca="1" si="57"/>
        <v>-17.507378275711726</v>
      </c>
    </row>
    <row r="107" spans="1:34" x14ac:dyDescent="0.2">
      <c r="A107" s="347">
        <f t="shared" ca="1" si="35"/>
        <v>0.1</v>
      </c>
      <c r="B107" s="304">
        <f t="shared" ca="1" si="36"/>
        <v>4.4999999999999778</v>
      </c>
      <c r="D107" s="306">
        <f t="shared" ca="1" si="37"/>
        <v>-3.8517969423485132</v>
      </c>
      <c r="E107" s="307">
        <f t="shared" ca="1" si="38"/>
        <v>-26.172870406885529</v>
      </c>
      <c r="F107" s="304">
        <f t="shared" ca="1" si="39"/>
        <v>26.454781893274223</v>
      </c>
      <c r="G107" s="306">
        <f t="shared" ca="1" si="40"/>
        <v>30.858309728738572</v>
      </c>
      <c r="H107" s="307">
        <f t="shared" ca="1" si="41"/>
        <v>130.10860067843518</v>
      </c>
      <c r="I107" s="304">
        <f t="shared" ca="1" si="42"/>
        <v>133.71792419049612</v>
      </c>
      <c r="J107" s="306">
        <f t="shared" ca="1" si="43"/>
        <v>142.78204878969362</v>
      </c>
      <c r="K107" s="307">
        <f t="shared" ca="1" si="44"/>
        <v>681.4369102654988</v>
      </c>
      <c r="L107" s="304">
        <f t="shared" ca="1" si="29"/>
        <v>696.23485701936238</v>
      </c>
      <c r="M107" s="306">
        <f t="shared" ca="1" si="45"/>
        <v>1.3379256335367284</v>
      </c>
      <c r="N107" s="304">
        <f t="shared" ca="1" si="46"/>
        <v>76.657492104021372</v>
      </c>
      <c r="P107" s="310">
        <f t="shared" ca="1" si="47"/>
        <v>23</v>
      </c>
      <c r="Q107" s="304">
        <f t="shared" ca="1" si="48"/>
        <v>0</v>
      </c>
      <c r="R107" s="306">
        <f t="shared" ca="1" si="49"/>
        <v>0</v>
      </c>
      <c r="S107" s="307">
        <f t="shared" ca="1" si="50"/>
        <v>2.5949999999999998</v>
      </c>
      <c r="T107" s="304">
        <f t="shared" ca="1" si="30"/>
        <v>25.456949999999999</v>
      </c>
      <c r="U107" s="311">
        <f t="shared" ca="1" si="31"/>
        <v>0</v>
      </c>
      <c r="V107" s="306">
        <f t="shared" ca="1" si="32"/>
        <v>1.1442744470611814</v>
      </c>
      <c r="W107" s="304">
        <f t="shared" ca="1" si="33"/>
        <v>41.896941591734155</v>
      </c>
      <c r="Y107" s="314" t="str">
        <f t="shared" ca="1" si="51"/>
        <v/>
      </c>
      <c r="Z107" s="315" t="str">
        <f t="shared" ca="1" si="52"/>
        <v/>
      </c>
      <c r="AA107" s="316" t="str">
        <f t="shared" ca="1" si="53"/>
        <v/>
      </c>
      <c r="AC107" s="310" t="e">
        <f t="shared" ca="1" si="54"/>
        <v>#N/A</v>
      </c>
      <c r="AD107" s="323" t="e">
        <f t="shared" ca="1" si="55"/>
        <v>#N/A</v>
      </c>
      <c r="AE107" s="324">
        <f t="shared" ca="1" si="34"/>
        <v>681.4369102654988</v>
      </c>
      <c r="AG107" s="306">
        <f t="shared" ca="1" si="56"/>
        <v>-26.359111980694166</v>
      </c>
      <c r="AH107" s="304">
        <f t="shared" ca="1" si="57"/>
        <v>-16.810112064992769</v>
      </c>
    </row>
    <row r="108" spans="1:34" x14ac:dyDescent="0.2">
      <c r="A108" s="347">
        <f t="shared" ca="1" si="35"/>
        <v>0.1</v>
      </c>
      <c r="B108" s="304">
        <f t="shared" ca="1" si="36"/>
        <v>4.5999999999999774</v>
      </c>
      <c r="D108" s="306">
        <f t="shared" ca="1" si="37"/>
        <v>-3.7258680190265432</v>
      </c>
      <c r="E108" s="307">
        <f t="shared" ca="1" si="38"/>
        <v>-25.519462978674085</v>
      </c>
      <c r="F108" s="304">
        <f t="shared" ca="1" si="39"/>
        <v>25.790019061937933</v>
      </c>
      <c r="G108" s="306">
        <f t="shared" ca="1" si="40"/>
        <v>30.485722926835919</v>
      </c>
      <c r="H108" s="307">
        <f t="shared" ca="1" si="41"/>
        <v>127.55665438056778</v>
      </c>
      <c r="I108" s="304">
        <f t="shared" ca="1" si="42"/>
        <v>131.14907311580754</v>
      </c>
      <c r="J108" s="306">
        <f t="shared" ca="1" si="43"/>
        <v>145.84925042247235</v>
      </c>
      <c r="K108" s="307">
        <f t="shared" ca="1" si="44"/>
        <v>694.32017301844894</v>
      </c>
      <c r="L108" s="304">
        <f t="shared" ca="1" si="29"/>
        <v>709.47340084682946</v>
      </c>
      <c r="M108" s="306">
        <f t="shared" ca="1" si="45"/>
        <v>1.3361994518485589</v>
      </c>
      <c r="N108" s="304">
        <f t="shared" ca="1" si="46"/>
        <v>76.558589178616486</v>
      </c>
      <c r="P108" s="310">
        <f t="shared" ca="1" si="47"/>
        <v>23</v>
      </c>
      <c r="Q108" s="304">
        <f t="shared" ca="1" si="48"/>
        <v>0</v>
      </c>
      <c r="R108" s="306">
        <f t="shared" ca="1" si="49"/>
        <v>0</v>
      </c>
      <c r="S108" s="307">
        <f t="shared" ca="1" si="50"/>
        <v>2.5949999999999998</v>
      </c>
      <c r="T108" s="304">
        <f t="shared" ca="1" si="30"/>
        <v>25.456949999999999</v>
      </c>
      <c r="U108" s="311">
        <f t="shared" ca="1" si="31"/>
        <v>0</v>
      </c>
      <c r="V108" s="306">
        <f t="shared" ca="1" si="32"/>
        <v>1.1427994536823154</v>
      </c>
      <c r="W108" s="304">
        <f t="shared" ca="1" si="33"/>
        <v>40.250691393124939</v>
      </c>
      <c r="Y108" s="314" t="str">
        <f t="shared" ca="1" si="51"/>
        <v/>
      </c>
      <c r="Z108" s="315" t="str">
        <f t="shared" ca="1" si="52"/>
        <v/>
      </c>
      <c r="AA108" s="316" t="str">
        <f t="shared" ca="1" si="53"/>
        <v/>
      </c>
      <c r="AC108" s="310" t="e">
        <f t="shared" ca="1" si="54"/>
        <v>#N/A</v>
      </c>
      <c r="AD108" s="323" t="e">
        <f t="shared" ca="1" si="55"/>
        <v>#N/A</v>
      </c>
      <c r="AE108" s="324">
        <f t="shared" ca="1" si="34"/>
        <v>694.32017301844894</v>
      </c>
      <c r="AG108" s="306">
        <f t="shared" ca="1" si="56"/>
        <v>-25.690464672978365</v>
      </c>
      <c r="AH108" s="304">
        <f t="shared" ca="1" si="57"/>
        <v>-16.145256875427421</v>
      </c>
    </row>
    <row r="109" spans="1:34" x14ac:dyDescent="0.2">
      <c r="A109" s="347">
        <f t="shared" ca="1" si="35"/>
        <v>0.1</v>
      </c>
      <c r="B109" s="304">
        <f t="shared" ca="1" si="36"/>
        <v>4.6999999999999771</v>
      </c>
      <c r="D109" s="306">
        <f t="shared" ca="1" si="37"/>
        <v>-3.6055145717497319</v>
      </c>
      <c r="E109" s="307">
        <f t="shared" ca="1" si="38"/>
        <v>-24.895992128070375</v>
      </c>
      <c r="F109" s="304">
        <f t="shared" ca="1" si="39"/>
        <v>25.155718224054777</v>
      </c>
      <c r="G109" s="306">
        <f t="shared" ca="1" si="40"/>
        <v>30.125171469660945</v>
      </c>
      <c r="H109" s="307">
        <f t="shared" ca="1" si="41"/>
        <v>125.06705516776074</v>
      </c>
      <c r="I109" s="304">
        <f t="shared" ca="1" si="42"/>
        <v>128.64406027645498</v>
      </c>
      <c r="J109" s="306">
        <f t="shared" ca="1" si="43"/>
        <v>148.87979514229718</v>
      </c>
      <c r="K109" s="307">
        <f t="shared" ca="1" si="44"/>
        <v>706.95135849586541</v>
      </c>
      <c r="L109" s="304">
        <f t="shared" ca="1" si="29"/>
        <v>722.45789959053116</v>
      </c>
      <c r="M109" s="306">
        <f t="shared" ca="1" si="45"/>
        <v>1.3344268517524245</v>
      </c>
      <c r="N109" s="304">
        <f t="shared" ca="1" si="46"/>
        <v>76.45702667434351</v>
      </c>
      <c r="P109" s="310">
        <f t="shared" ca="1" si="47"/>
        <v>23</v>
      </c>
      <c r="Q109" s="304">
        <f t="shared" ca="1" si="48"/>
        <v>0</v>
      </c>
      <c r="R109" s="306">
        <f t="shared" ca="1" si="49"/>
        <v>0</v>
      </c>
      <c r="S109" s="307">
        <f t="shared" ca="1" si="50"/>
        <v>2.5949999999999998</v>
      </c>
      <c r="T109" s="304">
        <f t="shared" ca="1" si="30"/>
        <v>25.456949999999999</v>
      </c>
      <c r="U109" s="311">
        <f t="shared" ca="1" si="31"/>
        <v>0</v>
      </c>
      <c r="V109" s="306">
        <f t="shared" ca="1" si="32"/>
        <v>1.1413551022877042</v>
      </c>
      <c r="W109" s="304">
        <f t="shared" ca="1" si="33"/>
        <v>38.678812471478274</v>
      </c>
      <c r="Y109" s="314" t="str">
        <f t="shared" ca="1" si="51"/>
        <v/>
      </c>
      <c r="Z109" s="315" t="str">
        <f t="shared" ca="1" si="52"/>
        <v/>
      </c>
      <c r="AA109" s="316" t="str">
        <f t="shared" ca="1" si="53"/>
        <v>Satellite</v>
      </c>
      <c r="AC109" s="310" t="e">
        <f t="shared" ca="1" si="54"/>
        <v>#N/A</v>
      </c>
      <c r="AD109" s="323" t="e">
        <f t="shared" ca="1" si="55"/>
        <v>#N/A</v>
      </c>
      <c r="AE109" s="324">
        <f t="shared" ca="1" si="34"/>
        <v>706.95135849586541</v>
      </c>
      <c r="AG109" s="306">
        <f t="shared" ca="1" si="56"/>
        <v>-25.052149462645559</v>
      </c>
      <c r="AH109" s="304">
        <f t="shared" ca="1" si="57"/>
        <v>-15.510863735308263</v>
      </c>
    </row>
    <row r="110" spans="1:34" x14ac:dyDescent="0.2">
      <c r="A110" s="347">
        <f t="shared" ca="1" si="35"/>
        <v>0.1</v>
      </c>
      <c r="B110" s="304">
        <f t="shared" ca="1" si="36"/>
        <v>4.7999999999999767</v>
      </c>
      <c r="D110" s="306">
        <f t="shared" ca="1" si="37"/>
        <v>-3.4904028796423314</v>
      </c>
      <c r="E110" s="307">
        <f t="shared" ca="1" si="38"/>
        <v>-24.300686300178313</v>
      </c>
      <c r="F110" s="304">
        <f t="shared" ca="1" si="39"/>
        <v>24.550076719266876</v>
      </c>
      <c r="G110" s="306">
        <f t="shared" ca="1" si="40"/>
        <v>29.776131181696712</v>
      </c>
      <c r="H110" s="307">
        <f t="shared" ca="1" si="41"/>
        <v>122.63698653774291</v>
      </c>
      <c r="I110" s="304">
        <f t="shared" ca="1" si="42"/>
        <v>126.20003349923545</v>
      </c>
      <c r="J110" s="306">
        <f t="shared" ca="1" si="43"/>
        <v>151.87486027486506</v>
      </c>
      <c r="K110" s="307">
        <f t="shared" ca="1" si="44"/>
        <v>719.33656058114059</v>
      </c>
      <c r="L110" s="304">
        <f t="shared" ca="1" si="29"/>
        <v>735.19457327445957</v>
      </c>
      <c r="M110" s="306">
        <f t="shared" ca="1" si="45"/>
        <v>1.332606524103104</v>
      </c>
      <c r="N110" s="304">
        <f t="shared" ca="1" si="46"/>
        <v>76.352729582706473</v>
      </c>
      <c r="P110" s="310">
        <f t="shared" ca="1" si="47"/>
        <v>23</v>
      </c>
      <c r="Q110" s="304">
        <f t="shared" ca="1" si="48"/>
        <v>0</v>
      </c>
      <c r="R110" s="306">
        <f t="shared" ca="1" si="49"/>
        <v>0</v>
      </c>
      <c r="S110" s="307">
        <f t="shared" ca="1" si="50"/>
        <v>2.5949999999999998</v>
      </c>
      <c r="T110" s="304">
        <f t="shared" ca="1" si="30"/>
        <v>25.456949999999999</v>
      </c>
      <c r="U110" s="311">
        <f t="shared" ca="1" si="31"/>
        <v>0</v>
      </c>
      <c r="V110" s="306">
        <f t="shared" ca="1" si="32"/>
        <v>1.1399405885525919</v>
      </c>
      <c r="W110" s="304">
        <f t="shared" ca="1" si="33"/>
        <v>37.176973097244968</v>
      </c>
      <c r="Y110" s="314" t="str">
        <f t="shared" ca="1" si="51"/>
        <v/>
      </c>
      <c r="Z110" s="315" t="str">
        <f t="shared" ca="1" si="52"/>
        <v/>
      </c>
      <c r="AA110" s="316" t="str">
        <f t="shared" ca="1" si="53"/>
        <v/>
      </c>
      <c r="AC110" s="310" t="e">
        <f t="shared" ca="1" si="54"/>
        <v>#N/A</v>
      </c>
      <c r="AD110" s="323" t="e">
        <f t="shared" ca="1" si="55"/>
        <v>#N/A</v>
      </c>
      <c r="AE110" s="324">
        <f t="shared" ca="1" si="34"/>
        <v>719.33656058114059</v>
      </c>
      <c r="AG110" s="306">
        <f t="shared" ca="1" si="56"/>
        <v>-24.442358649198887</v>
      </c>
      <c r="AH110" s="304">
        <f t="shared" ca="1" si="57"/>
        <v>-14.905130046812438</v>
      </c>
    </row>
    <row r="111" spans="1:34" x14ac:dyDescent="0.2">
      <c r="A111" s="347">
        <f t="shared" ca="1" si="35"/>
        <v>0.1</v>
      </c>
      <c r="B111" s="304">
        <f t="shared" ca="1" si="36"/>
        <v>4.8999999999999764</v>
      </c>
      <c r="D111" s="306">
        <f t="shared" ca="1" si="37"/>
        <v>-3.3802238671752982</v>
      </c>
      <c r="E111" s="307">
        <f t="shared" ca="1" si="38"/>
        <v>-23.731904976968629</v>
      </c>
      <c r="F111" s="304">
        <f t="shared" ca="1" si="39"/>
        <v>23.971425223129515</v>
      </c>
      <c r="G111" s="306">
        <f t="shared" ca="1" si="40"/>
        <v>29.438108794979183</v>
      </c>
      <c r="H111" s="307">
        <f t="shared" ca="1" si="41"/>
        <v>120.26379604004605</v>
      </c>
      <c r="I111" s="304">
        <f t="shared" ca="1" si="42"/>
        <v>123.8143080883095</v>
      </c>
      <c r="J111" s="306">
        <f t="shared" ca="1" si="43"/>
        <v>154.83557227369886</v>
      </c>
      <c r="K111" s="307">
        <f t="shared" ca="1" si="44"/>
        <v>731.48159971003008</v>
      </c>
      <c r="L111" s="304">
        <f t="shared" ca="1" si="29"/>
        <v>747.68936407820354</v>
      </c>
      <c r="M111" s="306">
        <f t="shared" ca="1" si="45"/>
        <v>1.3307371026414838</v>
      </c>
      <c r="N111" s="304">
        <f t="shared" ca="1" si="46"/>
        <v>76.245619622824464</v>
      </c>
      <c r="P111" s="310">
        <f t="shared" ca="1" si="47"/>
        <v>23</v>
      </c>
      <c r="Q111" s="304">
        <f t="shared" ca="1" si="48"/>
        <v>0</v>
      </c>
      <c r="R111" s="306">
        <f t="shared" ca="1" si="49"/>
        <v>0</v>
      </c>
      <c r="S111" s="307">
        <f t="shared" ca="1" si="50"/>
        <v>2.5949999999999998</v>
      </c>
      <c r="T111" s="304">
        <f t="shared" ca="1" si="30"/>
        <v>25.456949999999999</v>
      </c>
      <c r="U111" s="311">
        <f t="shared" ca="1" si="31"/>
        <v>0</v>
      </c>
      <c r="V111" s="306">
        <f t="shared" ca="1" si="32"/>
        <v>1.1385551450739229</v>
      </c>
      <c r="W111" s="304">
        <f t="shared" ca="1" si="33"/>
        <v>35.741157201690257</v>
      </c>
      <c r="Y111" s="314" t="str">
        <f t="shared" ca="1" si="51"/>
        <v/>
      </c>
      <c r="Z111" s="315" t="str">
        <f t="shared" ca="1" si="52"/>
        <v/>
      </c>
      <c r="AA111" s="316" t="str">
        <f t="shared" ca="1" si="53"/>
        <v/>
      </c>
      <c r="AC111" s="310" t="e">
        <f t="shared" ca="1" si="54"/>
        <v>#N/A</v>
      </c>
      <c r="AD111" s="323" t="e">
        <f t="shared" ca="1" si="55"/>
        <v>#N/A</v>
      </c>
      <c r="AE111" s="324">
        <f t="shared" ca="1" si="34"/>
        <v>731.48159971003008</v>
      </c>
      <c r="AG111" s="306">
        <f t="shared" ca="1" si="56"/>
        <v>-23.859417600600331</v>
      </c>
      <c r="AH111" s="304">
        <f t="shared" ca="1" si="57"/>
        <v>-14.326386549998062</v>
      </c>
    </row>
    <row r="112" spans="1:34" x14ac:dyDescent="0.2">
      <c r="A112" s="347">
        <f t="shared" ca="1" si="35"/>
        <v>0.1</v>
      </c>
      <c r="B112" s="304">
        <f t="shared" ca="1" si="36"/>
        <v>4.999999999999976</v>
      </c>
      <c r="D112" s="306">
        <f t="shared" ca="1" si="37"/>
        <v>-3.2746909415085752</v>
      </c>
      <c r="E112" s="307">
        <f t="shared" ca="1" si="38"/>
        <v>-23.188127182916816</v>
      </c>
      <c r="F112" s="304">
        <f t="shared" ca="1" si="39"/>
        <v>23.418216051047185</v>
      </c>
      <c r="G112" s="306">
        <f t="shared" ca="1" si="40"/>
        <v>29.110639700828326</v>
      </c>
      <c r="H112" s="307">
        <f t="shared" ca="1" si="41"/>
        <v>117.94498332175436</v>
      </c>
      <c r="I112" s="304">
        <f t="shared" ca="1" si="42"/>
        <v>121.4843546904718</v>
      </c>
      <c r="J112" s="306">
        <f t="shared" ca="1" si="43"/>
        <v>157.76300969848924</v>
      </c>
      <c r="K112" s="307">
        <f t="shared" ca="1" si="44"/>
        <v>743.39203867812012</v>
      </c>
      <c r="L112" s="304">
        <f t="shared" ca="1" si="29"/>
        <v>759.9479524277549</v>
      </c>
      <c r="M112" s="306">
        <f t="shared" ca="1" si="45"/>
        <v>1.3288171611505117</v>
      </c>
      <c r="N112" s="304">
        <f t="shared" ca="1" si="46"/>
        <v>76.135615078479702</v>
      </c>
      <c r="P112" s="310">
        <f t="shared" ca="1" si="47"/>
        <v>23</v>
      </c>
      <c r="Q112" s="304">
        <f t="shared" ca="1" si="48"/>
        <v>0</v>
      </c>
      <c r="R112" s="306">
        <f t="shared" ca="1" si="49"/>
        <v>0</v>
      </c>
      <c r="S112" s="307">
        <f t="shared" ca="1" si="50"/>
        <v>2.5949999999999998</v>
      </c>
      <c r="T112" s="304">
        <f t="shared" ca="1" si="30"/>
        <v>25.456949999999999</v>
      </c>
      <c r="U112" s="311">
        <f t="shared" ca="1" si="31"/>
        <v>0</v>
      </c>
      <c r="V112" s="306">
        <f t="shared" ca="1" si="32"/>
        <v>1.1371980391941019</v>
      </c>
      <c r="W112" s="304">
        <f t="shared" ca="1" si="33"/>
        <v>34.367637099637051</v>
      </c>
      <c r="Y112" s="314" t="str">
        <f t="shared" ca="1" si="51"/>
        <v/>
      </c>
      <c r="Z112" s="315" t="str">
        <f t="shared" ca="1" si="52"/>
        <v/>
      </c>
      <c r="AA112" s="316" t="str">
        <f t="shared" ca="1" si="53"/>
        <v/>
      </c>
      <c r="AC112" s="310">
        <f t="shared" ca="1" si="54"/>
        <v>4.999999999999976</v>
      </c>
      <c r="AD112" s="323">
        <f t="shared" ca="1" si="55"/>
        <v>157.76300969848924</v>
      </c>
      <c r="AE112" s="324">
        <f t="shared" ca="1" si="34"/>
        <v>743.39203867812012</v>
      </c>
      <c r="AG112" s="306">
        <f t="shared" ca="1" si="56"/>
        <v>-23.301773040844758</v>
      </c>
      <c r="AH112" s="304">
        <f t="shared" ca="1" si="57"/>
        <v>-13.773085626855591</v>
      </c>
    </row>
    <row r="113" spans="1:34" x14ac:dyDescent="0.2">
      <c r="A113" s="347">
        <f t="shared" ca="1" si="35"/>
        <v>0.1</v>
      </c>
      <c r="B113" s="304">
        <f t="shared" ca="1" si="36"/>
        <v>5.0999999999999757</v>
      </c>
      <c r="D113" s="306">
        <f t="shared" ca="1" si="37"/>
        <v>-3.17353804889943</v>
      </c>
      <c r="E113" s="307">
        <f t="shared" ca="1" si="38"/>
        <v>-22.667941154681856</v>
      </c>
      <c r="F113" s="304">
        <f t="shared" ca="1" si="39"/>
        <v>22.889012646681199</v>
      </c>
      <c r="G113" s="306">
        <f t="shared" ca="1" si="40"/>
        <v>28.793285895938382</v>
      </c>
      <c r="H113" s="307">
        <f t="shared" ca="1" si="41"/>
        <v>115.67818920628618</v>
      </c>
      <c r="I113" s="304">
        <f t="shared" ca="1" si="42"/>
        <v>119.207788213399</v>
      </c>
      <c r="J113" s="306">
        <f t="shared" ca="1" si="43"/>
        <v>160.65820597832757</v>
      </c>
      <c r="K113" s="307">
        <f t="shared" ca="1" si="44"/>
        <v>755.07319730452218</v>
      </c>
      <c r="L113" s="304">
        <f t="shared" ca="1" si="29"/>
        <v>771.97577192282949</v>
      </c>
      <c r="M113" s="306">
        <f t="shared" ca="1" si="45"/>
        <v>1.3268452104342643</v>
      </c>
      <c r="N113" s="304">
        <f t="shared" ca="1" si="46"/>
        <v>76.022630625030928</v>
      </c>
      <c r="P113" s="310">
        <f t="shared" ca="1" si="47"/>
        <v>23</v>
      </c>
      <c r="Q113" s="304">
        <f t="shared" ca="1" si="48"/>
        <v>0</v>
      </c>
      <c r="R113" s="306">
        <f t="shared" ca="1" si="49"/>
        <v>0</v>
      </c>
      <c r="S113" s="307">
        <f t="shared" ca="1" si="50"/>
        <v>2.5949999999999998</v>
      </c>
      <c r="T113" s="304">
        <f t="shared" ca="1" si="30"/>
        <v>25.456949999999999</v>
      </c>
      <c r="U113" s="311">
        <f t="shared" ca="1" si="31"/>
        <v>0</v>
      </c>
      <c r="V113" s="306">
        <f t="shared" ca="1" si="32"/>
        <v>1.1358685709845471</v>
      </c>
      <c r="W113" s="304">
        <f t="shared" ca="1" si="33"/>
        <v>33.052948934320526</v>
      </c>
      <c r="Y113" s="314" t="str">
        <f t="shared" ca="1" si="51"/>
        <v/>
      </c>
      <c r="Z113" s="315" t="str">
        <f t="shared" ca="1" si="52"/>
        <v/>
      </c>
      <c r="AA113" s="316" t="str">
        <f t="shared" ca="1" si="53"/>
        <v/>
      </c>
      <c r="AC113" s="310" t="e">
        <f t="shared" ca="1" si="54"/>
        <v>#N/A</v>
      </c>
      <c r="AD113" s="323" t="e">
        <f t="shared" ca="1" si="55"/>
        <v>#N/A</v>
      </c>
      <c r="AE113" s="324">
        <f t="shared" ca="1" si="34"/>
        <v>755.07319730452218</v>
      </c>
      <c r="AG113" s="306">
        <f t="shared" ca="1" si="56"/>
        <v>-22.767982520820681</v>
      </c>
      <c r="AH113" s="304">
        <f t="shared" ca="1" si="57"/>
        <v>-13.243790789840869</v>
      </c>
    </row>
    <row r="114" spans="1:34" x14ac:dyDescent="0.2">
      <c r="A114" s="347">
        <f t="shared" ca="1" si="35"/>
        <v>0.1</v>
      </c>
      <c r="B114" s="304">
        <f t="shared" ca="1" si="36"/>
        <v>5.1999999999999753</v>
      </c>
      <c r="D114" s="306">
        <f t="shared" ca="1" si="37"/>
        <v>-3.0765179251189823</v>
      </c>
      <c r="E114" s="307">
        <f t="shared" ca="1" si="38"/>
        <v>-22.170035041663876</v>
      </c>
      <c r="F114" s="304">
        <f t="shared" ca="1" si="39"/>
        <v>22.38248011932955</v>
      </c>
      <c r="G114" s="306">
        <f t="shared" ca="1" si="40"/>
        <v>28.485634103426484</v>
      </c>
      <c r="H114" s="307">
        <f t="shared" ca="1" si="41"/>
        <v>113.46118570211979</v>
      </c>
      <c r="I114" s="304">
        <f t="shared" ca="1" si="42"/>
        <v>116.98235769211188</v>
      </c>
      <c r="J114" s="306">
        <f t="shared" ca="1" si="43"/>
        <v>163.52215197829582</v>
      </c>
      <c r="K114" s="307">
        <f t="shared" ca="1" si="44"/>
        <v>766.53016604994252</v>
      </c>
      <c r="L114" s="304">
        <f t="shared" ca="1" si="29"/>
        <v>783.77802320055218</v>
      </c>
      <c r="M114" s="306">
        <f t="shared" ca="1" si="45"/>
        <v>1.3248196951078333</v>
      </c>
      <c r="N114" s="304">
        <f t="shared" ca="1" si="46"/>
        <v>75.906577145487361</v>
      </c>
      <c r="P114" s="310">
        <f t="shared" ca="1" si="47"/>
        <v>23</v>
      </c>
      <c r="Q114" s="304">
        <f t="shared" ca="1" si="48"/>
        <v>0</v>
      </c>
      <c r="R114" s="306">
        <f t="shared" ca="1" si="49"/>
        <v>0</v>
      </c>
      <c r="S114" s="307">
        <f t="shared" ca="1" si="50"/>
        <v>2.5949999999999998</v>
      </c>
      <c r="T114" s="304">
        <f t="shared" ca="1" si="30"/>
        <v>25.456949999999999</v>
      </c>
      <c r="U114" s="311">
        <f t="shared" ca="1" si="31"/>
        <v>0</v>
      </c>
      <c r="V114" s="306">
        <f t="shared" ca="1" si="32"/>
        <v>1.1345660713751498</v>
      </c>
      <c r="W114" s="304">
        <f t="shared" ca="1" si="33"/>
        <v>31.793870537453326</v>
      </c>
      <c r="Y114" s="314" t="str">
        <f t="shared" ca="1" si="51"/>
        <v/>
      </c>
      <c r="Z114" s="315" t="str">
        <f t="shared" ca="1" si="52"/>
        <v/>
      </c>
      <c r="AA114" s="316" t="str">
        <f t="shared" ca="1" si="53"/>
        <v/>
      </c>
      <c r="AC114" s="310" t="e">
        <f t="shared" ca="1" si="54"/>
        <v>#N/A</v>
      </c>
      <c r="AD114" s="323" t="e">
        <f t="shared" ca="1" si="55"/>
        <v>#N/A</v>
      </c>
      <c r="AE114" s="324">
        <f t="shared" ca="1" si="34"/>
        <v>766.53016604994252</v>
      </c>
      <c r="AG114" s="306">
        <f t="shared" ca="1" si="56"/>
        <v>-22.256704936861674</v>
      </c>
      <c r="AH114" s="304">
        <f t="shared" ca="1" si="57"/>
        <v>-12.73716721939134</v>
      </c>
    </row>
    <row r="115" spans="1:34" x14ac:dyDescent="0.2">
      <c r="A115" s="347">
        <f t="shared" ca="1" si="35"/>
        <v>0.1</v>
      </c>
      <c r="B115" s="304">
        <f t="shared" ca="1" si="36"/>
        <v>5.299999999999975</v>
      </c>
      <c r="D115" s="306">
        <f t="shared" ca="1" si="37"/>
        <v>-2.9834005180064702</v>
      </c>
      <c r="E115" s="307">
        <f t="shared" ca="1" si="38"/>
        <v>-21.693188521213749</v>
      </c>
      <c r="F115" s="304">
        <f t="shared" ca="1" si="39"/>
        <v>21.897376712011901</v>
      </c>
      <c r="G115" s="306">
        <f t="shared" ca="1" si="40"/>
        <v>28.187294051625837</v>
      </c>
      <c r="H115" s="307">
        <f t="shared" ca="1" si="41"/>
        <v>111.29186684999841</v>
      </c>
      <c r="I115" s="304">
        <f t="shared" ca="1" si="42"/>
        <v>114.80593701072517</v>
      </c>
      <c r="J115" s="306">
        <f t="shared" ca="1" si="43"/>
        <v>166.35579838604843</v>
      </c>
      <c r="K115" s="307">
        <f t="shared" ca="1" si="44"/>
        <v>777.76781867754846</v>
      </c>
      <c r="L115" s="304">
        <f t="shared" ca="1" si="29"/>
        <v>795.35968682545854</v>
      </c>
      <c r="M115" s="306">
        <f t="shared" ca="1" si="45"/>
        <v>1.3227389901847553</v>
      </c>
      <c r="N115" s="304">
        <f t="shared" ca="1" si="46"/>
        <v>75.787361534982907</v>
      </c>
      <c r="P115" s="310">
        <f t="shared" ca="1" si="47"/>
        <v>23</v>
      </c>
      <c r="Q115" s="304">
        <f t="shared" ca="1" si="48"/>
        <v>0</v>
      </c>
      <c r="R115" s="306">
        <f t="shared" ca="1" si="49"/>
        <v>0</v>
      </c>
      <c r="S115" s="307">
        <f t="shared" ca="1" si="50"/>
        <v>2.5949999999999998</v>
      </c>
      <c r="T115" s="304">
        <f t="shared" ca="1" si="30"/>
        <v>25.456949999999999</v>
      </c>
      <c r="U115" s="311">
        <f t="shared" ca="1" si="31"/>
        <v>0</v>
      </c>
      <c r="V115" s="306">
        <f t="shared" ca="1" si="32"/>
        <v>1.1332899004171626</v>
      </c>
      <c r="W115" s="304">
        <f t="shared" ca="1" si="33"/>
        <v>30.58740143607514</v>
      </c>
      <c r="Y115" s="314" t="str">
        <f t="shared" ca="1" si="51"/>
        <v/>
      </c>
      <c r="Z115" s="315" t="str">
        <f t="shared" ca="1" si="52"/>
        <v/>
      </c>
      <c r="AA115" s="316" t="str">
        <f t="shared" ca="1" si="53"/>
        <v/>
      </c>
      <c r="AC115" s="310" t="e">
        <f t="shared" ca="1" si="54"/>
        <v>#N/A</v>
      </c>
      <c r="AD115" s="323" t="e">
        <f t="shared" ca="1" si="55"/>
        <v>#N/A</v>
      </c>
      <c r="AE115" s="324">
        <f t="shared" ca="1" si="34"/>
        <v>777.76781867754846</v>
      </c>
      <c r="AG115" s="306">
        <f t="shared" ca="1" si="56"/>
        <v>-21.766691978615597</v>
      </c>
      <c r="AH115" s="304">
        <f t="shared" ca="1" si="57"/>
        <v>-12.25197323215928</v>
      </c>
    </row>
    <row r="116" spans="1:34" x14ac:dyDescent="0.2">
      <c r="A116" s="347">
        <f t="shared" ca="1" si="35"/>
        <v>0.1</v>
      </c>
      <c r="B116" s="304">
        <f t="shared" ca="1" si="36"/>
        <v>5.3999999999999746</v>
      </c>
      <c r="D116" s="306">
        <f t="shared" ca="1" si="37"/>
        <v>-2.8939715630330802</v>
      </c>
      <c r="E116" s="307">
        <f t="shared" ca="1" si="38"/>
        <v>-21.236265226838334</v>
      </c>
      <c r="F116" s="304">
        <f t="shared" ca="1" si="39"/>
        <v>21.432546096818903</v>
      </c>
      <c r="G116" s="306">
        <f t="shared" ca="1" si="40"/>
        <v>27.897896895322528</v>
      </c>
      <c r="H116" s="307">
        <f t="shared" ca="1" si="41"/>
        <v>109.16824032731458</v>
      </c>
      <c r="I116" s="304">
        <f t="shared" ca="1" si="42"/>
        <v>112.67651639691546</v>
      </c>
      <c r="J116" s="306">
        <f t="shared" ca="1" si="43"/>
        <v>169.16005793339585</v>
      </c>
      <c r="K116" s="307">
        <f t="shared" ca="1" si="44"/>
        <v>788.79082403641416</v>
      </c>
      <c r="L116" s="304">
        <f t="shared" ca="1" si="29"/>
        <v>806.72553528698666</v>
      </c>
      <c r="M116" s="306">
        <f t="shared" ca="1" si="45"/>
        <v>1.3206013974476345</v>
      </c>
      <c r="N116" s="304">
        <f t="shared" ca="1" si="46"/>
        <v>75.66488649282806</v>
      </c>
      <c r="P116" s="310">
        <f t="shared" ca="1" si="47"/>
        <v>23</v>
      </c>
      <c r="Q116" s="304">
        <f t="shared" ca="1" si="48"/>
        <v>0</v>
      </c>
      <c r="R116" s="306">
        <f t="shared" ca="1" si="49"/>
        <v>0</v>
      </c>
      <c r="S116" s="307">
        <f t="shared" ca="1" si="50"/>
        <v>2.5949999999999998</v>
      </c>
      <c r="T116" s="304">
        <f t="shared" ca="1" si="30"/>
        <v>25.456949999999999</v>
      </c>
      <c r="U116" s="311">
        <f t="shared" ca="1" si="31"/>
        <v>0</v>
      </c>
      <c r="V116" s="306">
        <f t="shared" ca="1" si="32"/>
        <v>1.1320394456682503</v>
      </c>
      <c r="W116" s="304">
        <f t="shared" ca="1" si="33"/>
        <v>29.430744770938723</v>
      </c>
      <c r="Y116" s="314" t="str">
        <f t="shared" ca="1" si="51"/>
        <v/>
      </c>
      <c r="Z116" s="315" t="str">
        <f t="shared" ca="1" si="52"/>
        <v/>
      </c>
      <c r="AA116" s="316" t="str">
        <f t="shared" ca="1" si="53"/>
        <v/>
      </c>
      <c r="AC116" s="310" t="e">
        <f t="shared" ca="1" si="54"/>
        <v>#N/A</v>
      </c>
      <c r="AD116" s="323" t="e">
        <f t="shared" ca="1" si="55"/>
        <v>#N/A</v>
      </c>
      <c r="AE116" s="324">
        <f t="shared" ca="1" si="34"/>
        <v>788.79082403641416</v>
      </c>
      <c r="AG116" s="306">
        <f t="shared" ca="1" si="56"/>
        <v>-21.29678040267541</v>
      </c>
      <c r="AH116" s="304">
        <f t="shared" ca="1" si="57"/>
        <v>-11.787052576522214</v>
      </c>
    </row>
    <row r="117" spans="1:34" x14ac:dyDescent="0.2">
      <c r="A117" s="347">
        <f t="shared" ca="1" si="35"/>
        <v>0.1</v>
      </c>
      <c r="B117" s="304">
        <f t="shared" ca="1" si="36"/>
        <v>5.4999999999999742</v>
      </c>
      <c r="D117" s="306">
        <f t="shared" ca="1" si="37"/>
        <v>-2.8080312951120461</v>
      </c>
      <c r="E117" s="307">
        <f t="shared" ca="1" si="38"/>
        <v>-20.798205900309611</v>
      </c>
      <c r="F117" s="304">
        <f t="shared" ca="1" si="39"/>
        <v>20.986910406870329</v>
      </c>
      <c r="G117" s="306">
        <f t="shared" ca="1" si="40"/>
        <v>27.617093765811322</v>
      </c>
      <c r="H117" s="307">
        <f t="shared" ca="1" si="41"/>
        <v>107.08841973728362</v>
      </c>
      <c r="I117" s="304">
        <f t="shared" ca="1" si="42"/>
        <v>110.59219461561585</v>
      </c>
      <c r="J117" s="306">
        <f t="shared" ca="1" si="43"/>
        <v>171.93580746645253</v>
      </c>
      <c r="K117" s="307">
        <f t="shared" ca="1" si="44"/>
        <v>799.60365703964408</v>
      </c>
      <c r="L117" s="304">
        <f t="shared" ca="1" si="29"/>
        <v>817.88014417780914</v>
      </c>
      <c r="M117" s="306">
        <f t="shared" ca="1" si="45"/>
        <v>1.3184051415864444</v>
      </c>
      <c r="N117" s="304">
        <f t="shared" ca="1" si="46"/>
        <v>75.539050301250995</v>
      </c>
      <c r="P117" s="310">
        <f t="shared" ca="1" si="47"/>
        <v>23</v>
      </c>
      <c r="Q117" s="304">
        <f t="shared" ca="1" si="48"/>
        <v>0</v>
      </c>
      <c r="R117" s="306">
        <f t="shared" ca="1" si="49"/>
        <v>0</v>
      </c>
      <c r="S117" s="307">
        <f t="shared" ca="1" si="50"/>
        <v>2.5949999999999998</v>
      </c>
      <c r="T117" s="304">
        <f t="shared" ca="1" si="30"/>
        <v>25.456949999999999</v>
      </c>
      <c r="U117" s="311">
        <f t="shared" ca="1" si="31"/>
        <v>0</v>
      </c>
      <c r="V117" s="306">
        <f t="shared" ca="1" si="32"/>
        <v>1.1308141206895503</v>
      </c>
      <c r="W117" s="304">
        <f t="shared" ca="1" si="33"/>
        <v>28.321290919860537</v>
      </c>
      <c r="Y117" s="314" t="str">
        <f t="shared" ca="1" si="51"/>
        <v/>
      </c>
      <c r="Z117" s="315" t="str">
        <f t="shared" ca="1" si="52"/>
        <v/>
      </c>
      <c r="AA117" s="316" t="str">
        <f t="shared" ca="1" si="53"/>
        <v/>
      </c>
      <c r="AC117" s="310" t="e">
        <f t="shared" ca="1" si="54"/>
        <v>#N/A</v>
      </c>
      <c r="AD117" s="323" t="e">
        <f t="shared" ca="1" si="55"/>
        <v>#N/A</v>
      </c>
      <c r="AE117" s="324">
        <f t="shared" ca="1" si="34"/>
        <v>799.60365703964408</v>
      </c>
      <c r="AG117" s="306">
        <f t="shared" ca="1" si="56"/>
        <v>-20.845885041189884</v>
      </c>
      <c r="AH117" s="304">
        <f t="shared" ca="1" si="57"/>
        <v>-11.341327464716272</v>
      </c>
    </row>
    <row r="118" spans="1:34" x14ac:dyDescent="0.2">
      <c r="A118" s="347">
        <f t="shared" ca="1" si="35"/>
        <v>0.1</v>
      </c>
      <c r="B118" s="304">
        <f t="shared" ca="1" si="36"/>
        <v>5.5999999999999739</v>
      </c>
      <c r="D118" s="306">
        <f t="shared" ca="1" si="37"/>
        <v>-2.7253932819357156</v>
      </c>
      <c r="E118" s="307">
        <f t="shared" ca="1" si="38"/>
        <v>-20.378022189445996</v>
      </c>
      <c r="F118" s="304">
        <f t="shared" ca="1" si="39"/>
        <v>20.559463925277178</v>
      </c>
      <c r="G118" s="306">
        <f t="shared" ca="1" si="40"/>
        <v>27.344554437617752</v>
      </c>
      <c r="H118" s="307">
        <f t="shared" ca="1" si="41"/>
        <v>105.05061751833901</v>
      </c>
      <c r="I118" s="304">
        <f t="shared" ca="1" si="42"/>
        <v>108.5511717964214</v>
      </c>
      <c r="J118" s="306">
        <f t="shared" ca="1" si="43"/>
        <v>174.68388987662399</v>
      </c>
      <c r="K118" s="307">
        <f t="shared" ca="1" si="44"/>
        <v>810.21060890242518</v>
      </c>
      <c r="L118" s="304">
        <f t="shared" ca="1" si="29"/>
        <v>828.82790261939613</v>
      </c>
      <c r="M118" s="306">
        <f t="shared" ca="1" si="45"/>
        <v>1.3161483660877318</v>
      </c>
      <c r="N118" s="304">
        <f t="shared" ca="1" si="46"/>
        <v>75.409746589866231</v>
      </c>
      <c r="P118" s="310">
        <f t="shared" ca="1" si="47"/>
        <v>23</v>
      </c>
      <c r="Q118" s="304">
        <f t="shared" ca="1" si="48"/>
        <v>0</v>
      </c>
      <c r="R118" s="306">
        <f t="shared" ca="1" si="49"/>
        <v>0</v>
      </c>
      <c r="S118" s="307">
        <f t="shared" ca="1" si="50"/>
        <v>2.5949999999999998</v>
      </c>
      <c r="T118" s="304">
        <f t="shared" ca="1" si="30"/>
        <v>25.456949999999999</v>
      </c>
      <c r="U118" s="311">
        <f t="shared" ca="1" si="31"/>
        <v>0</v>
      </c>
      <c r="V118" s="306">
        <f t="shared" ca="1" si="32"/>
        <v>1.1296133636455479</v>
      </c>
      <c r="W118" s="304">
        <f t="shared" ca="1" si="33"/>
        <v>27.256602644299807</v>
      </c>
      <c r="Y118" s="314" t="str">
        <f t="shared" ca="1" si="51"/>
        <v/>
      </c>
      <c r="Z118" s="315" t="str">
        <f t="shared" ca="1" si="52"/>
        <v/>
      </c>
      <c r="AA118" s="316" t="str">
        <f t="shared" ca="1" si="53"/>
        <v/>
      </c>
      <c r="AC118" s="310" t="e">
        <f t="shared" ca="1" si="54"/>
        <v>#N/A</v>
      </c>
      <c r="AD118" s="323" t="e">
        <f t="shared" ca="1" si="55"/>
        <v>#N/A</v>
      </c>
      <c r="AE118" s="324">
        <f t="shared" ca="1" si="34"/>
        <v>810.21060890242518</v>
      </c>
      <c r="AG118" s="306">
        <f t="shared" ca="1" si="56"/>
        <v>-20.412992465710929</v>
      </c>
      <c r="AH118" s="304">
        <f t="shared" ca="1" si="57"/>
        <v>-10.913792261988647</v>
      </c>
    </row>
    <row r="119" spans="1:34" x14ac:dyDescent="0.2">
      <c r="A119" s="347">
        <f t="shared" ca="1" si="35"/>
        <v>0.1</v>
      </c>
      <c r="B119" s="304">
        <f t="shared" ca="1" si="36"/>
        <v>5.6999999999999735</v>
      </c>
      <c r="D119" s="306">
        <f t="shared" ca="1" si="37"/>
        <v>-2.6458833658905063</v>
      </c>
      <c r="E119" s="307">
        <f t="shared" ca="1" si="38"/>
        <v>-19.974791022739154</v>
      </c>
      <c r="F119" s="304">
        <f t="shared" ca="1" si="39"/>
        <v>20.149267361072877</v>
      </c>
      <c r="G119" s="306">
        <f t="shared" ca="1" si="40"/>
        <v>27.079966101028702</v>
      </c>
      <c r="H119" s="307">
        <f t="shared" ca="1" si="41"/>
        <v>103.0531384160651</v>
      </c>
      <c r="I119" s="304">
        <f t="shared" ca="1" si="42"/>
        <v>106.55174283620863</v>
      </c>
      <c r="J119" s="306">
        <f t="shared" ca="1" si="43"/>
        <v>177.40511590355632</v>
      </c>
      <c r="K119" s="307">
        <f t="shared" ca="1" si="44"/>
        <v>820.61579669914533</v>
      </c>
      <c r="L119" s="304">
        <f t="shared" ca="1" si="29"/>
        <v>839.57302299497883</v>
      </c>
      <c r="M119" s="306">
        <f t="shared" ca="1" si="45"/>
        <v>1.3138291288565593</v>
      </c>
      <c r="N119" s="304">
        <f t="shared" ca="1" si="46"/>
        <v>75.27686408483045</v>
      </c>
      <c r="P119" s="310">
        <f t="shared" ca="1" si="47"/>
        <v>23</v>
      </c>
      <c r="Q119" s="304">
        <f t="shared" ca="1" si="48"/>
        <v>0</v>
      </c>
      <c r="R119" s="306">
        <f t="shared" ca="1" si="49"/>
        <v>0</v>
      </c>
      <c r="S119" s="307">
        <f t="shared" ca="1" si="50"/>
        <v>2.5949999999999998</v>
      </c>
      <c r="T119" s="304">
        <f t="shared" ca="1" si="30"/>
        <v>25.456949999999999</v>
      </c>
      <c r="U119" s="311">
        <f t="shared" ca="1" si="31"/>
        <v>0</v>
      </c>
      <c r="V119" s="306">
        <f t="shared" ca="1" si="32"/>
        <v>1.1284366359984586</v>
      </c>
      <c r="W119" s="304">
        <f t="shared" ca="1" si="33"/>
        <v>26.234401598986615</v>
      </c>
      <c r="Y119" s="314" t="str">
        <f t="shared" ca="1" si="51"/>
        <v/>
      </c>
      <c r="Z119" s="315" t="str">
        <f t="shared" ca="1" si="52"/>
        <v/>
      </c>
      <c r="AA119" s="316" t="str">
        <f t="shared" ca="1" si="53"/>
        <v/>
      </c>
      <c r="AC119" s="310" t="e">
        <f t="shared" ca="1" si="54"/>
        <v>#N/A</v>
      </c>
      <c r="AD119" s="323" t="e">
        <f t="shared" ca="1" si="55"/>
        <v>#N/A</v>
      </c>
      <c r="AE119" s="324">
        <f t="shared" ca="1" si="34"/>
        <v>820.61579669914533</v>
      </c>
      <c r="AG119" s="306">
        <f t="shared" ca="1" si="56"/>
        <v>-19.997155236091743</v>
      </c>
      <c r="AH119" s="304">
        <f t="shared" ca="1" si="57"/>
        <v>-10.503507762735957</v>
      </c>
    </row>
    <row r="120" spans="1:34" x14ac:dyDescent="0.2">
      <c r="A120" s="347">
        <f t="shared" ca="1" si="35"/>
        <v>0.1</v>
      </c>
      <c r="B120" s="304">
        <f t="shared" ca="1" si="36"/>
        <v>5.7999999999999732</v>
      </c>
      <c r="D120" s="306">
        <f t="shared" ca="1" si="37"/>
        <v>-2.5693387031373769</v>
      </c>
      <c r="E120" s="307">
        <f t="shared" ca="1" si="38"/>
        <v>-19.58764950016355</v>
      </c>
      <c r="F120" s="304">
        <f t="shared" ca="1" si="39"/>
        <v>19.755442650386172</v>
      </c>
      <c r="G120" s="306">
        <f t="shared" ca="1" si="40"/>
        <v>26.823032230714965</v>
      </c>
      <c r="H120" s="307">
        <f t="shared" ca="1" si="41"/>
        <v>101.09437346604874</v>
      </c>
      <c r="I120" s="304">
        <f t="shared" ca="1" si="42"/>
        <v>104.59229132466174</v>
      </c>
      <c r="J120" s="306">
        <f t="shared" ca="1" si="43"/>
        <v>180.10026582014351</v>
      </c>
      <c r="K120" s="307">
        <f t="shared" ca="1" si="44"/>
        <v>830.82317229325099</v>
      </c>
      <c r="L120" s="304">
        <f t="shared" ca="1" si="29"/>
        <v>850.11955004452602</v>
      </c>
      <c r="M120" s="306">
        <f t="shared" ca="1" si="45"/>
        <v>1.3114453975515312</v>
      </c>
      <c r="N120" s="304">
        <f t="shared" ca="1" si="46"/>
        <v>75.140286341559118</v>
      </c>
      <c r="P120" s="310">
        <f t="shared" ca="1" si="47"/>
        <v>23</v>
      </c>
      <c r="Q120" s="304">
        <f t="shared" ca="1" si="48"/>
        <v>0</v>
      </c>
      <c r="R120" s="306">
        <f t="shared" ca="1" si="49"/>
        <v>0</v>
      </c>
      <c r="S120" s="307">
        <f t="shared" ca="1" si="50"/>
        <v>2.5949999999999998</v>
      </c>
      <c r="T120" s="304">
        <f t="shared" ca="1" si="30"/>
        <v>25.456949999999999</v>
      </c>
      <c r="U120" s="311">
        <f t="shared" ca="1" si="31"/>
        <v>0</v>
      </c>
      <c r="V120" s="306">
        <f t="shared" ca="1" si="32"/>
        <v>1.127283421289569</v>
      </c>
      <c r="W120" s="304">
        <f t="shared" ca="1" si="33"/>
        <v>25.252556063165617</v>
      </c>
      <c r="Y120" s="314" t="str">
        <f t="shared" ca="1" si="51"/>
        <v/>
      </c>
      <c r="Z120" s="315" t="str">
        <f t="shared" ca="1" si="52"/>
        <v/>
      </c>
      <c r="AA120" s="316" t="str">
        <f t="shared" ca="1" si="53"/>
        <v/>
      </c>
      <c r="AC120" s="310" t="e">
        <f t="shared" ca="1" si="54"/>
        <v>#N/A</v>
      </c>
      <c r="AD120" s="323" t="e">
        <f t="shared" ca="1" si="55"/>
        <v>#N/A</v>
      </c>
      <c r="AE120" s="324">
        <f t="shared" ca="1" si="34"/>
        <v>830.82317229325099</v>
      </c>
      <c r="AG120" s="306">
        <f t="shared" ca="1" si="56"/>
        <v>-19.597486672542217</v>
      </c>
      <c r="AH120" s="304">
        <f t="shared" ca="1" si="57"/>
        <v>-10.109595991902358</v>
      </c>
    </row>
    <row r="121" spans="1:34" x14ac:dyDescent="0.2">
      <c r="A121" s="347">
        <f t="shared" ca="1" si="35"/>
        <v>0.1</v>
      </c>
      <c r="B121" s="304">
        <f t="shared" ca="1" si="36"/>
        <v>5.8999999999999728</v>
      </c>
      <c r="D121" s="306">
        <f t="shared" ca="1" si="37"/>
        <v>-2.4956068897816186</v>
      </c>
      <c r="E121" s="307">
        <f t="shared" ca="1" si="38"/>
        <v>-19.215790246604882</v>
      </c>
      <c r="F121" s="304">
        <f t="shared" ca="1" si="39"/>
        <v>19.377168228351653</v>
      </c>
      <c r="G121" s="306">
        <f t="shared" ca="1" si="40"/>
        <v>26.573471541736804</v>
      </c>
      <c r="H121" s="307">
        <f t="shared" ca="1" si="41"/>
        <v>99.172794441388248</v>
      </c>
      <c r="I121" s="304">
        <f t="shared" ca="1" si="42"/>
        <v>102.67128394586942</v>
      </c>
      <c r="J121" s="306">
        <f t="shared" ca="1" si="43"/>
        <v>182.77009100876609</v>
      </c>
      <c r="K121" s="307">
        <f t="shared" ca="1" si="44"/>
        <v>840.83653068862282</v>
      </c>
      <c r="L121" s="304">
        <f t="shared" ca="1" si="29"/>
        <v>860.47136937136497</v>
      </c>
      <c r="M121" s="306">
        <f t="shared" ca="1" si="45"/>
        <v>1.3089950446116019</v>
      </c>
      <c r="N121" s="304">
        <f t="shared" ca="1" si="46"/>
        <v>74.999891459783697</v>
      </c>
      <c r="P121" s="310">
        <f t="shared" ca="1" si="47"/>
        <v>23</v>
      </c>
      <c r="Q121" s="304">
        <f t="shared" ca="1" si="48"/>
        <v>0</v>
      </c>
      <c r="R121" s="306">
        <f t="shared" ca="1" si="49"/>
        <v>0</v>
      </c>
      <c r="S121" s="307">
        <f t="shared" ca="1" si="50"/>
        <v>2.5949999999999998</v>
      </c>
      <c r="T121" s="304">
        <f t="shared" ca="1" si="30"/>
        <v>25.456949999999999</v>
      </c>
      <c r="U121" s="311">
        <f t="shared" ca="1" si="31"/>
        <v>0</v>
      </c>
      <c r="V121" s="306">
        <f t="shared" ca="1" si="32"/>
        <v>1.1261532240006944</v>
      </c>
      <c r="W121" s="304">
        <f t="shared" ca="1" si="33"/>
        <v>24.309069768359354</v>
      </c>
      <c r="Y121" s="314" t="str">
        <f t="shared" ca="1" si="51"/>
        <v/>
      </c>
      <c r="Z121" s="315" t="str">
        <f t="shared" ca="1" si="52"/>
        <v/>
      </c>
      <c r="AA121" s="316" t="str">
        <f t="shared" ca="1" si="53"/>
        <v/>
      </c>
      <c r="AC121" s="310" t="e">
        <f t="shared" ca="1" si="54"/>
        <v>#N/A</v>
      </c>
      <c r="AD121" s="323" t="e">
        <f t="shared" ca="1" si="55"/>
        <v>#N/A</v>
      </c>
      <c r="AE121" s="324">
        <f t="shared" ca="1" si="34"/>
        <v>840.83653068862282</v>
      </c>
      <c r="AG121" s="306">
        <f t="shared" ca="1" si="56"/>
        <v>-19.213156096155892</v>
      </c>
      <c r="AH121" s="304">
        <f t="shared" ca="1" si="57"/>
        <v>-9.7312354771351135</v>
      </c>
    </row>
    <row r="122" spans="1:34" x14ac:dyDescent="0.2">
      <c r="A122" s="347">
        <f t="shared" ca="1" si="35"/>
        <v>0.1</v>
      </c>
      <c r="B122" s="304">
        <f t="shared" ca="1" si="36"/>
        <v>5.9999999999999725</v>
      </c>
      <c r="D122" s="306">
        <f t="shared" ca="1" si="37"/>
        <v>-2.4245451662205326</v>
      </c>
      <c r="E122" s="307">
        <f t="shared" ca="1" si="38"/>
        <v>-18.858457180530465</v>
      </c>
      <c r="F122" s="304">
        <f t="shared" ca="1" si="39"/>
        <v>19.013674723549482</v>
      </c>
      <c r="G122" s="306">
        <f t="shared" ca="1" si="40"/>
        <v>26.33101702511475</v>
      </c>
      <c r="H122" s="307">
        <f t="shared" ca="1" si="41"/>
        <v>97.2869487233352</v>
      </c>
      <c r="I122" s="304">
        <f t="shared" ca="1" si="42"/>
        <v>100.78726531399558</v>
      </c>
      <c r="J122" s="306">
        <f t="shared" ca="1" si="43"/>
        <v>185.41531543710866</v>
      </c>
      <c r="K122" s="307">
        <f t="shared" ca="1" si="44"/>
        <v>850.65951784685899</v>
      </c>
      <c r="L122" s="304">
        <f t="shared" ca="1" si="29"/>
        <v>870.63221540561722</v>
      </c>
      <c r="M122" s="306">
        <f t="shared" ca="1" si="45"/>
        <v>1.3064758419515912</v>
      </c>
      <c r="N122" s="304">
        <f t="shared" ca="1" si="46"/>
        <v>74.85555177962695</v>
      </c>
      <c r="P122" s="310">
        <f t="shared" ca="1" si="47"/>
        <v>23</v>
      </c>
      <c r="Q122" s="304">
        <f t="shared" ca="1" si="48"/>
        <v>0</v>
      </c>
      <c r="R122" s="306">
        <f t="shared" ca="1" si="49"/>
        <v>0</v>
      </c>
      <c r="S122" s="307">
        <f t="shared" ca="1" si="50"/>
        <v>2.5949999999999998</v>
      </c>
      <c r="T122" s="304">
        <f t="shared" ca="1" si="30"/>
        <v>25.456949999999999</v>
      </c>
      <c r="U122" s="311">
        <f t="shared" ca="1" si="31"/>
        <v>0</v>
      </c>
      <c r="V122" s="306">
        <f t="shared" ca="1" si="32"/>
        <v>1.1250455684895275</v>
      </c>
      <c r="W122" s="304">
        <f t="shared" ca="1" si="33"/>
        <v>23.402071711815967</v>
      </c>
      <c r="Y122" s="314" t="str">
        <f t="shared" ca="1" si="51"/>
        <v/>
      </c>
      <c r="Z122" s="315" t="str">
        <f t="shared" ca="1" si="52"/>
        <v/>
      </c>
      <c r="AA122" s="316" t="str">
        <f t="shared" ca="1" si="53"/>
        <v/>
      </c>
      <c r="AC122" s="310">
        <f t="shared" ca="1" si="54"/>
        <v>5.9999999999999725</v>
      </c>
      <c r="AD122" s="323">
        <f t="shared" ca="1" si="55"/>
        <v>185.41531543710866</v>
      </c>
      <c r="AE122" s="324">
        <f t="shared" ca="1" si="34"/>
        <v>850.65951784685899</v>
      </c>
      <c r="AG122" s="306">
        <f t="shared" ca="1" si="56"/>
        <v>-18.843384489500394</v>
      </c>
      <c r="AH122" s="304">
        <f t="shared" ca="1" si="57"/>
        <v>-9.367656943491081</v>
      </c>
    </row>
    <row r="123" spans="1:34" x14ac:dyDescent="0.2">
      <c r="A123" s="347">
        <f t="shared" ca="1" si="35"/>
        <v>0.1</v>
      </c>
      <c r="B123" s="304">
        <f t="shared" ca="1" si="36"/>
        <v>6.0999999999999721</v>
      </c>
      <c r="D123" s="306">
        <f t="shared" ca="1" si="37"/>
        <v>-2.3560196917741481</v>
      </c>
      <c r="E123" s="307">
        <f t="shared" ca="1" si="38"/>
        <v>-18.514941655925298</v>
      </c>
      <c r="F123" s="304">
        <f t="shared" ca="1" si="39"/>
        <v>18.664241032261273</v>
      </c>
      <c r="G123" s="306">
        <f t="shared" ca="1" si="40"/>
        <v>26.095415055937334</v>
      </c>
      <c r="H123" s="307">
        <f t="shared" ca="1" si="41"/>
        <v>95.435454557742673</v>
      </c>
      <c r="I123" s="304">
        <f t="shared" ca="1" si="42"/>
        <v>98.938853205323781</v>
      </c>
      <c r="J123" s="306">
        <f t="shared" ca="1" si="43"/>
        <v>188.03663704116127</v>
      </c>
      <c r="K123" s="307">
        <f t="shared" ca="1" si="44"/>
        <v>860.29563801091285</v>
      </c>
      <c r="L123" s="304">
        <f t="shared" ca="1" si="29"/>
        <v>880.605678865605</v>
      </c>
      <c r="M123" s="306">
        <f t="shared" ca="1" si="45"/>
        <v>1.3038854553013779</v>
      </c>
      <c r="N123" s="304">
        <f t="shared" ca="1" si="46"/>
        <v>74.707133557262708</v>
      </c>
      <c r="P123" s="310">
        <f t="shared" ca="1" si="47"/>
        <v>23</v>
      </c>
      <c r="Q123" s="304">
        <f t="shared" ca="1" si="48"/>
        <v>0</v>
      </c>
      <c r="R123" s="306">
        <f t="shared" ca="1" si="49"/>
        <v>0</v>
      </c>
      <c r="S123" s="307">
        <f t="shared" ca="1" si="50"/>
        <v>2.5949999999999998</v>
      </c>
      <c r="T123" s="304">
        <f t="shared" ca="1" si="30"/>
        <v>25.456949999999999</v>
      </c>
      <c r="U123" s="311">
        <f t="shared" ca="1" si="31"/>
        <v>0</v>
      </c>
      <c r="V123" s="306">
        <f t="shared" ca="1" si="32"/>
        <v>1.1239599979932158</v>
      </c>
      <c r="W123" s="304">
        <f t="shared" ca="1" si="33"/>
        <v>22.529806857282178</v>
      </c>
      <c r="Y123" s="314" t="str">
        <f t="shared" ca="1" si="51"/>
        <v/>
      </c>
      <c r="Z123" s="315" t="str">
        <f t="shared" ca="1" si="52"/>
        <v/>
      </c>
      <c r="AA123" s="316" t="str">
        <f t="shared" ca="1" si="53"/>
        <v/>
      </c>
      <c r="AC123" s="310" t="e">
        <f t="shared" ca="1" si="54"/>
        <v>#N/A</v>
      </c>
      <c r="AD123" s="323" t="e">
        <f t="shared" ca="1" si="55"/>
        <v>#N/A</v>
      </c>
      <c r="AE123" s="324">
        <f t="shared" ca="1" si="34"/>
        <v>860.29563801091285</v>
      </c>
      <c r="AG123" s="306">
        <f t="shared" ca="1" si="56"/>
        <v>-18.487440534339171</v>
      </c>
      <c r="AH123" s="304">
        <f t="shared" ca="1" si="57"/>
        <v>-9.0181393879830321</v>
      </c>
    </row>
    <row r="124" spans="1:34" x14ac:dyDescent="0.2">
      <c r="A124" s="347">
        <f t="shared" ca="1" si="35"/>
        <v>0.1</v>
      </c>
      <c r="B124" s="304">
        <f t="shared" ca="1" si="36"/>
        <v>6.1999999999999718</v>
      </c>
      <c r="D124" s="306">
        <f t="shared" ca="1" si="37"/>
        <v>-2.2899048825937274</v>
      </c>
      <c r="E124" s="307">
        <f t="shared" ca="1" si="38"/>
        <v>-18.184578940241998</v>
      </c>
      <c r="F124" s="304">
        <f t="shared" ca="1" si="39"/>
        <v>18.328190734636614</v>
      </c>
      <c r="G124" s="306">
        <f t="shared" ca="1" si="40"/>
        <v>25.86642456767796</v>
      </c>
      <c r="H124" s="307">
        <f t="shared" ca="1" si="41"/>
        <v>93.616996663718467</v>
      </c>
      <c r="I124" s="304">
        <f t="shared" ca="1" si="42"/>
        <v>97.124734152789557</v>
      </c>
      <c r="J124" s="306">
        <f t="shared" ca="1" si="43"/>
        <v>190.63472902234204</v>
      </c>
      <c r="K124" s="307">
        <f t="shared" ca="1" si="44"/>
        <v>869.74826057198595</v>
      </c>
      <c r="L124" s="304">
        <f t="shared" ca="1" si="29"/>
        <v>890.39521375477807</v>
      </c>
      <c r="M124" s="306">
        <f t="shared" ca="1" si="45"/>
        <v>1.3012214381616276</v>
      </c>
      <c r="N124" s="304">
        <f t="shared" ca="1" si="46"/>
        <v>74.554496618604503</v>
      </c>
      <c r="P124" s="310">
        <f t="shared" ca="1" si="47"/>
        <v>23</v>
      </c>
      <c r="Q124" s="304">
        <f t="shared" ca="1" si="48"/>
        <v>0</v>
      </c>
      <c r="R124" s="306">
        <f t="shared" ca="1" si="49"/>
        <v>0</v>
      </c>
      <c r="S124" s="307">
        <f t="shared" ca="1" si="50"/>
        <v>2.5949999999999998</v>
      </c>
      <c r="T124" s="304">
        <f t="shared" ca="1" si="30"/>
        <v>25.456949999999999</v>
      </c>
      <c r="U124" s="311">
        <f t="shared" ca="1" si="31"/>
        <v>0</v>
      </c>
      <c r="V124" s="306">
        <f t="shared" ca="1" si="32"/>
        <v>1.1228960736949991</v>
      </c>
      <c r="W124" s="304">
        <f t="shared" ca="1" si="33"/>
        <v>21.690627635673216</v>
      </c>
      <c r="Y124" s="314" t="str">
        <f t="shared" ca="1" si="51"/>
        <v/>
      </c>
      <c r="Z124" s="315" t="str">
        <f t="shared" ca="1" si="52"/>
        <v/>
      </c>
      <c r="AA124" s="316" t="str">
        <f t="shared" ca="1" si="53"/>
        <v/>
      </c>
      <c r="AC124" s="310" t="e">
        <f t="shared" ca="1" si="54"/>
        <v>#N/A</v>
      </c>
      <c r="AD124" s="323" t="e">
        <f t="shared" ca="1" si="55"/>
        <v>#N/A</v>
      </c>
      <c r="AE124" s="324">
        <f t="shared" ca="1" si="34"/>
        <v>869.74826057198595</v>
      </c>
      <c r="AG124" s="306">
        <f t="shared" ca="1" si="56"/>
        <v>-18.14463698833789</v>
      </c>
      <c r="AH124" s="304">
        <f t="shared" ca="1" si="57"/>
        <v>-8.6820064960624972</v>
      </c>
    </row>
    <row r="125" spans="1:34" x14ac:dyDescent="0.2">
      <c r="A125" s="347">
        <f t="shared" ca="1" si="35"/>
        <v>0.1</v>
      </c>
      <c r="B125" s="304">
        <f t="shared" ca="1" si="36"/>
        <v>6.2999999999999714</v>
      </c>
      <c r="D125" s="306">
        <f t="shared" ca="1" si="37"/>
        <v>-2.2260828066221552</v>
      </c>
      <c r="E125" s="307">
        <f t="shared" ca="1" si="38"/>
        <v>-17.866744995252176</v>
      </c>
      <c r="F125" s="304">
        <f t="shared" ca="1" si="39"/>
        <v>18.004888819076541</v>
      </c>
      <c r="G125" s="306">
        <f t="shared" ca="1" si="40"/>
        <v>25.643816287015746</v>
      </c>
      <c r="H125" s="307">
        <f t="shared" ca="1" si="41"/>
        <v>91.830322164193248</v>
      </c>
      <c r="I125" s="304">
        <f t="shared" ca="1" si="42"/>
        <v>95.343659372512732</v>
      </c>
      <c r="J125" s="306">
        <f t="shared" ca="1" si="43"/>
        <v>193.21024106507673</v>
      </c>
      <c r="K125" s="307">
        <f t="shared" ca="1" si="44"/>
        <v>879.02062651338156</v>
      </c>
      <c r="L125" s="304">
        <f t="shared" ca="1" si="29"/>
        <v>900.00414392846153</v>
      </c>
      <c r="M125" s="306">
        <f t="shared" ca="1" si="45"/>
        <v>1.2984812253465885</v>
      </c>
      <c r="N125" s="304">
        <f t="shared" ca="1" si="46"/>
        <v>74.397493989335089</v>
      </c>
      <c r="P125" s="310">
        <f t="shared" ca="1" si="47"/>
        <v>23</v>
      </c>
      <c r="Q125" s="304">
        <f t="shared" ca="1" si="48"/>
        <v>0</v>
      </c>
      <c r="R125" s="306">
        <f t="shared" ca="1" si="49"/>
        <v>0</v>
      </c>
      <c r="S125" s="307">
        <f t="shared" ca="1" si="50"/>
        <v>2.5949999999999998</v>
      </c>
      <c r="T125" s="304">
        <f t="shared" ca="1" si="30"/>
        <v>25.456949999999999</v>
      </c>
      <c r="U125" s="311">
        <f t="shared" ca="1" si="31"/>
        <v>0</v>
      </c>
      <c r="V125" s="306">
        <f t="shared" ca="1" si="32"/>
        <v>1.1218533738492016</v>
      </c>
      <c r="W125" s="304">
        <f t="shared" ca="1" si="33"/>
        <v>20.882986167807108</v>
      </c>
      <c r="Y125" s="314" t="str">
        <f t="shared" ca="1" si="51"/>
        <v/>
      </c>
      <c r="Z125" s="315" t="str">
        <f t="shared" ca="1" si="52"/>
        <v/>
      </c>
      <c r="AA125" s="316" t="str">
        <f t="shared" ca="1" si="53"/>
        <v/>
      </c>
      <c r="AC125" s="310" t="e">
        <f t="shared" ca="1" si="54"/>
        <v>#N/A</v>
      </c>
      <c r="AD125" s="323" t="e">
        <f t="shared" ca="1" si="55"/>
        <v>#N/A</v>
      </c>
      <c r="AE125" s="324">
        <f t="shared" ca="1" si="34"/>
        <v>879.02062651338156</v>
      </c>
      <c r="AG125" s="306">
        <f t="shared" ca="1" si="56"/>
        <v>-17.814327366797063</v>
      </c>
      <c r="AH125" s="304">
        <f t="shared" ca="1" si="57"/>
        <v>-8.3586233663480609</v>
      </c>
    </row>
    <row r="126" spans="1:34" x14ac:dyDescent="0.2">
      <c r="A126" s="347">
        <f t="shared" ca="1" si="35"/>
        <v>0.1</v>
      </c>
      <c r="B126" s="304">
        <f t="shared" ca="1" si="36"/>
        <v>6.399999999999971</v>
      </c>
      <c r="D126" s="306">
        <f t="shared" ca="1" si="37"/>
        <v>-2.1644426300646518</v>
      </c>
      <c r="E126" s="307">
        <f t="shared" ca="1" si="38"/>
        <v>-17.560853531320525</v>
      </c>
      <c r="F126" s="304">
        <f t="shared" ca="1" si="39"/>
        <v>17.693738684838028</v>
      </c>
      <c r="G126" s="306">
        <f t="shared" ca="1" si="40"/>
        <v>25.42737202400928</v>
      </c>
      <c r="H126" s="307">
        <f t="shared" ca="1" si="41"/>
        <v>90.074236811061198</v>
      </c>
      <c r="I126" s="304">
        <f t="shared" ca="1" si="42"/>
        <v>93.59444099487159</v>
      </c>
      <c r="J126" s="306">
        <f t="shared" ca="1" si="43"/>
        <v>195.76380048062799</v>
      </c>
      <c r="K126" s="307">
        <f t="shared" ca="1" si="44"/>
        <v>888.11585446214428</v>
      </c>
      <c r="L126" s="304">
        <f t="shared" ca="1" si="29"/>
        <v>909.43566926179221</v>
      </c>
      <c r="M126" s="306">
        <f t="shared" ca="1" si="45"/>
        <v>1.2956621260819607</v>
      </c>
      <c r="N126" s="304">
        <f t="shared" ca="1" si="46"/>
        <v>74.235971499443494</v>
      </c>
      <c r="P126" s="310">
        <f t="shared" ca="1" si="47"/>
        <v>23</v>
      </c>
      <c r="Q126" s="304">
        <f t="shared" ca="1" si="48"/>
        <v>0</v>
      </c>
      <c r="R126" s="306">
        <f t="shared" ca="1" si="49"/>
        <v>0</v>
      </c>
      <c r="S126" s="307">
        <f t="shared" ca="1" si="50"/>
        <v>2.5949999999999998</v>
      </c>
      <c r="T126" s="304">
        <f t="shared" ca="1" si="30"/>
        <v>25.456949999999999</v>
      </c>
      <c r="U126" s="311">
        <f t="shared" ca="1" si="31"/>
        <v>0</v>
      </c>
      <c r="V126" s="306">
        <f t="shared" ca="1" si="32"/>
        <v>1.1208314929602694</v>
      </c>
      <c r="W126" s="304">
        <f t="shared" ca="1" si="33"/>
        <v>20.105427139808139</v>
      </c>
      <c r="Y126" s="314" t="str">
        <f t="shared" ca="1" si="51"/>
        <v/>
      </c>
      <c r="Z126" s="315" t="str">
        <f t="shared" ca="1" si="52"/>
        <v/>
      </c>
      <c r="AA126" s="316" t="str">
        <f t="shared" ca="1" si="53"/>
        <v/>
      </c>
      <c r="AC126" s="310" t="e">
        <f t="shared" ca="1" si="54"/>
        <v>#N/A</v>
      </c>
      <c r="AD126" s="323" t="e">
        <f t="shared" ca="1" si="55"/>
        <v>#N/A</v>
      </c>
      <c r="AE126" s="324">
        <f t="shared" ca="1" si="34"/>
        <v>888.11585446214428</v>
      </c>
      <c r="AG126" s="306">
        <f t="shared" ca="1" si="56"/>
        <v>-17.49590289912296</v>
      </c>
      <c r="AH126" s="304">
        <f t="shared" ca="1" si="57"/>
        <v>-8.0473935136058223</v>
      </c>
    </row>
    <row r="127" spans="1:34" x14ac:dyDescent="0.2">
      <c r="A127" s="347">
        <f t="shared" ca="1" si="35"/>
        <v>0.1</v>
      </c>
      <c r="B127" s="304">
        <f t="shared" ca="1" si="36"/>
        <v>6.4999999999999707</v>
      </c>
      <c r="D127" s="306">
        <f t="shared" ca="1" si="37"/>
        <v>-2.104880110430035</v>
      </c>
      <c r="E127" s="307">
        <f t="shared" ca="1" si="38"/>
        <v>-17.26635330881799</v>
      </c>
      <c r="F127" s="304">
        <f t="shared" ca="1" si="39"/>
        <v>17.394179396114492</v>
      </c>
      <c r="G127" s="306">
        <f t="shared" ca="1" si="40"/>
        <v>25.216884012966275</v>
      </c>
      <c r="H127" s="307">
        <f t="shared" ca="1" si="41"/>
        <v>88.347601480179392</v>
      </c>
      <c r="I127" s="304">
        <f t="shared" ca="1" si="42"/>
        <v>91.875948575369762</v>
      </c>
      <c r="J127" s="306">
        <f t="shared" ca="1" si="43"/>
        <v>198.29601328247676</v>
      </c>
      <c r="K127" s="307">
        <f t="shared" ca="1" si="44"/>
        <v>897.03694637670628</v>
      </c>
      <c r="L127" s="304">
        <f t="shared" ca="1" si="29"/>
        <v>918.69287144756379</v>
      </c>
      <c r="M127" s="306">
        <f t="shared" ca="1" si="45"/>
        <v>1.292761316623084</v>
      </c>
      <c r="N127" s="304">
        <f t="shared" ca="1" si="46"/>
        <v>74.069767360278234</v>
      </c>
      <c r="P127" s="310">
        <f t="shared" ca="1" si="47"/>
        <v>23</v>
      </c>
      <c r="Q127" s="304">
        <f t="shared" ca="1" si="48"/>
        <v>0</v>
      </c>
      <c r="R127" s="306">
        <f t="shared" ca="1" si="49"/>
        <v>0</v>
      </c>
      <c r="S127" s="307">
        <f t="shared" ca="1" si="50"/>
        <v>2.5949999999999998</v>
      </c>
      <c r="T127" s="304">
        <f t="shared" ca="1" si="30"/>
        <v>25.456949999999999</v>
      </c>
      <c r="U127" s="311">
        <f t="shared" ca="1" si="31"/>
        <v>0</v>
      </c>
      <c r="V127" s="306">
        <f t="shared" ca="1" si="32"/>
        <v>1.1198300410119155</v>
      </c>
      <c r="W127" s="304">
        <f t="shared" ca="1" si="33"/>
        <v>19.356581269216228</v>
      </c>
      <c r="Y127" s="314" t="str">
        <f t="shared" ca="1" si="51"/>
        <v/>
      </c>
      <c r="Z127" s="315" t="str">
        <f t="shared" ca="1" si="52"/>
        <v/>
      </c>
      <c r="AA127" s="316" t="str">
        <f t="shared" ca="1" si="53"/>
        <v/>
      </c>
      <c r="AC127" s="310" t="e">
        <f t="shared" ca="1" si="54"/>
        <v>#N/A</v>
      </c>
      <c r="AD127" s="323" t="e">
        <f t="shared" ca="1" si="55"/>
        <v>#N/A</v>
      </c>
      <c r="AE127" s="324">
        <f t="shared" ca="1" si="34"/>
        <v>897.03694637670628</v>
      </c>
      <c r="AG127" s="306">
        <f t="shared" ca="1" si="56"/>
        <v>-17.18878973297052</v>
      </c>
      <c r="AH127" s="304">
        <f t="shared" ca="1" si="57"/>
        <v>-7.7477561232401317</v>
      </c>
    </row>
    <row r="128" spans="1:34" x14ac:dyDescent="0.2">
      <c r="A128" s="347">
        <f t="shared" ca="1" si="35"/>
        <v>0.1</v>
      </c>
      <c r="B128" s="304">
        <f t="shared" ca="1" si="36"/>
        <v>6.5999999999999703</v>
      </c>
      <c r="D128" s="306">
        <f t="shared" ca="1" si="37"/>
        <v>-2.0472971317329205</v>
      </c>
      <c r="E128" s="307">
        <f t="shared" ca="1" si="38"/>
        <v>-16.982725663204498</v>
      </c>
      <c r="F128" s="304">
        <f t="shared" ca="1" si="39"/>
        <v>17.105683163711014</v>
      </c>
      <c r="G128" s="306">
        <f t="shared" ca="1" si="40"/>
        <v>25.012154299792982</v>
      </c>
      <c r="H128" s="307">
        <f t="shared" ca="1" si="41"/>
        <v>86.649328913858938</v>
      </c>
      <c r="I128" s="304">
        <f t="shared" ca="1" si="42"/>
        <v>90.187105862971137</v>
      </c>
      <c r="J128" s="306">
        <f t="shared" ca="1" si="43"/>
        <v>200.80746519811473</v>
      </c>
      <c r="K128" s="307">
        <f t="shared" ca="1" si="44"/>
        <v>905.7867928964082</v>
      </c>
      <c r="L128" s="304">
        <f t="shared" ca="1" si="29"/>
        <v>927.77871945030768</v>
      </c>
      <c r="M128" s="306">
        <f t="shared" ca="1" si="45"/>
        <v>1.2897758323556612</v>
      </c>
      <c r="N128" s="304">
        <f t="shared" ca="1" si="46"/>
        <v>73.898711711952188</v>
      </c>
      <c r="P128" s="310">
        <f t="shared" ca="1" si="47"/>
        <v>23</v>
      </c>
      <c r="Q128" s="304">
        <f t="shared" ca="1" si="48"/>
        <v>0</v>
      </c>
      <c r="R128" s="306">
        <f t="shared" ca="1" si="49"/>
        <v>0</v>
      </c>
      <c r="S128" s="307">
        <f t="shared" ca="1" si="50"/>
        <v>2.5949999999999998</v>
      </c>
      <c r="T128" s="304">
        <f t="shared" ca="1" si="30"/>
        <v>25.456949999999999</v>
      </c>
      <c r="U128" s="311">
        <f t="shared" ca="1" si="31"/>
        <v>0</v>
      </c>
      <c r="V128" s="306">
        <f t="shared" ca="1" si="32"/>
        <v>1.1188486427427715</v>
      </c>
      <c r="W128" s="304">
        <f t="shared" ca="1" si="33"/>
        <v>18.635159306394442</v>
      </c>
      <c r="Y128" s="314" t="str">
        <f t="shared" ca="1" si="51"/>
        <v/>
      </c>
      <c r="Z128" s="315" t="str">
        <f t="shared" ca="1" si="52"/>
        <v/>
      </c>
      <c r="AA128" s="316" t="str">
        <f t="shared" ca="1" si="53"/>
        <v/>
      </c>
      <c r="AC128" s="310" t="e">
        <f t="shared" ca="1" si="54"/>
        <v>#N/A</v>
      </c>
      <c r="AD128" s="323" t="e">
        <f t="shared" ca="1" si="55"/>
        <v>#N/A</v>
      </c>
      <c r="AE128" s="324">
        <f t="shared" ca="1" si="34"/>
        <v>905.7867928964082</v>
      </c>
      <c r="AG128" s="306">
        <f t="shared" ca="1" si="56"/>
        <v>-16.892446361822476</v>
      </c>
      <c r="AH128" s="304">
        <f t="shared" ca="1" si="57"/>
        <v>-7.4591835334166587</v>
      </c>
    </row>
    <row r="129" spans="1:34" x14ac:dyDescent="0.2">
      <c r="A129" s="347">
        <f t="shared" ca="1" si="35"/>
        <v>0.1</v>
      </c>
      <c r="B129" s="304">
        <f t="shared" ca="1" si="36"/>
        <v>6.69999999999997</v>
      </c>
      <c r="D129" s="306">
        <f t="shared" ca="1" si="37"/>
        <v>-1.9916012779150645</v>
      </c>
      <c r="E129" s="307">
        <f t="shared" ca="1" si="38"/>
        <v>-16.70948223279402</v>
      </c>
      <c r="F129" s="304">
        <f t="shared" ca="1" si="39"/>
        <v>16.827753032958736</v>
      </c>
      <c r="G129" s="306">
        <f t="shared" ca="1" si="40"/>
        <v>24.812994172001474</v>
      </c>
      <c r="H129" s="307">
        <f t="shared" ca="1" si="41"/>
        <v>84.978380690579542</v>
      </c>
      <c r="I129" s="304">
        <f t="shared" ca="1" si="42"/>
        <v>88.526887805755607</v>
      </c>
      <c r="J129" s="306">
        <f t="shared" ca="1" si="43"/>
        <v>203.29872262170446</v>
      </c>
      <c r="K129" s="307">
        <f t="shared" ca="1" si="44"/>
        <v>914.36817837663011</v>
      </c>
      <c r="L129" s="304">
        <f t="shared" ca="1" si="29"/>
        <v>936.69607464076284</v>
      </c>
      <c r="M129" s="306">
        <f t="shared" ca="1" si="45"/>
        <v>1.2867025593379431</v>
      </c>
      <c r="N129" s="304">
        <f t="shared" ca="1" si="46"/>
        <v>73.722626138745511</v>
      </c>
      <c r="P129" s="310">
        <f t="shared" ca="1" si="47"/>
        <v>23</v>
      </c>
      <c r="Q129" s="304">
        <f t="shared" ca="1" si="48"/>
        <v>0</v>
      </c>
      <c r="R129" s="306">
        <f t="shared" ca="1" si="49"/>
        <v>0</v>
      </c>
      <c r="S129" s="307">
        <f t="shared" ca="1" si="50"/>
        <v>2.5949999999999998</v>
      </c>
      <c r="T129" s="304">
        <f t="shared" ca="1" si="30"/>
        <v>25.456949999999999</v>
      </c>
      <c r="U129" s="311">
        <f t="shared" ca="1" si="31"/>
        <v>0</v>
      </c>
      <c r="V129" s="306">
        <f t="shared" ca="1" si="32"/>
        <v>1.1178869369652349</v>
      </c>
      <c r="W129" s="304">
        <f t="shared" ca="1" si="33"/>
        <v>17.939946521620747</v>
      </c>
      <c r="Y129" s="314" t="str">
        <f t="shared" ca="1" si="51"/>
        <v/>
      </c>
      <c r="Z129" s="315" t="str">
        <f t="shared" ca="1" si="52"/>
        <v/>
      </c>
      <c r="AA129" s="316" t="str">
        <f t="shared" ca="1" si="53"/>
        <v/>
      </c>
      <c r="AC129" s="310" t="e">
        <f t="shared" ca="1" si="54"/>
        <v>#N/A</v>
      </c>
      <c r="AD129" s="323" t="e">
        <f t="shared" ca="1" si="55"/>
        <v>#N/A</v>
      </c>
      <c r="AE129" s="324">
        <f t="shared" ca="1" si="34"/>
        <v>914.36817837663011</v>
      </c>
      <c r="AG129" s="306">
        <f t="shared" ca="1" si="56"/>
        <v>-16.606361254258211</v>
      </c>
      <c r="AH129" s="304">
        <f t="shared" ca="1" si="57"/>
        <v>-7.1811789234660672</v>
      </c>
    </row>
    <row r="130" spans="1:34" x14ac:dyDescent="0.2">
      <c r="A130" s="347">
        <f t="shared" ca="1" si="35"/>
        <v>0.1</v>
      </c>
      <c r="B130" s="304">
        <f t="shared" ca="1" si="36"/>
        <v>6.7999999999999696</v>
      </c>
      <c r="D130" s="306">
        <f t="shared" ca="1" si="37"/>
        <v>-1.937705440957558</v>
      </c>
      <c r="E130" s="307">
        <f t="shared" ca="1" si="38"/>
        <v>-16.4461628704085</v>
      </c>
      <c r="F130" s="304">
        <f t="shared" ca="1" si="39"/>
        <v>16.559920758745182</v>
      </c>
      <c r="G130" s="306">
        <f t="shared" ca="1" si="40"/>
        <v>24.619223627905718</v>
      </c>
      <c r="H130" s="307">
        <f t="shared" ca="1" si="41"/>
        <v>83.333764403538694</v>
      </c>
      <c r="I130" s="304">
        <f t="shared" ca="1" si="42"/>
        <v>86.894317775705701</v>
      </c>
      <c r="J130" s="306">
        <f t="shared" ca="1" si="43"/>
        <v>205.77033351169982</v>
      </c>
      <c r="K130" s="307">
        <f t="shared" ca="1" si="44"/>
        <v>922.78378563133606</v>
      </c>
      <c r="L130" s="304">
        <f t="shared" ca="1" si="29"/>
        <v>945.44769563292914</v>
      </c>
      <c r="M130" s="306">
        <f t="shared" ca="1" si="45"/>
        <v>1.2835382252396839</v>
      </c>
      <c r="N130" s="304">
        <f t="shared" ca="1" si="46"/>
        <v>73.541323149945924</v>
      </c>
      <c r="P130" s="310">
        <f t="shared" ca="1" si="47"/>
        <v>23</v>
      </c>
      <c r="Q130" s="304">
        <f t="shared" ca="1" si="48"/>
        <v>0</v>
      </c>
      <c r="R130" s="306">
        <f t="shared" ca="1" si="49"/>
        <v>0</v>
      </c>
      <c r="S130" s="307">
        <f t="shared" ca="1" si="50"/>
        <v>2.5949999999999998</v>
      </c>
      <c r="T130" s="304">
        <f t="shared" ca="1" si="30"/>
        <v>25.456949999999999</v>
      </c>
      <c r="U130" s="311">
        <f t="shared" ca="1" si="31"/>
        <v>0</v>
      </c>
      <c r="V130" s="306">
        <f t="shared" ca="1" si="32"/>
        <v>1.1169445759244818</v>
      </c>
      <c r="W130" s="304">
        <f t="shared" ca="1" si="33"/>
        <v>17.269797633376101</v>
      </c>
      <c r="Y130" s="314" t="str">
        <f t="shared" ca="1" si="51"/>
        <v/>
      </c>
      <c r="Z130" s="315" t="str">
        <f t="shared" ca="1" si="52"/>
        <v/>
      </c>
      <c r="AA130" s="316" t="str">
        <f t="shared" ca="1" si="53"/>
        <v/>
      </c>
      <c r="AC130" s="310" t="e">
        <f t="shared" ca="1" si="54"/>
        <v>#N/A</v>
      </c>
      <c r="AD130" s="323" t="e">
        <f t="shared" ca="1" si="55"/>
        <v>#N/A</v>
      </c>
      <c r="AE130" s="324">
        <f t="shared" ca="1" si="34"/>
        <v>922.78378563133606</v>
      </c>
      <c r="AG130" s="306">
        <f t="shared" ca="1" si="56"/>
        <v>-16.33005066535722</v>
      </c>
      <c r="AH130" s="304">
        <f t="shared" ca="1" si="57"/>
        <v>-6.9132741894492291</v>
      </c>
    </row>
    <row r="131" spans="1:34" x14ac:dyDescent="0.2">
      <c r="A131" s="347">
        <f t="shared" ca="1" si="35"/>
        <v>0.1</v>
      </c>
      <c r="B131" s="304">
        <f t="shared" ca="1" si="36"/>
        <v>6.8999999999999693</v>
      </c>
      <c r="D131" s="306">
        <f t="shared" ca="1" si="37"/>
        <v>-1.8855274605216608</v>
      </c>
      <c r="E131" s="307">
        <f t="shared" ca="1" si="38"/>
        <v>-16.192333722067946</v>
      </c>
      <c r="F131" s="304">
        <f t="shared" ca="1" si="39"/>
        <v>16.301744850512172</v>
      </c>
      <c r="G131" s="306">
        <f t="shared" ca="1" si="40"/>
        <v>24.430670881853551</v>
      </c>
      <c r="H131" s="307">
        <f t="shared" ca="1" si="41"/>
        <v>81.714531031331902</v>
      </c>
      <c r="I131" s="304">
        <f t="shared" ca="1" si="42"/>
        <v>85.288464996199522</v>
      </c>
      <c r="J131" s="306">
        <f t="shared" ca="1" si="43"/>
        <v>208.22282823718777</v>
      </c>
      <c r="K131" s="307">
        <f t="shared" ca="1" si="44"/>
        <v>931.03620040307953</v>
      </c>
      <c r="L131" s="304">
        <f t="shared" ca="1" si="29"/>
        <v>954.03624284410535</v>
      </c>
      <c r="M131" s="306">
        <f t="shared" ca="1" si="45"/>
        <v>1.2802793896292364</v>
      </c>
      <c r="N131" s="304">
        <f t="shared" ca="1" si="46"/>
        <v>73.354605623340348</v>
      </c>
      <c r="P131" s="310">
        <f t="shared" ca="1" si="47"/>
        <v>23</v>
      </c>
      <c r="Q131" s="304">
        <f t="shared" ca="1" si="48"/>
        <v>0</v>
      </c>
      <c r="R131" s="306">
        <f t="shared" ca="1" si="49"/>
        <v>0</v>
      </c>
      <c r="S131" s="307">
        <f t="shared" ca="1" si="50"/>
        <v>2.5949999999999998</v>
      </c>
      <c r="T131" s="304">
        <f t="shared" ca="1" si="30"/>
        <v>25.456949999999999</v>
      </c>
      <c r="U131" s="311">
        <f t="shared" ca="1" si="31"/>
        <v>0</v>
      </c>
      <c r="V131" s="306">
        <f t="shared" ca="1" si="32"/>
        <v>1.1160212246948571</v>
      </c>
      <c r="W131" s="304">
        <f t="shared" ca="1" si="33"/>
        <v>16.623632137885224</v>
      </c>
      <c r="Y131" s="314" t="str">
        <f t="shared" ca="1" si="51"/>
        <v/>
      </c>
      <c r="Z131" s="315" t="str">
        <f t="shared" ca="1" si="52"/>
        <v/>
      </c>
      <c r="AA131" s="316" t="str">
        <f t="shared" ca="1" si="53"/>
        <v/>
      </c>
      <c r="AC131" s="310" t="e">
        <f t="shared" ca="1" si="54"/>
        <v>#N/A</v>
      </c>
      <c r="AD131" s="323" t="e">
        <f t="shared" ca="1" si="55"/>
        <v>#N/A</v>
      </c>
      <c r="AE131" s="324">
        <f t="shared" ca="1" si="34"/>
        <v>931.03620040307953</v>
      </c>
      <c r="AG131" s="306">
        <f t="shared" ca="1" si="56"/>
        <v>-16.063056612611621</v>
      </c>
      <c r="AH131" s="304">
        <f t="shared" ca="1" si="57"/>
        <v>-6.6550279897403088</v>
      </c>
    </row>
    <row r="132" spans="1:34" x14ac:dyDescent="0.2">
      <c r="A132" s="347">
        <f t="shared" ca="1" si="35"/>
        <v>0.1</v>
      </c>
      <c r="B132" s="304">
        <f t="shared" ca="1" si="36"/>
        <v>6.9999999999999689</v>
      </c>
      <c r="D132" s="306">
        <f t="shared" ca="1" si="37"/>
        <v>-1.8349897922806662</v>
      </c>
      <c r="E132" s="307">
        <f t="shared" ca="1" si="38"/>
        <v>-15.947585457584434</v>
      </c>
      <c r="F132" s="304">
        <f t="shared" ca="1" si="39"/>
        <v>16.052808771823479</v>
      </c>
      <c r="G132" s="306">
        <f t="shared" ca="1" si="40"/>
        <v>24.247171902625485</v>
      </c>
      <c r="H132" s="307">
        <f t="shared" ca="1" si="41"/>
        <v>80.119772485573463</v>
      </c>
      <c r="I132" s="304">
        <f t="shared" ca="1" si="42"/>
        <v>83.708442157380546</v>
      </c>
      <c r="J132" s="306">
        <f t="shared" ca="1" si="43"/>
        <v>210.65672037641173</v>
      </c>
      <c r="K132" s="307">
        <f t="shared" ca="1" si="44"/>
        <v>939.12791557892479</v>
      </c>
      <c r="L132" s="304">
        <f t="shared" ref="L132:L195" ca="1" si="58">SQRT(pos_x^2+pos_z^2)</f>
        <v>962.46428279669783</v>
      </c>
      <c r="M132" s="306">
        <f t="shared" ca="1" si="45"/>
        <v>1.2769224335558358</v>
      </c>
      <c r="N132" s="304">
        <f t="shared" ca="1" si="46"/>
        <v>73.162266208323686</v>
      </c>
      <c r="P132" s="310">
        <f t="shared" ca="1" si="47"/>
        <v>23</v>
      </c>
      <c r="Q132" s="304">
        <f t="shared" ca="1" si="48"/>
        <v>0</v>
      </c>
      <c r="R132" s="306">
        <f t="shared" ca="1" si="49"/>
        <v>0</v>
      </c>
      <c r="S132" s="307">
        <f t="shared" ca="1" si="50"/>
        <v>2.5949999999999998</v>
      </c>
      <c r="T132" s="304">
        <f t="shared" ref="T132:T195" ca="1" si="59">m*g</f>
        <v>25.456949999999999</v>
      </c>
      <c r="U132" s="311">
        <f t="shared" ref="U132:U195" ca="1" si="60">IF(pos_xz&lt;L_rampe,Poids*COS(Beta),0)</f>
        <v>0</v>
      </c>
      <c r="V132" s="306">
        <f t="shared" ref="V132:V195" ca="1" si="61">Rho_moyen*(20000-Alt_rampe-pos_z)/(20000+Alt_rampe+pos_z)</f>
        <v>1.11511656061108</v>
      </c>
      <c r="W132" s="304">
        <f t="shared" ref="W132:W195" ca="1" si="62">1/2*Rho*Sref*Cx*vit_xz^2</f>
        <v>16.000430003999274</v>
      </c>
      <c r="Y132" s="314" t="str">
        <f t="shared" ca="1" si="51"/>
        <v/>
      </c>
      <c r="Z132" s="315" t="str">
        <f t="shared" ca="1" si="52"/>
        <v/>
      </c>
      <c r="AA132" s="316" t="str">
        <f t="shared" ca="1" si="53"/>
        <v/>
      </c>
      <c r="AC132" s="310">
        <f t="shared" ca="1" si="54"/>
        <v>6.9999999999999689</v>
      </c>
      <c r="AD132" s="323">
        <f t="shared" ca="1" si="55"/>
        <v>210.65672037641173</v>
      </c>
      <c r="AE132" s="324">
        <f t="shared" ref="AE132:AE195" ca="1" si="63">IF(t&lt;T_para, pos_z, NA())</f>
        <v>939.12791557892479</v>
      </c>
      <c r="AG132" s="306">
        <f t="shared" ca="1" si="56"/>
        <v>-15.804945000422236</v>
      </c>
      <c r="AH132" s="304">
        <f t="shared" ca="1" si="57"/>
        <v>-6.4060239452351544</v>
      </c>
    </row>
    <row r="133" spans="1:34" x14ac:dyDescent="0.2">
      <c r="A133" s="347">
        <f t="shared" ref="A133:A196" ca="1" si="64">IF(B132+0.01&lt;=T_ini+ROUNDUP(Temps_fin_propu,0), 0.01, IF(K132&gt;0, 0.1, 0.0001))</f>
        <v>0.1</v>
      </c>
      <c r="B133" s="304">
        <f t="shared" ref="B133:B196" ca="1" si="65">B132+pas</f>
        <v>7.0999999999999686</v>
      </c>
      <c r="D133" s="306">
        <f t="shared" ref="D133:D196" ca="1" si="66">IF(AND(L132&lt;L_rampe,Poussee&lt;Poids*SIN(M132)),0,(-W132+Poussee)/m*COS(M132)-U132/m*SIN(M132))</f>
        <v>-1.786019202393518</v>
      </c>
      <c r="E133" s="307">
        <f t="shared" ref="E133:E196" ca="1" si="67">IF(AND(L132&lt;L_rampe,Poussee&lt;Poids*SIN(M132)),0,(-W132+Poussee)/m*SIN(M132)+U132/m*COS(M132)-Poids/m)</f>
        <v>-15.7115316394544</v>
      </c>
      <c r="F133" s="304">
        <f t="shared" ref="F133:F196" ca="1" si="68">SQRT(acc_x^2+acc_z^2)</f>
        <v>15.812719280658056</v>
      </c>
      <c r="G133" s="306">
        <f t="shared" ref="G133:G196" ca="1" si="69">G132+acc_x*pas</f>
        <v>24.068569982386133</v>
      </c>
      <c r="H133" s="307">
        <f t="shared" ref="H133:H196" ca="1" si="70">H132+acc_z*pas</f>
        <v>78.548619321628024</v>
      </c>
      <c r="I133" s="304">
        <f t="shared" ref="I133:I196" ca="1" si="71">SQRT(vit_x^2+vit_z^2)</f>
        <v>82.153403206020954</v>
      </c>
      <c r="J133" s="306">
        <f t="shared" ref="J133:J196" ca="1" si="72">J132+0.5*(vit_x+G132)*pas*(K132&gt;=0)</f>
        <v>213.07250747066232</v>
      </c>
      <c r="K133" s="307">
        <f t="shared" ref="K133:K196" ca="1" si="73">K132+0.5*(vit_z+H132)*pas</f>
        <v>947.0613351692848</v>
      </c>
      <c r="L133" s="304">
        <f t="shared" ca="1" si="58"/>
        <v>970.73429217910279</v>
      </c>
      <c r="M133" s="306">
        <f t="shared" ref="M133:M196" ca="1" si="74">IF(AND(L132&gt;L_rampe,G133&gt;0),ATAN2(G133,H133),$M$4)</f>
        <v>1.273463548369413</v>
      </c>
      <c r="N133" s="304">
        <f t="shared" ref="N133:N196" ca="1" si="75">DEGREES(Beta)</f>
        <v>72.964086685321334</v>
      </c>
      <c r="P133" s="310">
        <f t="shared" ref="P133:P196" ca="1" si="76">MATCH(t-pas/2-T_ini,CdP_t)</f>
        <v>23</v>
      </c>
      <c r="Q133" s="304">
        <f t="shared" ref="Q133:Q196" ca="1" si="77">(INDEX(CdP,2,i_P+1)-INDEX(CdP,2,i_P+0))/(INDEX(CdP,1,i_P+1)-INDEX(CdP,1,i_P+0))*(t-pas/2-T_ini-INDEX(CdP,1,i_P+0))+INDEX(CdP,2,i_P+0)</f>
        <v>0</v>
      </c>
      <c r="R133" s="306">
        <f t="shared" ref="R133:R196" ca="1" si="78">Poussee/(g*ISP)</f>
        <v>0</v>
      </c>
      <c r="S133" s="307">
        <f t="shared" ref="S133:S196" ca="1" si="79">S132-Débit*pas</f>
        <v>2.5949999999999998</v>
      </c>
      <c r="T133" s="304">
        <f t="shared" ca="1" si="59"/>
        <v>25.456949999999999</v>
      </c>
      <c r="U133" s="311">
        <f t="shared" ca="1" si="60"/>
        <v>0</v>
      </c>
      <c r="V133" s="306">
        <f t="shared" ca="1" si="61"/>
        <v>1.1142302727319058</v>
      </c>
      <c r="W133" s="304">
        <f t="shared" ca="1" si="62"/>
        <v>15.399227701094711</v>
      </c>
      <c r="Y133" s="314" t="str">
        <f t="shared" ref="Y133:Y196" ca="1" si="80">IF(AND(pos_z&lt;=0,K132&gt;0),"Impact balistique","") &amp; IF(AND(H134&lt;0,vit_z&gt;=0),"Apogée","") &amp; IF(AND(Poussee=0,Q132&gt;0),"Fin de propulsion","") &amp; IF(AND(L134&gt;L_rampe,pos_xz&lt;=L_rampe),"Sortie de rampe","")</f>
        <v/>
      </c>
      <c r="Z133" s="315" t="str">
        <f t="shared" ref="Z133:Z196" ca="1" si="81">IF(ABS(t-T_para)&lt;pas/2,"Para","")</f>
        <v/>
      </c>
      <c r="AA133" s="316" t="str">
        <f t="shared" ref="AA133:AA196" ca="1" si="82">IF(ABS(t-T_satellite)&lt;pas/2,"Satellite","")</f>
        <v/>
      </c>
      <c r="AC133" s="310" t="e">
        <f t="shared" ref="AC133:AC196" ca="1" si="83">IF(ABS(t-ROUND(t,0))&lt;0.001,t,NA())</f>
        <v>#N/A</v>
      </c>
      <c r="AD133" s="323" t="e">
        <f t="shared" ref="AD133:AD196" ca="1" si="84">IF(ABS(t-ROUND(t,0))&lt;0.001,pos_x,NA())</f>
        <v>#N/A</v>
      </c>
      <c r="AE133" s="324">
        <f t="shared" ca="1" si="63"/>
        <v>947.0613351692848</v>
      </c>
      <c r="AG133" s="306">
        <f t="shared" ref="AG133:AG196" ca="1" si="85">IF(AND(L132&lt;L_rampe,Poussee&lt;Poids*SIN(M132)),0,(-W132+Poussee)/m-Poids*SIN(M132)/m)</f>
        <v>-15.555303878749754</v>
      </c>
      <c r="AH133" s="304">
        <f t="shared" ref="AH133:AH196" ca="1" si="86">IF(AND(L132&lt;L_rampe,Poussee&lt;Poids*SIN(M132)), g*SIN(M132), (-W132+Poussee)/m)</f>
        <v>-6.1658689803465414</v>
      </c>
    </row>
    <row r="134" spans="1:34" x14ac:dyDescent="0.2">
      <c r="A134" s="347">
        <f t="shared" ca="1" si="64"/>
        <v>0.1</v>
      </c>
      <c r="B134" s="304">
        <f t="shared" ca="1" si="65"/>
        <v>7.1999999999999682</v>
      </c>
      <c r="D134" s="306">
        <f t="shared" ca="1" si="66"/>
        <v>-1.7385464858272979</v>
      </c>
      <c r="E134" s="307">
        <f t="shared" ca="1" si="67"/>
        <v>-15.483807217800654</v>
      </c>
      <c r="F134" s="304">
        <f t="shared" ca="1" si="68"/>
        <v>15.581104897965295</v>
      </c>
      <c r="G134" s="306">
        <f t="shared" ca="1" si="69"/>
        <v>23.894715333803404</v>
      </c>
      <c r="H134" s="307">
        <f t="shared" ca="1" si="70"/>
        <v>77.000238599847961</v>
      </c>
      <c r="I134" s="304">
        <f t="shared" ca="1" si="71"/>
        <v>80.622541297809605</v>
      </c>
      <c r="J134" s="306">
        <f t="shared" ca="1" si="72"/>
        <v>215.47067173647179</v>
      </c>
      <c r="K134" s="307">
        <f t="shared" ca="1" si="73"/>
        <v>954.83877806535861</v>
      </c>
      <c r="L134" s="304">
        <f t="shared" ca="1" si="58"/>
        <v>978.84866168162762</v>
      </c>
      <c r="M134" s="306">
        <f t="shared" ca="1" si="74"/>
        <v>1.2698987237151045</v>
      </c>
      <c r="N134" s="304">
        <f t="shared" ca="1" si="75"/>
        <v>72.759837277925271</v>
      </c>
      <c r="P134" s="310">
        <f t="shared" ca="1" si="76"/>
        <v>23</v>
      </c>
      <c r="Q134" s="304">
        <f t="shared" ca="1" si="77"/>
        <v>0</v>
      </c>
      <c r="R134" s="306">
        <f t="shared" ca="1" si="78"/>
        <v>0</v>
      </c>
      <c r="S134" s="307">
        <f t="shared" ca="1" si="79"/>
        <v>2.5949999999999998</v>
      </c>
      <c r="T134" s="304">
        <f t="shared" ca="1" si="59"/>
        <v>25.456949999999999</v>
      </c>
      <c r="U134" s="311">
        <f t="shared" ca="1" si="60"/>
        <v>0</v>
      </c>
      <c r="V134" s="306">
        <f t="shared" ca="1" si="61"/>
        <v>1.1133620613340696</v>
      </c>
      <c r="W134" s="304">
        <f t="shared" ca="1" si="62"/>
        <v>14.819114530853492</v>
      </c>
      <c r="Y134" s="314" t="str">
        <f t="shared" ca="1" si="80"/>
        <v/>
      </c>
      <c r="Z134" s="315" t="str">
        <f t="shared" ca="1" si="81"/>
        <v/>
      </c>
      <c r="AA134" s="316" t="str">
        <f t="shared" ca="1" si="82"/>
        <v/>
      </c>
      <c r="AC134" s="310" t="e">
        <f t="shared" ca="1" si="83"/>
        <v>#N/A</v>
      </c>
      <c r="AD134" s="323" t="e">
        <f t="shared" ca="1" si="84"/>
        <v>#N/A</v>
      </c>
      <c r="AE134" s="324">
        <f t="shared" ca="1" si="63"/>
        <v>954.83877806535861</v>
      </c>
      <c r="AG134" s="306">
        <f t="shared" ca="1" si="85"/>
        <v>-15.313741822810602</v>
      </c>
      <c r="AH134" s="304">
        <f t="shared" ca="1" si="86"/>
        <v>-5.9341917923293686</v>
      </c>
    </row>
    <row r="135" spans="1:34" x14ac:dyDescent="0.2">
      <c r="A135" s="347">
        <f t="shared" ca="1" si="64"/>
        <v>0.1</v>
      </c>
      <c r="B135" s="304">
        <f t="shared" ca="1" si="65"/>
        <v>7.2999999999999678</v>
      </c>
      <c r="D135" s="306">
        <f t="shared" ca="1" si="66"/>
        <v>-1.6925062064642842</v>
      </c>
      <c r="E135" s="307">
        <f t="shared" ca="1" si="67"/>
        <v>-15.264067140323174</v>
      </c>
      <c r="F135" s="304">
        <f t="shared" ca="1" si="68"/>
        <v>15.357614493247764</v>
      </c>
      <c r="G135" s="306">
        <f t="shared" ca="1" si="69"/>
        <v>23.725464713156974</v>
      </c>
      <c r="H135" s="307">
        <f t="shared" ca="1" si="70"/>
        <v>75.473831885815642</v>
      </c>
      <c r="I135" s="304">
        <f t="shared" ca="1" si="71"/>
        <v>79.115086901194886</v>
      </c>
      <c r="J135" s="306">
        <f t="shared" ca="1" si="72"/>
        <v>217.85168073881979</v>
      </c>
      <c r="K135" s="307">
        <f t="shared" ca="1" si="73"/>
        <v>962.46248158964181</v>
      </c>
      <c r="L135" s="304">
        <f t="shared" ca="1" si="58"/>
        <v>986.8096996221816</v>
      </c>
      <c r="M135" s="306">
        <f t="shared" ca="1" si="74"/>
        <v>1.2662237346340035</v>
      </c>
      <c r="N135" s="304">
        <f t="shared" ca="1" si="75"/>
        <v>72.549275913821532</v>
      </c>
      <c r="P135" s="310">
        <f t="shared" ca="1" si="76"/>
        <v>23</v>
      </c>
      <c r="Q135" s="304">
        <f t="shared" ca="1" si="77"/>
        <v>0</v>
      </c>
      <c r="R135" s="306">
        <f t="shared" ca="1" si="78"/>
        <v>0</v>
      </c>
      <c r="S135" s="307">
        <f t="shared" ca="1" si="79"/>
        <v>2.5949999999999998</v>
      </c>
      <c r="T135" s="304">
        <f t="shared" ca="1" si="59"/>
        <v>25.456949999999999</v>
      </c>
      <c r="U135" s="311">
        <f t="shared" ca="1" si="60"/>
        <v>0</v>
      </c>
      <c r="V135" s="306">
        <f t="shared" ca="1" si="61"/>
        <v>1.1125116374345059</v>
      </c>
      <c r="W135" s="304">
        <f t="shared" ca="1" si="62"/>
        <v>14.259229236634084</v>
      </c>
      <c r="Y135" s="314" t="str">
        <f t="shared" ca="1" si="80"/>
        <v/>
      </c>
      <c r="Z135" s="315" t="str">
        <f t="shared" ca="1" si="81"/>
        <v/>
      </c>
      <c r="AA135" s="316" t="str">
        <f t="shared" ca="1" si="82"/>
        <v/>
      </c>
      <c r="AC135" s="310" t="e">
        <f t="shared" ca="1" si="83"/>
        <v>#N/A</v>
      </c>
      <c r="AD135" s="323" t="e">
        <f t="shared" ca="1" si="84"/>
        <v>#N/A</v>
      </c>
      <c r="AE135" s="324">
        <f t="shared" ca="1" si="63"/>
        <v>962.46248158964181</v>
      </c>
      <c r="AG135" s="306">
        <f t="shared" ca="1" si="85"/>
        <v>-15.079886421865666</v>
      </c>
      <c r="AH135" s="304">
        <f t="shared" ca="1" si="86"/>
        <v>-5.7106414377084755</v>
      </c>
    </row>
    <row r="136" spans="1:34" x14ac:dyDescent="0.2">
      <c r="A136" s="347">
        <f t="shared" ca="1" si="64"/>
        <v>0.1</v>
      </c>
      <c r="B136" s="304">
        <f t="shared" ca="1" si="65"/>
        <v>7.3999999999999675</v>
      </c>
      <c r="D136" s="306">
        <f t="shared" ca="1" si="66"/>
        <v>-1.6478364571330675</v>
      </c>
      <c r="E136" s="307">
        <f t="shared" ca="1" si="67"/>
        <v>-15.051985067293986</v>
      </c>
      <c r="F136" s="304">
        <f t="shared" ca="1" si="68"/>
        <v>15.141915977032035</v>
      </c>
      <c r="G136" s="306">
        <f t="shared" ca="1" si="69"/>
        <v>23.560681067443667</v>
      </c>
      <c r="H136" s="307">
        <f t="shared" ca="1" si="70"/>
        <v>73.968633379086242</v>
      </c>
      <c r="I136" s="304">
        <f t="shared" ca="1" si="71"/>
        <v>77.630306043010478</v>
      </c>
      <c r="J136" s="306">
        <f t="shared" ca="1" si="72"/>
        <v>220.21598802784982</v>
      </c>
      <c r="K136" s="307">
        <f t="shared" ca="1" si="73"/>
        <v>969.93460485288688</v>
      </c>
      <c r="L136" s="304">
        <f t="shared" ca="1" si="58"/>
        <v>994.61963537535689</v>
      </c>
      <c r="M136" s="306">
        <f t="shared" ca="1" si="74"/>
        <v>1.2624341276955195</v>
      </c>
      <c r="N136" s="304">
        <f t="shared" ca="1" si="75"/>
        <v>72.332147430232908</v>
      </c>
      <c r="P136" s="310">
        <f t="shared" ca="1" si="76"/>
        <v>23</v>
      </c>
      <c r="Q136" s="304">
        <f t="shared" ca="1" si="77"/>
        <v>0</v>
      </c>
      <c r="R136" s="306">
        <f t="shared" ca="1" si="78"/>
        <v>0</v>
      </c>
      <c r="S136" s="307">
        <f t="shared" ca="1" si="79"/>
        <v>2.5949999999999998</v>
      </c>
      <c r="T136" s="304">
        <f t="shared" ca="1" si="59"/>
        <v>25.456949999999999</v>
      </c>
      <c r="U136" s="311">
        <f t="shared" ca="1" si="60"/>
        <v>0</v>
      </c>
      <c r="V136" s="306">
        <f t="shared" ca="1" si="61"/>
        <v>1.1116787223389988</v>
      </c>
      <c r="W136" s="304">
        <f t="shared" ca="1" si="62"/>
        <v>13.718756866681558</v>
      </c>
      <c r="Y136" s="314" t="str">
        <f t="shared" ca="1" si="80"/>
        <v/>
      </c>
      <c r="Z136" s="315" t="str">
        <f t="shared" ca="1" si="81"/>
        <v/>
      </c>
      <c r="AA136" s="316" t="str">
        <f t="shared" ca="1" si="82"/>
        <v/>
      </c>
      <c r="AC136" s="310" t="e">
        <f t="shared" ca="1" si="83"/>
        <v>#N/A</v>
      </c>
      <c r="AD136" s="323" t="e">
        <f t="shared" ca="1" si="84"/>
        <v>#N/A</v>
      </c>
      <c r="AE136" s="324">
        <f t="shared" ca="1" si="63"/>
        <v>969.93460485288688</v>
      </c>
      <c r="AG136" s="306">
        <f t="shared" ca="1" si="85"/>
        <v>-14.853382866166957</v>
      </c>
      <c r="AH136" s="304">
        <f t="shared" ca="1" si="86"/>
        <v>-5.4948860256778751</v>
      </c>
    </row>
    <row r="137" spans="1:34" x14ac:dyDescent="0.2">
      <c r="A137" s="347">
        <f t="shared" ca="1" si="64"/>
        <v>0.1</v>
      </c>
      <c r="B137" s="304">
        <f t="shared" ca="1" si="65"/>
        <v>7.4999999999999671</v>
      </c>
      <c r="D137" s="306">
        <f t="shared" ca="1" si="66"/>
        <v>-1.6044786378855855</v>
      </c>
      <c r="E137" s="307">
        <f t="shared" ca="1" si="67"/>
        <v>-14.847252182591999</v>
      </c>
      <c r="F137" s="304">
        <f t="shared" ca="1" si="68"/>
        <v>14.933695091065509</v>
      </c>
      <c r="G137" s="306">
        <f t="shared" ca="1" si="69"/>
        <v>23.400233203655109</v>
      </c>
      <c r="H137" s="307">
        <f t="shared" ca="1" si="70"/>
        <v>72.483908160827042</v>
      </c>
      <c r="I137" s="304">
        <f t="shared" ca="1" si="71"/>
        <v>76.16749868712148</v>
      </c>
      <c r="J137" s="306">
        <f t="shared" ca="1" si="72"/>
        <v>222.56403374140476</v>
      </c>
      <c r="K137" s="307">
        <f t="shared" ca="1" si="73"/>
        <v>977.25723192988255</v>
      </c>
      <c r="L137" s="304">
        <f t="shared" ca="1" si="58"/>
        <v>1002.280622617489</v>
      </c>
      <c r="M137" s="306">
        <f t="shared" ca="1" si="74"/>
        <v>1.2585252060799894</v>
      </c>
      <c r="N137" s="304">
        <f t="shared" ca="1" si="75"/>
        <v>72.108182719215563</v>
      </c>
      <c r="P137" s="310">
        <f t="shared" ca="1" si="76"/>
        <v>23</v>
      </c>
      <c r="Q137" s="304">
        <f t="shared" ca="1" si="77"/>
        <v>0</v>
      </c>
      <c r="R137" s="306">
        <f t="shared" ca="1" si="78"/>
        <v>0</v>
      </c>
      <c r="S137" s="307">
        <f t="shared" ca="1" si="79"/>
        <v>2.5949999999999998</v>
      </c>
      <c r="T137" s="304">
        <f t="shared" ca="1" si="59"/>
        <v>25.456949999999999</v>
      </c>
      <c r="U137" s="311">
        <f t="shared" ca="1" si="60"/>
        <v>0</v>
      </c>
      <c r="V137" s="306">
        <f t="shared" ca="1" si="61"/>
        <v>1.1108630472155423</v>
      </c>
      <c r="W137" s="304">
        <f t="shared" ca="1" si="62"/>
        <v>13.196925869693228</v>
      </c>
      <c r="Y137" s="314" t="str">
        <f t="shared" ca="1" si="80"/>
        <v/>
      </c>
      <c r="Z137" s="315" t="str">
        <f t="shared" ca="1" si="81"/>
        <v/>
      </c>
      <c r="AA137" s="316" t="str">
        <f t="shared" ca="1" si="82"/>
        <v/>
      </c>
      <c r="AC137" s="310" t="e">
        <f t="shared" ca="1" si="83"/>
        <v>#N/A</v>
      </c>
      <c r="AD137" s="323" t="e">
        <f t="shared" ca="1" si="84"/>
        <v>#N/A</v>
      </c>
      <c r="AE137" s="324">
        <f t="shared" ca="1" si="63"/>
        <v>977.25723192988255</v>
      </c>
      <c r="AG137" s="306">
        <f t="shared" ca="1" si="85"/>
        <v>-14.633892622017019</v>
      </c>
      <c r="AH137" s="304">
        <f t="shared" ca="1" si="86"/>
        <v>-5.2866115093185195</v>
      </c>
    </row>
    <row r="138" spans="1:34" x14ac:dyDescent="0.2">
      <c r="A138" s="347">
        <f t="shared" ca="1" si="64"/>
        <v>0.1</v>
      </c>
      <c r="B138" s="304">
        <f t="shared" ca="1" si="65"/>
        <v>7.5999999999999668</v>
      </c>
      <c r="D138" s="306">
        <f t="shared" ca="1" si="66"/>
        <v>-1.5623772510049669</v>
      </c>
      <c r="E138" s="307">
        <f t="shared" ca="1" si="67"/>
        <v>-14.649576092631429</v>
      </c>
      <c r="F138" s="304">
        <f t="shared" ca="1" si="68"/>
        <v>14.732654287950156</v>
      </c>
      <c r="G138" s="306">
        <f t="shared" ca="1" si="69"/>
        <v>23.243995478554613</v>
      </c>
      <c r="H138" s="307">
        <f t="shared" ca="1" si="70"/>
        <v>71.018950551563904</v>
      </c>
      <c r="I138" s="304">
        <f t="shared" ca="1" si="71"/>
        <v>74.725997238260703</v>
      </c>
      <c r="J138" s="306">
        <f t="shared" ca="1" si="72"/>
        <v>224.89624517551525</v>
      </c>
      <c r="K138" s="307">
        <f t="shared" ca="1" si="73"/>
        <v>984.43237486550208</v>
      </c>
      <c r="L138" s="304">
        <f t="shared" ca="1" si="58"/>
        <v>1009.794742399354</v>
      </c>
      <c r="M138" s="306">
        <f t="shared" ca="1" si="74"/>
        <v>1.2544920135228252</v>
      </c>
      <c r="N138" s="304">
        <f t="shared" ca="1" si="75"/>
        <v>71.877097807726486</v>
      </c>
      <c r="P138" s="310">
        <f t="shared" ca="1" si="76"/>
        <v>23</v>
      </c>
      <c r="Q138" s="304">
        <f t="shared" ca="1" si="77"/>
        <v>0</v>
      </c>
      <c r="R138" s="306">
        <f t="shared" ca="1" si="78"/>
        <v>0</v>
      </c>
      <c r="S138" s="307">
        <f t="shared" ca="1" si="79"/>
        <v>2.5949999999999998</v>
      </c>
      <c r="T138" s="304">
        <f t="shared" ca="1" si="59"/>
        <v>25.456949999999999</v>
      </c>
      <c r="U138" s="311">
        <f t="shared" ca="1" si="60"/>
        <v>0</v>
      </c>
      <c r="V138" s="306">
        <f t="shared" ca="1" si="61"/>
        <v>1.1100643526908394</v>
      </c>
      <c r="W138" s="304">
        <f t="shared" ca="1" si="62"/>
        <v>12.693005403286943</v>
      </c>
      <c r="Y138" s="314" t="str">
        <f t="shared" ca="1" si="80"/>
        <v/>
      </c>
      <c r="Z138" s="315" t="str">
        <f t="shared" ca="1" si="81"/>
        <v/>
      </c>
      <c r="AA138" s="316" t="str">
        <f t="shared" ca="1" si="82"/>
        <v/>
      </c>
      <c r="AC138" s="310" t="e">
        <f t="shared" ca="1" si="83"/>
        <v>#N/A</v>
      </c>
      <c r="AD138" s="323" t="e">
        <f t="shared" ca="1" si="84"/>
        <v>#N/A</v>
      </c>
      <c r="AE138" s="324">
        <f t="shared" ca="1" si="63"/>
        <v>984.43237486550208</v>
      </c>
      <c r="AG138" s="306">
        <f t="shared" ca="1" si="85"/>
        <v>-14.421092185670897</v>
      </c>
      <c r="AH138" s="304">
        <f t="shared" ca="1" si="86"/>
        <v>-5.0855205663557719</v>
      </c>
    </row>
    <row r="139" spans="1:34" x14ac:dyDescent="0.2">
      <c r="A139" s="347">
        <f t="shared" ca="1" si="64"/>
        <v>0.1</v>
      </c>
      <c r="B139" s="304">
        <f t="shared" ca="1" si="65"/>
        <v>7.6999999999999664</v>
      </c>
      <c r="D139" s="306">
        <f t="shared" ca="1" si="66"/>
        <v>-1.5214797113755143</v>
      </c>
      <c r="E139" s="307">
        <f t="shared" ca="1" si="67"/>
        <v>-14.45867980580525</v>
      </c>
      <c r="F139" s="304">
        <f t="shared" ca="1" si="68"/>
        <v>14.538511692705269</v>
      </c>
      <c r="G139" s="306">
        <f t="shared" ca="1" si="69"/>
        <v>23.091847507417061</v>
      </c>
      <c r="H139" s="307">
        <f t="shared" ca="1" si="70"/>
        <v>69.573082570983374</v>
      </c>
      <c r="I139" s="304">
        <f t="shared" ca="1" si="71"/>
        <v>73.305165164091093</v>
      </c>
      <c r="J139" s="306">
        <f t="shared" ca="1" si="72"/>
        <v>227.21303732481383</v>
      </c>
      <c r="K139" s="307">
        <f t="shared" ca="1" si="73"/>
        <v>991.46197652162948</v>
      </c>
      <c r="L139" s="304">
        <f t="shared" ca="1" si="58"/>
        <v>1017.1640060573041</v>
      </c>
      <c r="M139" s="306">
        <f t="shared" ca="1" si="74"/>
        <v>1.2503293170234655</v>
      </c>
      <c r="N139" s="304">
        <f t="shared" ca="1" si="75"/>
        <v>71.638592866919282</v>
      </c>
      <c r="P139" s="310">
        <f t="shared" ca="1" si="76"/>
        <v>23</v>
      </c>
      <c r="Q139" s="304">
        <f t="shared" ca="1" si="77"/>
        <v>0</v>
      </c>
      <c r="R139" s="306">
        <f t="shared" ca="1" si="78"/>
        <v>0</v>
      </c>
      <c r="S139" s="307">
        <f t="shared" ca="1" si="79"/>
        <v>2.5949999999999998</v>
      </c>
      <c r="T139" s="304">
        <f t="shared" ca="1" si="59"/>
        <v>25.456949999999999</v>
      </c>
      <c r="U139" s="311">
        <f t="shared" ca="1" si="60"/>
        <v>0</v>
      </c>
      <c r="V139" s="306">
        <f t="shared" ca="1" si="61"/>
        <v>1.1092823884684708</v>
      </c>
      <c r="W139" s="304">
        <f t="shared" ca="1" si="62"/>
        <v>12.206302837737606</v>
      </c>
      <c r="Y139" s="314" t="str">
        <f t="shared" ca="1" si="80"/>
        <v/>
      </c>
      <c r="Z139" s="315" t="str">
        <f t="shared" ca="1" si="81"/>
        <v/>
      </c>
      <c r="AA139" s="316" t="str">
        <f t="shared" ca="1" si="82"/>
        <v/>
      </c>
      <c r="AC139" s="310" t="e">
        <f t="shared" ca="1" si="83"/>
        <v>#N/A</v>
      </c>
      <c r="AD139" s="323" t="e">
        <f t="shared" ca="1" si="84"/>
        <v>#N/A</v>
      </c>
      <c r="AE139" s="324">
        <f t="shared" ca="1" si="63"/>
        <v>991.46197652162948</v>
      </c>
      <c r="AG139" s="306">
        <f t="shared" ca="1" si="85"/>
        <v>-14.214671907482291</v>
      </c>
      <c r="AH139" s="304">
        <f t="shared" ca="1" si="86"/>
        <v>-4.8913315619602864</v>
      </c>
    </row>
    <row r="140" spans="1:34" x14ac:dyDescent="0.2">
      <c r="A140" s="347">
        <f t="shared" ca="1" si="64"/>
        <v>0.1</v>
      </c>
      <c r="B140" s="304">
        <f t="shared" ca="1" si="65"/>
        <v>7.7999999999999661</v>
      </c>
      <c r="D140" s="306">
        <f t="shared" ca="1" si="66"/>
        <v>-1.4817361709775487</v>
      </c>
      <c r="E140" s="307">
        <f t="shared" ca="1" si="67"/>
        <v>-14.274300785752278</v>
      </c>
      <c r="F140" s="304">
        <f t="shared" ca="1" si="68"/>
        <v>14.351000139450605</v>
      </c>
      <c r="G140" s="306">
        <f t="shared" ca="1" si="69"/>
        <v>22.943673890319307</v>
      </c>
      <c r="H140" s="307">
        <f t="shared" ca="1" si="70"/>
        <v>68.145652492408146</v>
      </c>
      <c r="I140" s="304">
        <f t="shared" ca="1" si="71"/>
        <v>71.904395729338916</v>
      </c>
      <c r="J140" s="306">
        <f t="shared" ca="1" si="72"/>
        <v>229.51481339470064</v>
      </c>
      <c r="K140" s="307">
        <f t="shared" ca="1" si="73"/>
        <v>998.34791327479911</v>
      </c>
      <c r="L140" s="304">
        <f t="shared" ca="1" si="58"/>
        <v>1024.3903579728531</v>
      </c>
      <c r="M140" s="306">
        <f t="shared" ca="1" si="74"/>
        <v>1.2460315882136552</v>
      </c>
      <c r="N140" s="304">
        <f t="shared" ca="1" si="75"/>
        <v>71.39235114462538</v>
      </c>
      <c r="P140" s="310">
        <f t="shared" ca="1" si="76"/>
        <v>23</v>
      </c>
      <c r="Q140" s="304">
        <f t="shared" ca="1" si="77"/>
        <v>0</v>
      </c>
      <c r="R140" s="306">
        <f t="shared" ca="1" si="78"/>
        <v>0</v>
      </c>
      <c r="S140" s="307">
        <f t="shared" ca="1" si="79"/>
        <v>2.5949999999999998</v>
      </c>
      <c r="T140" s="304">
        <f t="shared" ca="1" si="59"/>
        <v>25.456949999999999</v>
      </c>
      <c r="U140" s="311">
        <f t="shared" ca="1" si="60"/>
        <v>0</v>
      </c>
      <c r="V140" s="306">
        <f t="shared" ca="1" si="61"/>
        <v>1.1085169129673784</v>
      </c>
      <c r="W140" s="304">
        <f t="shared" ca="1" si="62"/>
        <v>11.736161438979179</v>
      </c>
      <c r="Y140" s="314" t="str">
        <f t="shared" ca="1" si="80"/>
        <v/>
      </c>
      <c r="Z140" s="315" t="str">
        <f t="shared" ca="1" si="81"/>
        <v/>
      </c>
      <c r="AA140" s="316" t="str">
        <f t="shared" ca="1" si="82"/>
        <v/>
      </c>
      <c r="AC140" s="310" t="e">
        <f t="shared" ca="1" si="83"/>
        <v>#N/A</v>
      </c>
      <c r="AD140" s="323" t="e">
        <f t="shared" ca="1" si="84"/>
        <v>#N/A</v>
      </c>
      <c r="AE140" s="324">
        <f t="shared" ca="1" si="63"/>
        <v>998.34791327479911</v>
      </c>
      <c r="AG140" s="306">
        <f t="shared" ca="1" si="85"/>
        <v>-14.014334878272305</v>
      </c>
      <c r="AH140" s="304">
        <f t="shared" ca="1" si="86"/>
        <v>-4.7037775867967655</v>
      </c>
    </row>
    <row r="141" spans="1:34" x14ac:dyDescent="0.2">
      <c r="A141" s="347">
        <f t="shared" ca="1" si="64"/>
        <v>0.1</v>
      </c>
      <c r="B141" s="304">
        <f t="shared" ca="1" si="65"/>
        <v>7.8999999999999657</v>
      </c>
      <c r="D141" s="306">
        <f t="shared" ca="1" si="66"/>
        <v>-1.4430993563881662</v>
      </c>
      <c r="E141" s="307">
        <f t="shared" ca="1" si="67"/>
        <v>-14.096190072372808</v>
      </c>
      <c r="F141" s="304">
        <f t="shared" ca="1" si="68"/>
        <v>14.169866277028506</v>
      </c>
      <c r="G141" s="306">
        <f t="shared" ca="1" si="69"/>
        <v>22.799363954680491</v>
      </c>
      <c r="H141" s="307">
        <f t="shared" ca="1" si="70"/>
        <v>66.736033485170864</v>
      </c>
      <c r="I141" s="304">
        <f t="shared" ca="1" si="71"/>
        <v>70.52311083660328</v>
      </c>
      <c r="J141" s="306">
        <f t="shared" ca="1" si="72"/>
        <v>231.80196528695063</v>
      </c>
      <c r="K141" s="307">
        <f t="shared" ca="1" si="73"/>
        <v>1005.0919975736781</v>
      </c>
      <c r="L141" s="304">
        <f t="shared" ca="1" si="58"/>
        <v>1031.4756781900091</v>
      </c>
      <c r="M141" s="306">
        <f t="shared" ca="1" si="74"/>
        <v>1.2415929832700563</v>
      </c>
      <c r="N141" s="304">
        <f t="shared" ca="1" si="75"/>
        <v>71.138037814431257</v>
      </c>
      <c r="P141" s="310">
        <f t="shared" ca="1" si="76"/>
        <v>23</v>
      </c>
      <c r="Q141" s="304">
        <f t="shared" ca="1" si="77"/>
        <v>0</v>
      </c>
      <c r="R141" s="306">
        <f t="shared" ca="1" si="78"/>
        <v>0</v>
      </c>
      <c r="S141" s="307">
        <f t="shared" ca="1" si="79"/>
        <v>2.5949999999999998</v>
      </c>
      <c r="T141" s="304">
        <f t="shared" ca="1" si="59"/>
        <v>25.456949999999999</v>
      </c>
      <c r="U141" s="311">
        <f t="shared" ca="1" si="60"/>
        <v>0</v>
      </c>
      <c r="V141" s="306">
        <f t="shared" ca="1" si="61"/>
        <v>1.1077676929793996</v>
      </c>
      <c r="W141" s="304">
        <f t="shared" ca="1" si="62"/>
        <v>11.28195821633455</v>
      </c>
      <c r="Y141" s="314" t="str">
        <f t="shared" ca="1" si="80"/>
        <v/>
      </c>
      <c r="Z141" s="315" t="str">
        <f t="shared" ca="1" si="81"/>
        <v/>
      </c>
      <c r="AA141" s="316" t="str">
        <f t="shared" ca="1" si="82"/>
        <v/>
      </c>
      <c r="AC141" s="310" t="e">
        <f t="shared" ca="1" si="83"/>
        <v>#N/A</v>
      </c>
      <c r="AD141" s="323" t="e">
        <f t="shared" ca="1" si="84"/>
        <v>#N/A</v>
      </c>
      <c r="AE141" s="324">
        <f t="shared" ca="1" si="63"/>
        <v>1005.0919975736781</v>
      </c>
      <c r="AG141" s="306">
        <f t="shared" ca="1" si="85"/>
        <v>-13.819795870389228</v>
      </c>
      <c r="AH141" s="304">
        <f t="shared" ca="1" si="86"/>
        <v>-4.5226055641538263</v>
      </c>
    </row>
    <row r="142" spans="1:34" x14ac:dyDescent="0.2">
      <c r="A142" s="347">
        <f t="shared" ca="1" si="64"/>
        <v>0.1</v>
      </c>
      <c r="B142" s="304">
        <f t="shared" ca="1" si="65"/>
        <v>7.9999999999999654</v>
      </c>
      <c r="D142" s="306">
        <f t="shared" ca="1" si="66"/>
        <v>-1.405524418275659</v>
      </c>
      <c r="E142" s="307">
        <f t="shared" ca="1" si="67"/>
        <v>-13.924111465070659</v>
      </c>
      <c r="F142" s="304">
        <f t="shared" ca="1" si="68"/>
        <v>13.994869737946162</v>
      </c>
      <c r="G142" s="306">
        <f t="shared" ca="1" si="69"/>
        <v>22.658811512852925</v>
      </c>
      <c r="H142" s="307">
        <f t="shared" ca="1" si="70"/>
        <v>65.343622338663792</v>
      </c>
      <c r="I142" s="304">
        <f t="shared" ca="1" si="71"/>
        <v>69.160759969168339</v>
      </c>
      <c r="J142" s="306">
        <f t="shared" ca="1" si="72"/>
        <v>234.07487406032732</v>
      </c>
      <c r="K142" s="307">
        <f t="shared" ca="1" si="73"/>
        <v>1011.6959803648698</v>
      </c>
      <c r="L142" s="304">
        <f t="shared" ca="1" si="58"/>
        <v>1038.4217848989845</v>
      </c>
      <c r="M142" s="306">
        <f t="shared" ca="1" si="74"/>
        <v>1.2370073212458446</v>
      </c>
      <c r="N142" s="304">
        <f t="shared" ca="1" si="75"/>
        <v>70.875298734170499</v>
      </c>
      <c r="P142" s="310">
        <f t="shared" ca="1" si="76"/>
        <v>23</v>
      </c>
      <c r="Q142" s="304">
        <f t="shared" ca="1" si="77"/>
        <v>0</v>
      </c>
      <c r="R142" s="306">
        <f t="shared" ca="1" si="78"/>
        <v>0</v>
      </c>
      <c r="S142" s="307">
        <f t="shared" ca="1" si="79"/>
        <v>2.5949999999999998</v>
      </c>
      <c r="T142" s="304">
        <f t="shared" ca="1" si="59"/>
        <v>25.456949999999999</v>
      </c>
      <c r="U142" s="311">
        <f t="shared" ca="1" si="60"/>
        <v>0</v>
      </c>
      <c r="V142" s="306">
        <f t="shared" ca="1" si="61"/>
        <v>1.1070345033446991</v>
      </c>
      <c r="W142" s="304">
        <f t="shared" ca="1" si="62"/>
        <v>10.843101921753417</v>
      </c>
      <c r="Y142" s="314" t="str">
        <f t="shared" ca="1" si="80"/>
        <v/>
      </c>
      <c r="Z142" s="315" t="str">
        <f t="shared" ca="1" si="81"/>
        <v/>
      </c>
      <c r="AA142" s="316" t="str">
        <f t="shared" ca="1" si="82"/>
        <v/>
      </c>
      <c r="AC142" s="310">
        <f t="shared" ca="1" si="83"/>
        <v>7.9999999999999654</v>
      </c>
      <c r="AD142" s="323">
        <f t="shared" ca="1" si="84"/>
        <v>234.07487406032732</v>
      </c>
      <c r="AE142" s="324">
        <f t="shared" ca="1" si="63"/>
        <v>1011.6959803648698</v>
      </c>
      <c r="AG142" s="306">
        <f t="shared" ca="1" si="85"/>
        <v>-13.630780326337122</v>
      </c>
      <c r="AH142" s="304">
        <f t="shared" ca="1" si="86"/>
        <v>-4.347575420552813</v>
      </c>
    </row>
    <row r="143" spans="1:34" x14ac:dyDescent="0.2">
      <c r="A143" s="347">
        <f t="shared" ca="1" si="64"/>
        <v>0.1</v>
      </c>
      <c r="B143" s="304">
        <f t="shared" ca="1" si="65"/>
        <v>8.0999999999999659</v>
      </c>
      <c r="D143" s="306">
        <f t="shared" ca="1" si="66"/>
        <v>-1.3689687919718214</v>
      </c>
      <c r="E143" s="307">
        <f t="shared" ca="1" si="67"/>
        <v>-13.757840763196349</v>
      </c>
      <c r="F143" s="304">
        <f t="shared" ca="1" si="68"/>
        <v>13.825782365524921</v>
      </c>
      <c r="G143" s="306">
        <f t="shared" ca="1" si="69"/>
        <v>22.521914633655744</v>
      </c>
      <c r="H143" s="307">
        <f t="shared" ca="1" si="70"/>
        <v>63.967838262344159</v>
      </c>
      <c r="I143" s="304">
        <f t="shared" ca="1" si="71"/>
        <v>67.816819231832881</v>
      </c>
      <c r="J143" s="306">
        <f t="shared" ca="1" si="72"/>
        <v>236.33391036765275</v>
      </c>
      <c r="K143" s="307">
        <f t="shared" ca="1" si="73"/>
        <v>1018.1615533949202</v>
      </c>
      <c r="L143" s="304">
        <f t="shared" ca="1" si="58"/>
        <v>1045.2304367943093</v>
      </c>
      <c r="M143" s="306">
        <f t="shared" ca="1" si="74"/>
        <v>1.2322680606847243</v>
      </c>
      <c r="N143" s="304">
        <f t="shared" ca="1" si="75"/>
        <v>70.603759106005512</v>
      </c>
      <c r="P143" s="310">
        <f t="shared" ca="1" si="76"/>
        <v>23</v>
      </c>
      <c r="Q143" s="304">
        <f t="shared" ca="1" si="77"/>
        <v>0</v>
      </c>
      <c r="R143" s="306">
        <f t="shared" ca="1" si="78"/>
        <v>0</v>
      </c>
      <c r="S143" s="307">
        <f t="shared" ca="1" si="79"/>
        <v>2.5949999999999998</v>
      </c>
      <c r="T143" s="304">
        <f t="shared" ca="1" si="59"/>
        <v>25.456949999999999</v>
      </c>
      <c r="U143" s="311">
        <f t="shared" ca="1" si="60"/>
        <v>0</v>
      </c>
      <c r="V143" s="306">
        <f t="shared" ca="1" si="61"/>
        <v>1.1063171266439984</v>
      </c>
      <c r="W143" s="304">
        <f t="shared" ca="1" si="62"/>
        <v>10.419031188523885</v>
      </c>
      <c r="Y143" s="314" t="str">
        <f t="shared" ca="1" si="80"/>
        <v/>
      </c>
      <c r="Z143" s="315" t="str">
        <f t="shared" ca="1" si="81"/>
        <v/>
      </c>
      <c r="AA143" s="316" t="str">
        <f t="shared" ca="1" si="82"/>
        <v/>
      </c>
      <c r="AC143" s="310" t="e">
        <f t="shared" ca="1" si="83"/>
        <v>#N/A</v>
      </c>
      <c r="AD143" s="323" t="e">
        <f t="shared" ca="1" si="84"/>
        <v>#N/A</v>
      </c>
      <c r="AE143" s="324">
        <f t="shared" ca="1" si="63"/>
        <v>1018.1615533949202</v>
      </c>
      <c r="AG143" s="306">
        <f t="shared" ca="1" si="85"/>
        <v>-13.44702338818483</v>
      </c>
      <c r="AH143" s="304">
        <f t="shared" ca="1" si="86"/>
        <v>-4.1784593147412021</v>
      </c>
    </row>
    <row r="144" spans="1:34" x14ac:dyDescent="0.2">
      <c r="A144" s="347">
        <f t="shared" ca="1" si="64"/>
        <v>0.1</v>
      </c>
      <c r="B144" s="304">
        <f t="shared" ca="1" si="65"/>
        <v>8.1999999999999655</v>
      </c>
      <c r="D144" s="306">
        <f t="shared" ca="1" si="66"/>
        <v>-1.3333920682936284</v>
      </c>
      <c r="E144" s="307">
        <f t="shared" ca="1" si="67"/>
        <v>-13.597165059112672</v>
      </c>
      <c r="F144" s="304">
        <f t="shared" ca="1" si="68"/>
        <v>13.662387494597819</v>
      </c>
      <c r="G144" s="306">
        <f t="shared" ca="1" si="69"/>
        <v>22.388575426826382</v>
      </c>
      <c r="H144" s="307">
        <f t="shared" ca="1" si="70"/>
        <v>62.608121756432894</v>
      </c>
      <c r="I144" s="304">
        <f t="shared" ca="1" si="71"/>
        <v>66.490790486435188</v>
      </c>
      <c r="J144" s="306">
        <f t="shared" ca="1" si="72"/>
        <v>238.57943487067686</v>
      </c>
      <c r="K144" s="307">
        <f t="shared" ca="1" si="73"/>
        <v>1024.4903513958591</v>
      </c>
      <c r="L144" s="304">
        <f t="shared" ca="1" si="58"/>
        <v>1051.9033353148104</v>
      </c>
      <c r="M144" s="306">
        <f t="shared" ca="1" si="74"/>
        <v>1.2273682743686218</v>
      </c>
      <c r="N144" s="304">
        <f t="shared" ca="1" si="75"/>
        <v>70.32302202957689</v>
      </c>
      <c r="P144" s="310">
        <f t="shared" ca="1" si="76"/>
        <v>23</v>
      </c>
      <c r="Q144" s="304">
        <f t="shared" ca="1" si="77"/>
        <v>0</v>
      </c>
      <c r="R144" s="306">
        <f t="shared" ca="1" si="78"/>
        <v>0</v>
      </c>
      <c r="S144" s="307">
        <f t="shared" ca="1" si="79"/>
        <v>2.5949999999999998</v>
      </c>
      <c r="T144" s="304">
        <f t="shared" ca="1" si="59"/>
        <v>25.456949999999999</v>
      </c>
      <c r="U144" s="311">
        <f t="shared" ca="1" si="60"/>
        <v>0</v>
      </c>
      <c r="V144" s="306">
        <f t="shared" ca="1" si="61"/>
        <v>1.1056153529066064</v>
      </c>
      <c r="W144" s="304">
        <f t="shared" ca="1" si="62"/>
        <v>10.009212798492452</v>
      </c>
      <c r="Y144" s="314" t="str">
        <f t="shared" ca="1" si="80"/>
        <v/>
      </c>
      <c r="Z144" s="315" t="str">
        <f t="shared" ca="1" si="81"/>
        <v/>
      </c>
      <c r="AA144" s="316" t="str">
        <f t="shared" ca="1" si="82"/>
        <v/>
      </c>
      <c r="AC144" s="310" t="e">
        <f t="shared" ca="1" si="83"/>
        <v>#N/A</v>
      </c>
      <c r="AD144" s="323" t="e">
        <f t="shared" ca="1" si="84"/>
        <v>#N/A</v>
      </c>
      <c r="AE144" s="324">
        <f t="shared" ca="1" si="63"/>
        <v>1024.4903513958591</v>
      </c>
      <c r="AG144" s="306">
        <f t="shared" ca="1" si="85"/>
        <v>-13.268268961229197</v>
      </c>
      <c r="AH144" s="304">
        <f t="shared" ca="1" si="86"/>
        <v>-4.0150409204330968</v>
      </c>
    </row>
    <row r="145" spans="1:34" x14ac:dyDescent="0.2">
      <c r="A145" s="347">
        <f t="shared" ca="1" si="64"/>
        <v>0.1</v>
      </c>
      <c r="B145" s="304">
        <f t="shared" ca="1" si="65"/>
        <v>8.2999999999999652</v>
      </c>
      <c r="D145" s="306">
        <f t="shared" ca="1" si="66"/>
        <v>-1.2987558738652019</v>
      </c>
      <c r="E145" s="307">
        <f t="shared" ca="1" si="67"/>
        <v>-13.441882079705916</v>
      </c>
      <c r="F145" s="304">
        <f t="shared" ca="1" si="68"/>
        <v>13.504479281505763</v>
      </c>
      <c r="G145" s="306">
        <f t="shared" ca="1" si="69"/>
        <v>22.25869983943986</v>
      </c>
      <c r="H145" s="307">
        <f t="shared" ca="1" si="70"/>
        <v>61.263933548462305</v>
      </c>
      <c r="I145" s="304">
        <f t="shared" ca="1" si="71"/>
        <v>65.18220057939655</v>
      </c>
      <c r="J145" s="306">
        <f t="shared" ca="1" si="72"/>
        <v>240.81179863399018</v>
      </c>
      <c r="K145" s="307">
        <f t="shared" ca="1" si="73"/>
        <v>1030.6839541611039</v>
      </c>
      <c r="L145" s="304">
        <f t="shared" ca="1" si="58"/>
        <v>1058.4421267724117</v>
      </c>
      <c r="M145" s="306">
        <f t="shared" ca="1" si="74"/>
        <v>1.222300622037207</v>
      </c>
      <c r="N145" s="304">
        <f t="shared" ca="1" si="75"/>
        <v>70.032666938947187</v>
      </c>
      <c r="P145" s="310">
        <f t="shared" ca="1" si="76"/>
        <v>23</v>
      </c>
      <c r="Q145" s="304">
        <f t="shared" ca="1" si="77"/>
        <v>0</v>
      </c>
      <c r="R145" s="306">
        <f t="shared" ca="1" si="78"/>
        <v>0</v>
      </c>
      <c r="S145" s="307">
        <f t="shared" ca="1" si="79"/>
        <v>2.5949999999999998</v>
      </c>
      <c r="T145" s="304">
        <f t="shared" ca="1" si="59"/>
        <v>25.456949999999999</v>
      </c>
      <c r="U145" s="311">
        <f t="shared" ca="1" si="60"/>
        <v>0</v>
      </c>
      <c r="V145" s="306">
        <f t="shared" ca="1" si="61"/>
        <v>1.1049289793333099</v>
      </c>
      <c r="W145" s="304">
        <f t="shared" ca="1" si="62"/>
        <v>9.613140067791047</v>
      </c>
      <c r="Y145" s="314" t="str">
        <f t="shared" ca="1" si="80"/>
        <v/>
      </c>
      <c r="Z145" s="315" t="str">
        <f t="shared" ca="1" si="81"/>
        <v/>
      </c>
      <c r="AA145" s="316" t="str">
        <f t="shared" ca="1" si="82"/>
        <v/>
      </c>
      <c r="AC145" s="310" t="e">
        <f t="shared" ca="1" si="83"/>
        <v>#N/A</v>
      </c>
      <c r="AD145" s="323" t="e">
        <f t="shared" ca="1" si="84"/>
        <v>#N/A</v>
      </c>
      <c r="AE145" s="324">
        <f t="shared" ca="1" si="63"/>
        <v>1030.6839541611039</v>
      </c>
      <c r="AG145" s="306">
        <f t="shared" ca="1" si="85"/>
        <v>-13.094268805580338</v>
      </c>
      <c r="AH145" s="304">
        <f t="shared" ca="1" si="86"/>
        <v>-3.8571147585712731</v>
      </c>
    </row>
    <row r="146" spans="1:34" x14ac:dyDescent="0.2">
      <c r="A146" s="347">
        <f t="shared" ca="1" si="64"/>
        <v>0.1</v>
      </c>
      <c r="B146" s="304">
        <f t="shared" ca="1" si="65"/>
        <v>8.3999999999999648</v>
      </c>
      <c r="D146" s="306">
        <f t="shared" ca="1" si="66"/>
        <v>-1.2650237602631151</v>
      </c>
      <c r="E146" s="307">
        <f t="shared" ca="1" si="67"/>
        <v>-13.291799572527758</v>
      </c>
      <c r="F146" s="304">
        <f t="shared" ca="1" si="68"/>
        <v>13.351862079510832</v>
      </c>
      <c r="G146" s="306">
        <f t="shared" ca="1" si="69"/>
        <v>22.132197463413547</v>
      </c>
      <c r="H146" s="307">
        <f t="shared" ca="1" si="70"/>
        <v>59.934753591209528</v>
      </c>
      <c r="I146" s="304">
        <f t="shared" ca="1" si="71"/>
        <v>63.89060065924042</v>
      </c>
      <c r="J146" s="306">
        <f t="shared" ca="1" si="72"/>
        <v>243.03134349913284</v>
      </c>
      <c r="K146" s="307">
        <f t="shared" ca="1" si="73"/>
        <v>1036.7438885180875</v>
      </c>
      <c r="L146" s="304">
        <f t="shared" ca="1" si="58"/>
        <v>1064.8484043762278</v>
      </c>
      <c r="M146" s="306">
        <f t="shared" ca="1" si="74"/>
        <v>1.2170573209032485</v>
      </c>
      <c r="N146" s="304">
        <f t="shared" ca="1" si="75"/>
        <v>69.732247913255208</v>
      </c>
      <c r="P146" s="310">
        <f t="shared" ca="1" si="76"/>
        <v>23</v>
      </c>
      <c r="Q146" s="304">
        <f t="shared" ca="1" si="77"/>
        <v>0</v>
      </c>
      <c r="R146" s="306">
        <f t="shared" ca="1" si="78"/>
        <v>0</v>
      </c>
      <c r="S146" s="307">
        <f t="shared" ca="1" si="79"/>
        <v>2.5949999999999998</v>
      </c>
      <c r="T146" s="304">
        <f t="shared" ca="1" si="59"/>
        <v>25.456949999999999</v>
      </c>
      <c r="U146" s="311">
        <f t="shared" ca="1" si="60"/>
        <v>0</v>
      </c>
      <c r="V146" s="306">
        <f t="shared" ca="1" si="61"/>
        <v>1.1042578100332501</v>
      </c>
      <c r="W146" s="304">
        <f t="shared" ca="1" si="62"/>
        <v>9.2303313419404329</v>
      </c>
      <c r="Y146" s="314" t="str">
        <f t="shared" ca="1" si="80"/>
        <v/>
      </c>
      <c r="Z146" s="315" t="str">
        <f t="shared" ca="1" si="81"/>
        <v/>
      </c>
      <c r="AA146" s="316" t="str">
        <f t="shared" ca="1" si="82"/>
        <v/>
      </c>
      <c r="AC146" s="310" t="e">
        <f t="shared" ca="1" si="83"/>
        <v>#N/A</v>
      </c>
      <c r="AD146" s="323" t="e">
        <f t="shared" ca="1" si="84"/>
        <v>#N/A</v>
      </c>
      <c r="AE146" s="324">
        <f t="shared" ca="1" si="63"/>
        <v>1036.7438885180875</v>
      </c>
      <c r="AG146" s="306">
        <f t="shared" ca="1" si="85"/>
        <v>-12.924781649464155</v>
      </c>
      <c r="AH146" s="304">
        <f t="shared" ca="1" si="86"/>
        <v>-3.7044855752566659</v>
      </c>
    </row>
    <row r="147" spans="1:34" x14ac:dyDescent="0.2">
      <c r="A147" s="347">
        <f t="shared" ca="1" si="64"/>
        <v>0.1</v>
      </c>
      <c r="B147" s="304">
        <f t="shared" ca="1" si="65"/>
        <v>8.4999999999999645</v>
      </c>
      <c r="D147" s="306">
        <f t="shared" ca="1" si="66"/>
        <v>-1.2321611013741534</v>
      </c>
      <c r="E147" s="307">
        <f t="shared" ca="1" si="67"/>
        <v>-13.146734733078924</v>
      </c>
      <c r="F147" s="304">
        <f t="shared" ca="1" si="68"/>
        <v>13.2043498560771</v>
      </c>
      <c r="G147" s="306">
        <f t="shared" ca="1" si="69"/>
        <v>22.00898135327613</v>
      </c>
      <c r="H147" s="307">
        <f t="shared" ca="1" si="70"/>
        <v>58.620080117901637</v>
      </c>
      <c r="I147" s="304">
        <f t="shared" ca="1" si="71"/>
        <v>62.61556558267332</v>
      </c>
      <c r="J147" s="306">
        <f t="shared" ca="1" si="72"/>
        <v>245.23840243996733</v>
      </c>
      <c r="K147" s="307">
        <f t="shared" ca="1" si="73"/>
        <v>1042.6716302035431</v>
      </c>
      <c r="L147" s="304">
        <f t="shared" ca="1" si="58"/>
        <v>1071.1237101579918</v>
      </c>
      <c r="M147" s="306">
        <f t="shared" ca="1" si="74"/>
        <v>1.2116301137726788</v>
      </c>
      <c r="N147" s="304">
        <f t="shared" ca="1" si="75"/>
        <v>69.42129185013026</v>
      </c>
      <c r="P147" s="310">
        <f t="shared" ca="1" si="76"/>
        <v>23</v>
      </c>
      <c r="Q147" s="304">
        <f t="shared" ca="1" si="77"/>
        <v>0</v>
      </c>
      <c r="R147" s="306">
        <f t="shared" ca="1" si="78"/>
        <v>0</v>
      </c>
      <c r="S147" s="307">
        <f t="shared" ca="1" si="79"/>
        <v>2.5949999999999998</v>
      </c>
      <c r="T147" s="304">
        <f t="shared" ca="1" si="59"/>
        <v>25.456949999999999</v>
      </c>
      <c r="U147" s="311">
        <f t="shared" ca="1" si="60"/>
        <v>0</v>
      </c>
      <c r="V147" s="306">
        <f t="shared" ca="1" si="61"/>
        <v>1.1036016557739743</v>
      </c>
      <c r="W147" s="304">
        <f t="shared" ca="1" si="62"/>
        <v>8.8603285919863772</v>
      </c>
      <c r="Y147" s="314" t="str">
        <f t="shared" ca="1" si="80"/>
        <v/>
      </c>
      <c r="Z147" s="315" t="str">
        <f t="shared" ca="1" si="81"/>
        <v/>
      </c>
      <c r="AA147" s="316" t="str">
        <f t="shared" ca="1" si="82"/>
        <v/>
      </c>
      <c r="AC147" s="310" t="e">
        <f t="shared" ca="1" si="83"/>
        <v>#N/A</v>
      </c>
      <c r="AD147" s="323" t="e">
        <f t="shared" ca="1" si="84"/>
        <v>#N/A</v>
      </c>
      <c r="AE147" s="324">
        <f t="shared" ca="1" si="63"/>
        <v>1042.6716302035431</v>
      </c>
      <c r="AG147" s="306">
        <f t="shared" ca="1" si="85"/>
        <v>-12.759572318100084</v>
      </c>
      <c r="AH147" s="304">
        <f t="shared" ca="1" si="86"/>
        <v>-3.5569677618267566</v>
      </c>
    </row>
    <row r="148" spans="1:34" x14ac:dyDescent="0.2">
      <c r="A148" s="347">
        <f t="shared" ca="1" si="64"/>
        <v>0.1</v>
      </c>
      <c r="B148" s="304">
        <f t="shared" ca="1" si="65"/>
        <v>8.5999999999999641</v>
      </c>
      <c r="D148" s="306">
        <f t="shared" ca="1" si="66"/>
        <v>-1.2001349984150773</v>
      </c>
      <c r="E148" s="307">
        <f t="shared" ca="1" si="67"/>
        <v>-13.006513670039409</v>
      </c>
      <c r="F148" s="304">
        <f t="shared" ca="1" si="68"/>
        <v>13.061765648768269</v>
      </c>
      <c r="G148" s="306">
        <f t="shared" ca="1" si="69"/>
        <v>21.888967853434622</v>
      </c>
      <c r="H148" s="307">
        <f t="shared" ca="1" si="70"/>
        <v>57.319428750897693</v>
      </c>
      <c r="I148" s="304">
        <f t="shared" ca="1" si="71"/>
        <v>61.356693408445111</v>
      </c>
      <c r="J148" s="306">
        <f t="shared" ca="1" si="72"/>
        <v>247.43329990030287</v>
      </c>
      <c r="K148" s="307">
        <f t="shared" ca="1" si="73"/>
        <v>1048.4686056469832</v>
      </c>
      <c r="L148" s="304">
        <f t="shared" ca="1" si="58"/>
        <v>1077.2695368044538</v>
      </c>
      <c r="M148" s="306">
        <f t="shared" ca="1" si="74"/>
        <v>1.2060102345620944</v>
      </c>
      <c r="N148" s="304">
        <f t="shared" ca="1" si="75"/>
        <v>69.099296489990451</v>
      </c>
      <c r="P148" s="310">
        <f t="shared" ca="1" si="76"/>
        <v>23</v>
      </c>
      <c r="Q148" s="304">
        <f t="shared" ca="1" si="77"/>
        <v>0</v>
      </c>
      <c r="R148" s="306">
        <f t="shared" ca="1" si="78"/>
        <v>0</v>
      </c>
      <c r="S148" s="307">
        <f t="shared" ca="1" si="79"/>
        <v>2.5949999999999998</v>
      </c>
      <c r="T148" s="304">
        <f t="shared" ca="1" si="59"/>
        <v>25.456949999999999</v>
      </c>
      <c r="U148" s="311">
        <f t="shared" ca="1" si="60"/>
        <v>0</v>
      </c>
      <c r="V148" s="306">
        <f t="shared" ca="1" si="61"/>
        <v>1.1029603337439025</v>
      </c>
      <c r="W148" s="304">
        <f t="shared" ca="1" si="62"/>
        <v>8.5026961040372502</v>
      </c>
      <c r="Y148" s="314" t="str">
        <f t="shared" ca="1" si="80"/>
        <v/>
      </c>
      <c r="Z148" s="315" t="str">
        <f t="shared" ca="1" si="81"/>
        <v/>
      </c>
      <c r="AA148" s="316" t="str">
        <f t="shared" ca="1" si="82"/>
        <v/>
      </c>
      <c r="AC148" s="310" t="e">
        <f t="shared" ca="1" si="83"/>
        <v>#N/A</v>
      </c>
      <c r="AD148" s="323" t="e">
        <f t="shared" ca="1" si="84"/>
        <v>#N/A</v>
      </c>
      <c r="AE148" s="324">
        <f t="shared" ca="1" si="63"/>
        <v>1048.4686056469832</v>
      </c>
      <c r="AG148" s="306">
        <f t="shared" ca="1" si="85"/>
        <v>-12.598410872010286</v>
      </c>
      <c r="AH148" s="304">
        <f t="shared" ca="1" si="86"/>
        <v>-3.4143848138675832</v>
      </c>
    </row>
    <row r="149" spans="1:34" x14ac:dyDescent="0.2">
      <c r="A149" s="347">
        <f t="shared" ca="1" si="64"/>
        <v>0.1</v>
      </c>
      <c r="B149" s="304">
        <f t="shared" ca="1" si="65"/>
        <v>8.6999999999999638</v>
      </c>
      <c r="D149" s="306">
        <f t="shared" ca="1" si="66"/>
        <v>-1.168914192119636</v>
      </c>
      <c r="E149" s="307">
        <f t="shared" ca="1" si="67"/>
        <v>-12.870970905514914</v>
      </c>
      <c r="F149" s="304">
        <f t="shared" ca="1" si="68"/>
        <v>12.92394105678102</v>
      </c>
      <c r="G149" s="306">
        <f t="shared" ca="1" si="69"/>
        <v>21.772076434222658</v>
      </c>
      <c r="H149" s="307">
        <f t="shared" ca="1" si="70"/>
        <v>56.032331660346202</v>
      </c>
      <c r="I149" s="304">
        <f t="shared" ca="1" si="71"/>
        <v>60.113604978845423</v>
      </c>
      <c r="J149" s="306">
        <f t="shared" ca="1" si="72"/>
        <v>249.61635211468572</v>
      </c>
      <c r="K149" s="307">
        <f t="shared" ca="1" si="73"/>
        <v>1054.1361936675453</v>
      </c>
      <c r="L149" s="304">
        <f t="shared" ca="1" si="58"/>
        <v>1083.2873294020119</v>
      </c>
      <c r="M149" s="306">
        <f t="shared" ca="1" si="74"/>
        <v>1.2001883709893084</v>
      </c>
      <c r="N149" s="304">
        <f t="shared" ca="1" si="75"/>
        <v>68.765728278368869</v>
      </c>
      <c r="P149" s="310">
        <f t="shared" ca="1" si="76"/>
        <v>23</v>
      </c>
      <c r="Q149" s="304">
        <f t="shared" ca="1" si="77"/>
        <v>0</v>
      </c>
      <c r="R149" s="306">
        <f t="shared" ca="1" si="78"/>
        <v>0</v>
      </c>
      <c r="S149" s="307">
        <f t="shared" ca="1" si="79"/>
        <v>2.5949999999999998</v>
      </c>
      <c r="T149" s="304">
        <f t="shared" ca="1" si="59"/>
        <v>25.456949999999999</v>
      </c>
      <c r="U149" s="311">
        <f t="shared" ca="1" si="60"/>
        <v>0</v>
      </c>
      <c r="V149" s="306">
        <f t="shared" ca="1" si="61"/>
        <v>1.1023336673265054</v>
      </c>
      <c r="W149" s="304">
        <f t="shared" ca="1" si="62"/>
        <v>8.1570192552168663</v>
      </c>
      <c r="Y149" s="314" t="str">
        <f t="shared" ca="1" si="80"/>
        <v/>
      </c>
      <c r="Z149" s="315" t="str">
        <f t="shared" ca="1" si="81"/>
        <v/>
      </c>
      <c r="AA149" s="316" t="str">
        <f t="shared" ca="1" si="82"/>
        <v/>
      </c>
      <c r="AC149" s="310" t="e">
        <f t="shared" ca="1" si="83"/>
        <v>#N/A</v>
      </c>
      <c r="AD149" s="323" t="e">
        <f t="shared" ca="1" si="84"/>
        <v>#N/A</v>
      </c>
      <c r="AE149" s="324">
        <f t="shared" ca="1" si="63"/>
        <v>1054.1361936675453</v>
      </c>
      <c r="AG149" s="306">
        <f t="shared" ca="1" si="85"/>
        <v>-12.441071748550311</v>
      </c>
      <c r="AH149" s="304">
        <f t="shared" ca="1" si="86"/>
        <v>-3.2765688262185937</v>
      </c>
    </row>
    <row r="150" spans="1:34" x14ac:dyDescent="0.2">
      <c r="A150" s="347">
        <f t="shared" ca="1" si="64"/>
        <v>0.1</v>
      </c>
      <c r="B150" s="304">
        <f t="shared" ca="1" si="65"/>
        <v>8.7999999999999634</v>
      </c>
      <c r="D150" s="306">
        <f t="shared" ca="1" si="66"/>
        <v>-1.1384689816495293</v>
      </c>
      <c r="E150" s="307">
        <f t="shared" ca="1" si="67"/>
        <v>-12.739948907607745</v>
      </c>
      <c r="F150" s="304">
        <f t="shared" ca="1" si="68"/>
        <v>12.790715765375833</v>
      </c>
      <c r="G150" s="306">
        <f t="shared" ca="1" si="69"/>
        <v>21.658229536057704</v>
      </c>
      <c r="H150" s="307">
        <f t="shared" ca="1" si="70"/>
        <v>54.758336769585426</v>
      </c>
      <c r="I150" s="304">
        <f t="shared" ca="1" si="71"/>
        <v>58.885943589348159</v>
      </c>
      <c r="J150" s="306">
        <f t="shared" ca="1" si="72"/>
        <v>251.78786741319973</v>
      </c>
      <c r="K150" s="307">
        <f t="shared" ca="1" si="73"/>
        <v>1059.6757270890419</v>
      </c>
      <c r="L150" s="304">
        <f t="shared" ca="1" si="58"/>
        <v>1089.1784870984998</v>
      </c>
      <c r="M150" s="306">
        <f t="shared" ca="1" si="74"/>
        <v>1.1941546241945935</v>
      </c>
      <c r="N150" s="304">
        <f t="shared" ca="1" si="75"/>
        <v>68.420020052381105</v>
      </c>
      <c r="P150" s="310">
        <f t="shared" ca="1" si="76"/>
        <v>23</v>
      </c>
      <c r="Q150" s="304">
        <f t="shared" ca="1" si="77"/>
        <v>0</v>
      </c>
      <c r="R150" s="306">
        <f t="shared" ca="1" si="78"/>
        <v>0</v>
      </c>
      <c r="S150" s="307">
        <f t="shared" ca="1" si="79"/>
        <v>2.5949999999999998</v>
      </c>
      <c r="T150" s="304">
        <f t="shared" ca="1" si="59"/>
        <v>25.456949999999999</v>
      </c>
      <c r="U150" s="311">
        <f t="shared" ca="1" si="60"/>
        <v>0</v>
      </c>
      <c r="V150" s="306">
        <f t="shared" ca="1" si="61"/>
        <v>1.101721485885528</v>
      </c>
      <c r="W150" s="304">
        <f t="shared" ca="1" si="62"/>
        <v>7.8229033696312333</v>
      </c>
      <c r="Y150" s="314" t="str">
        <f t="shared" ca="1" si="80"/>
        <v/>
      </c>
      <c r="Z150" s="315" t="str">
        <f t="shared" ca="1" si="81"/>
        <v/>
      </c>
      <c r="AA150" s="316" t="str">
        <f t="shared" ca="1" si="82"/>
        <v/>
      </c>
      <c r="AC150" s="310" t="e">
        <f t="shared" ca="1" si="83"/>
        <v>#N/A</v>
      </c>
      <c r="AD150" s="323" t="e">
        <f t="shared" ca="1" si="84"/>
        <v>#N/A</v>
      </c>
      <c r="AE150" s="324">
        <f t="shared" ca="1" si="63"/>
        <v>1059.6757270890419</v>
      </c>
      <c r="AG150" s="306">
        <f t="shared" ca="1" si="85"/>
        <v>-12.287332900320003</v>
      </c>
      <c r="AH150" s="304">
        <f t="shared" ca="1" si="86"/>
        <v>-3.143360021278176</v>
      </c>
    </row>
    <row r="151" spans="1:34" x14ac:dyDescent="0.2">
      <c r="A151" s="347">
        <f t="shared" ca="1" si="64"/>
        <v>0.1</v>
      </c>
      <c r="B151" s="304">
        <f t="shared" ca="1" si="65"/>
        <v>8.8999999999999631</v>
      </c>
      <c r="D151" s="306">
        <f t="shared" ca="1" si="66"/>
        <v>-1.1087711498338002</v>
      </c>
      <c r="E151" s="307">
        <f t="shared" ca="1" si="67"/>
        <v>-12.613297652835344</v>
      </c>
      <c r="F151" s="304">
        <f t="shared" ca="1" si="68"/>
        <v>12.661937100685872</v>
      </c>
      <c r="G151" s="306">
        <f t="shared" ca="1" si="69"/>
        <v>21.547352421074322</v>
      </c>
      <c r="H151" s="307">
        <f t="shared" ca="1" si="70"/>
        <v>53.497007004301892</v>
      </c>
      <c r="I151" s="304">
        <f t="shared" ca="1" si="71"/>
        <v>57.673374747593044</v>
      </c>
      <c r="J151" s="306">
        <f t="shared" ca="1" si="72"/>
        <v>253.94814651105634</v>
      </c>
      <c r="K151" s="307">
        <f t="shared" ca="1" si="73"/>
        <v>1065.0884942777361</v>
      </c>
      <c r="L151" s="304">
        <f t="shared" ca="1" si="58"/>
        <v>1094.9443646867251</v>
      </c>
      <c r="M151" s="306">
        <f t="shared" ca="1" si="74"/>
        <v>1.1878984650315412</v>
      </c>
      <c r="N151" s="304">
        <f t="shared" ca="1" si="75"/>
        <v>68.061568536376114</v>
      </c>
      <c r="P151" s="310">
        <f t="shared" ca="1" si="76"/>
        <v>23</v>
      </c>
      <c r="Q151" s="304">
        <f t="shared" ca="1" si="77"/>
        <v>0</v>
      </c>
      <c r="R151" s="306">
        <f t="shared" ca="1" si="78"/>
        <v>0</v>
      </c>
      <c r="S151" s="307">
        <f t="shared" ca="1" si="79"/>
        <v>2.5949999999999998</v>
      </c>
      <c r="T151" s="304">
        <f t="shared" ca="1" si="59"/>
        <v>25.456949999999999</v>
      </c>
      <c r="U151" s="311">
        <f t="shared" ca="1" si="60"/>
        <v>0</v>
      </c>
      <c r="V151" s="306">
        <f t="shared" ca="1" si="61"/>
        <v>1.1011236245606417</v>
      </c>
      <c r="W151" s="304">
        <f t="shared" ca="1" si="62"/>
        <v>7.499972648478785</v>
      </c>
      <c r="Y151" s="314" t="str">
        <f t="shared" ca="1" si="80"/>
        <v/>
      </c>
      <c r="Z151" s="315" t="str">
        <f t="shared" ca="1" si="81"/>
        <v/>
      </c>
      <c r="AA151" s="316" t="str">
        <f t="shared" ca="1" si="82"/>
        <v/>
      </c>
      <c r="AC151" s="310" t="e">
        <f t="shared" ca="1" si="83"/>
        <v>#N/A</v>
      </c>
      <c r="AD151" s="323" t="e">
        <f t="shared" ca="1" si="84"/>
        <v>#N/A</v>
      </c>
      <c r="AE151" s="324">
        <f t="shared" ca="1" si="63"/>
        <v>1065.0884942777361</v>
      </c>
      <c r="AG151" s="306">
        <f t="shared" ca="1" si="85"/>
        <v>-12.136974923915787</v>
      </c>
      <c r="AH151" s="304">
        <f t="shared" ca="1" si="86"/>
        <v>-3.0146063081430574</v>
      </c>
    </row>
    <row r="152" spans="1:34" x14ac:dyDescent="0.2">
      <c r="A152" s="347">
        <f t="shared" ca="1" si="64"/>
        <v>0.1</v>
      </c>
      <c r="B152" s="304">
        <f t="shared" ca="1" si="65"/>
        <v>8.9999999999999627</v>
      </c>
      <c r="D152" s="306">
        <f t="shared" ca="1" si="66"/>
        <v>-1.0797938943858034</v>
      </c>
      <c r="E152" s="307">
        <f t="shared" ca="1" si="67"/>
        <v>-12.490874216113074</v>
      </c>
      <c r="F152" s="304">
        <f t="shared" ca="1" si="68"/>
        <v>12.537459612581459</v>
      </c>
      <c r="G152" s="306">
        <f t="shared" ca="1" si="69"/>
        <v>21.439373031635743</v>
      </c>
      <c r="H152" s="307">
        <f t="shared" ca="1" si="70"/>
        <v>52.247919582690585</v>
      </c>
      <c r="I152" s="304">
        <f t="shared" ca="1" si="71"/>
        <v>56.475586023599014</v>
      </c>
      <c r="J152" s="306">
        <f t="shared" ca="1" si="72"/>
        <v>256.09748278369182</v>
      </c>
      <c r="K152" s="307">
        <f t="shared" ca="1" si="73"/>
        <v>1070.3757406070858</v>
      </c>
      <c r="L152" s="304">
        <f t="shared" ca="1" si="58"/>
        <v>1100.5862741140791</v>
      </c>
      <c r="M152" s="306">
        <f t="shared" ca="1" si="74"/>
        <v>1.1814086867472484</v>
      </c>
      <c r="N152" s="304">
        <f t="shared" ca="1" si="75"/>
        <v>67.689731630710483</v>
      </c>
      <c r="P152" s="310">
        <f t="shared" ca="1" si="76"/>
        <v>23</v>
      </c>
      <c r="Q152" s="304">
        <f t="shared" ca="1" si="77"/>
        <v>0</v>
      </c>
      <c r="R152" s="306">
        <f t="shared" ca="1" si="78"/>
        <v>0</v>
      </c>
      <c r="S152" s="307">
        <f t="shared" ca="1" si="79"/>
        <v>2.5949999999999998</v>
      </c>
      <c r="T152" s="304">
        <f t="shared" ca="1" si="59"/>
        <v>25.456949999999999</v>
      </c>
      <c r="U152" s="311">
        <f t="shared" ca="1" si="60"/>
        <v>0</v>
      </c>
      <c r="V152" s="306">
        <f t="shared" ca="1" si="61"/>
        <v>1.1005399240729532</v>
      </c>
      <c r="W152" s="304">
        <f t="shared" ca="1" si="62"/>
        <v>7.187869168915789</v>
      </c>
      <c r="Y152" s="314" t="str">
        <f t="shared" ca="1" si="80"/>
        <v/>
      </c>
      <c r="Z152" s="315" t="str">
        <f t="shared" ca="1" si="81"/>
        <v/>
      </c>
      <c r="AA152" s="316" t="str">
        <f t="shared" ca="1" si="82"/>
        <v/>
      </c>
      <c r="AC152" s="310">
        <f t="shared" ca="1" si="83"/>
        <v>8.9999999999999627</v>
      </c>
      <c r="AD152" s="323">
        <f t="shared" ca="1" si="84"/>
        <v>256.09748278369182</v>
      </c>
      <c r="AE152" s="324">
        <f t="shared" ca="1" si="63"/>
        <v>1070.3757406070858</v>
      </c>
      <c r="AG152" s="306">
        <f t="shared" ca="1" si="85"/>
        <v>-11.989780172220096</v>
      </c>
      <c r="AH152" s="304">
        <f t="shared" ca="1" si="86"/>
        <v>-2.890162870319378</v>
      </c>
    </row>
    <row r="153" spans="1:34" x14ac:dyDescent="0.2">
      <c r="A153" s="347">
        <f t="shared" ca="1" si="64"/>
        <v>0.1</v>
      </c>
      <c r="B153" s="304">
        <f t="shared" ca="1" si="65"/>
        <v>9.0999999999999623</v>
      </c>
      <c r="D153" s="306">
        <f t="shared" ca="1" si="66"/>
        <v>-1.0515117647888588</v>
      </c>
      <c r="E153" s="307">
        <f t="shared" ca="1" si="67"/>
        <v>-12.372542386191679</v>
      </c>
      <c r="F153" s="304">
        <f t="shared" ca="1" si="68"/>
        <v>12.417144683444704</v>
      </c>
      <c r="G153" s="306">
        <f t="shared" ca="1" si="69"/>
        <v>21.334221855156859</v>
      </c>
      <c r="H153" s="307">
        <f t="shared" ca="1" si="70"/>
        <v>51.01066534407142</v>
      </c>
      <c r="I153" s="304">
        <f t="shared" ca="1" si="71"/>
        <v>55.292286993846631</v>
      </c>
      <c r="J153" s="306">
        <f t="shared" ca="1" si="72"/>
        <v>258.23616252803146</v>
      </c>
      <c r="K153" s="307">
        <f t="shared" ca="1" si="73"/>
        <v>1075.5386698534239</v>
      </c>
      <c r="L153" s="304">
        <f t="shared" ca="1" si="58"/>
        <v>1106.1054859222409</v>
      </c>
      <c r="M153" s="306">
        <f t="shared" ca="1" si="74"/>
        <v>1.1746733537521663</v>
      </c>
      <c r="N153" s="304">
        <f t="shared" ca="1" si="75"/>
        <v>67.303825476477073</v>
      </c>
      <c r="P153" s="310">
        <f t="shared" ca="1" si="76"/>
        <v>23</v>
      </c>
      <c r="Q153" s="304">
        <f t="shared" ca="1" si="77"/>
        <v>0</v>
      </c>
      <c r="R153" s="306">
        <f t="shared" ca="1" si="78"/>
        <v>0</v>
      </c>
      <c r="S153" s="307">
        <f t="shared" ca="1" si="79"/>
        <v>2.5949999999999998</v>
      </c>
      <c r="T153" s="304">
        <f t="shared" ca="1" si="59"/>
        <v>25.456949999999999</v>
      </c>
      <c r="U153" s="311">
        <f t="shared" ca="1" si="60"/>
        <v>0</v>
      </c>
      <c r="V153" s="306">
        <f t="shared" ca="1" si="61"/>
        <v>1.0999702305398198</v>
      </c>
      <c r="W153" s="304">
        <f t="shared" ca="1" si="62"/>
        <v>6.8862519467268681</v>
      </c>
      <c r="Y153" s="314" t="str">
        <f t="shared" ca="1" si="80"/>
        <v/>
      </c>
      <c r="Z153" s="315" t="str">
        <f t="shared" ca="1" si="81"/>
        <v/>
      </c>
      <c r="AA153" s="316" t="str">
        <f t="shared" ca="1" si="82"/>
        <v/>
      </c>
      <c r="AC153" s="310" t="e">
        <f t="shared" ca="1" si="83"/>
        <v>#N/A</v>
      </c>
      <c r="AD153" s="323" t="e">
        <f t="shared" ca="1" si="84"/>
        <v>#N/A</v>
      </c>
      <c r="AE153" s="324">
        <f t="shared" ca="1" si="63"/>
        <v>1075.5386698534239</v>
      </c>
      <c r="AG153" s="306">
        <f t="shared" ca="1" si="85"/>
        <v>-11.845531843088667</v>
      </c>
      <c r="AH153" s="304">
        <f t="shared" ca="1" si="86"/>
        <v>-2.7698917799290133</v>
      </c>
    </row>
    <row r="154" spans="1:34" x14ac:dyDescent="0.2">
      <c r="A154" s="347">
        <f t="shared" ca="1" si="64"/>
        <v>0.1</v>
      </c>
      <c r="B154" s="304">
        <f t="shared" ca="1" si="65"/>
        <v>9.199999999999962</v>
      </c>
      <c r="D154" s="306">
        <f t="shared" ca="1" si="66"/>
        <v>-1.0239006045813781</v>
      </c>
      <c r="E154" s="307">
        <f t="shared" ca="1" si="67"/>
        <v>-12.258172304595597</v>
      </c>
      <c r="F154" s="304">
        <f t="shared" ca="1" si="68"/>
        <v>12.300860160867478</v>
      </c>
      <c r="G154" s="306">
        <f t="shared" ca="1" si="69"/>
        <v>21.231831794698721</v>
      </c>
      <c r="H154" s="307">
        <f t="shared" ca="1" si="70"/>
        <v>49.784848113611858</v>
      </c>
      <c r="I154" s="304">
        <f t="shared" ca="1" si="71"/>
        <v>54.123209282652311</v>
      </c>
      <c r="J154" s="306">
        <f t="shared" ca="1" si="72"/>
        <v>260.36446521052426</v>
      </c>
      <c r="K154" s="307">
        <f t="shared" ca="1" si="73"/>
        <v>1080.5784455263081</v>
      </c>
      <c r="L154" s="304">
        <f t="shared" ca="1" si="58"/>
        <v>1111.5032306207727</v>
      </c>
      <c r="M154" s="306">
        <f t="shared" ca="1" si="74"/>
        <v>1.1676797461608586</v>
      </c>
      <c r="N154" s="304">
        <f t="shared" ca="1" si="75"/>
        <v>66.903121277924484</v>
      </c>
      <c r="P154" s="310">
        <f t="shared" ca="1" si="76"/>
        <v>23</v>
      </c>
      <c r="Q154" s="304">
        <f t="shared" ca="1" si="77"/>
        <v>0</v>
      </c>
      <c r="R154" s="306">
        <f t="shared" ca="1" si="78"/>
        <v>0</v>
      </c>
      <c r="S154" s="307">
        <f t="shared" ca="1" si="79"/>
        <v>2.5949999999999998</v>
      </c>
      <c r="T154" s="304">
        <f t="shared" ca="1" si="59"/>
        <v>25.456949999999999</v>
      </c>
      <c r="U154" s="311">
        <f t="shared" ca="1" si="60"/>
        <v>0</v>
      </c>
      <c r="V154" s="306">
        <f t="shared" ca="1" si="61"/>
        <v>1.0994143952984703</v>
      </c>
      <c r="W154" s="304">
        <f t="shared" ca="1" si="62"/>
        <v>6.5947960582494378</v>
      </c>
      <c r="Y154" s="314" t="str">
        <f t="shared" ca="1" si="80"/>
        <v/>
      </c>
      <c r="Z154" s="315" t="str">
        <f t="shared" ca="1" si="81"/>
        <v/>
      </c>
      <c r="AA154" s="316" t="str">
        <f t="shared" ca="1" si="82"/>
        <v/>
      </c>
      <c r="AC154" s="310" t="e">
        <f t="shared" ca="1" si="83"/>
        <v>#N/A</v>
      </c>
      <c r="AD154" s="323" t="e">
        <f t="shared" ca="1" si="84"/>
        <v>#N/A</v>
      </c>
      <c r="AE154" s="324">
        <f t="shared" ca="1" si="63"/>
        <v>1080.5784455263081</v>
      </c>
      <c r="AG154" s="306">
        <f t="shared" ca="1" si="85"/>
        <v>-11.704013036890265</v>
      </c>
      <c r="AH154" s="304">
        <f t="shared" ca="1" si="86"/>
        <v>-2.6536616365036103</v>
      </c>
    </row>
    <row r="155" spans="1:34" x14ac:dyDescent="0.2">
      <c r="A155" s="347">
        <f t="shared" ca="1" si="64"/>
        <v>0.1</v>
      </c>
      <c r="B155" s="304">
        <f t="shared" ca="1" si="65"/>
        <v>9.2999999999999616</v>
      </c>
      <c r="D155" s="306">
        <f t="shared" ca="1" si="66"/>
        <v>-0.99693749881012539</v>
      </c>
      <c r="E155" s="307">
        <f t="shared" ca="1" si="67"/>
        <v>-12.147640126247548</v>
      </c>
      <c r="F155" s="304">
        <f t="shared" ca="1" si="68"/>
        <v>12.188480012427856</v>
      </c>
      <c r="G155" s="306">
        <f t="shared" ca="1" si="69"/>
        <v>21.132138044817708</v>
      </c>
      <c r="H155" s="307">
        <f t="shared" ca="1" si="70"/>
        <v>48.570084100987103</v>
      </c>
      <c r="I155" s="304">
        <f t="shared" ca="1" si="71"/>
        <v>52.968106705093703</v>
      </c>
      <c r="J155" s="306">
        <f t="shared" ca="1" si="72"/>
        <v>262.48266370250008</v>
      </c>
      <c r="K155" s="307">
        <f t="shared" ca="1" si="73"/>
        <v>1085.496192137038</v>
      </c>
      <c r="L155" s="304">
        <f t="shared" ca="1" si="58"/>
        <v>1116.7806999981551</v>
      </c>
      <c r="M155" s="306">
        <f t="shared" ca="1" si="74"/>
        <v>1.1604142997668061</v>
      </c>
      <c r="N155" s="304">
        <f t="shared" ca="1" si="75"/>
        <v>66.486841863266733</v>
      </c>
      <c r="P155" s="310">
        <f t="shared" ca="1" si="76"/>
        <v>23</v>
      </c>
      <c r="Q155" s="304">
        <f t="shared" ca="1" si="77"/>
        <v>0</v>
      </c>
      <c r="R155" s="306">
        <f t="shared" ca="1" si="78"/>
        <v>0</v>
      </c>
      <c r="S155" s="307">
        <f t="shared" ca="1" si="79"/>
        <v>2.5949999999999998</v>
      </c>
      <c r="T155" s="304">
        <f t="shared" ca="1" si="59"/>
        <v>25.456949999999999</v>
      </c>
      <c r="U155" s="311">
        <f t="shared" ca="1" si="60"/>
        <v>0</v>
      </c>
      <c r="V155" s="306">
        <f t="shared" ca="1" si="61"/>
        <v>1.0988722747379556</v>
      </c>
      <c r="W155" s="304">
        <f t="shared" ca="1" si="62"/>
        <v>6.313191817363867</v>
      </c>
      <c r="Y155" s="314" t="str">
        <f t="shared" ca="1" si="80"/>
        <v/>
      </c>
      <c r="Z155" s="315" t="str">
        <f t="shared" ca="1" si="81"/>
        <v/>
      </c>
      <c r="AA155" s="316" t="str">
        <f t="shared" ca="1" si="82"/>
        <v/>
      </c>
      <c r="AC155" s="310" t="e">
        <f t="shared" ca="1" si="83"/>
        <v>#N/A</v>
      </c>
      <c r="AD155" s="323" t="e">
        <f t="shared" ca="1" si="84"/>
        <v>#N/A</v>
      </c>
      <c r="AE155" s="324">
        <f t="shared" ca="1" si="63"/>
        <v>1085.496192137038</v>
      </c>
      <c r="AG155" s="306">
        <f t="shared" ca="1" si="85"/>
        <v>-11.5650057748745</v>
      </c>
      <c r="AH155" s="304">
        <f t="shared" ca="1" si="86"/>
        <v>-2.5413472286125005</v>
      </c>
    </row>
    <row r="156" spans="1:34" x14ac:dyDescent="0.2">
      <c r="A156" s="347">
        <f t="shared" ca="1" si="64"/>
        <v>0.1</v>
      </c>
      <c r="B156" s="304">
        <f t="shared" ca="1" si="65"/>
        <v>9.3999999999999613</v>
      </c>
      <c r="D156" s="306">
        <f t="shared" ca="1" si="66"/>
        <v>-0.97060072645656859</v>
      </c>
      <c r="E156" s="307">
        <f t="shared" ca="1" si="67"/>
        <v>-12.040827700088563</v>
      </c>
      <c r="F156" s="304">
        <f t="shared" ca="1" si="68"/>
        <v>12.079884000826253</v>
      </c>
      <c r="G156" s="306">
        <f t="shared" ca="1" si="69"/>
        <v>21.035077972172051</v>
      </c>
      <c r="H156" s="307">
        <f t="shared" ca="1" si="70"/>
        <v>47.36600133097825</v>
      </c>
      <c r="I156" s="304">
        <f t="shared" ca="1" si="71"/>
        <v>51.826755516640162</v>
      </c>
      <c r="J156" s="306">
        <f t="shared" ca="1" si="72"/>
        <v>264.59102450334956</v>
      </c>
      <c r="K156" s="307">
        <f t="shared" ca="1" si="73"/>
        <v>1090.2929964086363</v>
      </c>
      <c r="L156" s="304">
        <f t="shared" ca="1" si="58"/>
        <v>1121.9390483735981</v>
      </c>
      <c r="M156" s="306">
        <f t="shared" ca="1" si="74"/>
        <v>1.1528625410981161</v>
      </c>
      <c r="N156" s="304">
        <f t="shared" ca="1" si="75"/>
        <v>66.054157963649473</v>
      </c>
      <c r="P156" s="310">
        <f t="shared" ca="1" si="76"/>
        <v>23</v>
      </c>
      <c r="Q156" s="304">
        <f t="shared" ca="1" si="77"/>
        <v>0</v>
      </c>
      <c r="R156" s="306">
        <f t="shared" ca="1" si="78"/>
        <v>0</v>
      </c>
      <c r="S156" s="307">
        <f t="shared" ca="1" si="79"/>
        <v>2.5949999999999998</v>
      </c>
      <c r="T156" s="304">
        <f t="shared" ca="1" si="59"/>
        <v>25.456949999999999</v>
      </c>
      <c r="U156" s="311">
        <f t="shared" ca="1" si="60"/>
        <v>0</v>
      </c>
      <c r="V156" s="306">
        <f t="shared" ca="1" si="61"/>
        <v>1.0983437301389778</v>
      </c>
      <c r="W156" s="304">
        <f t="shared" ca="1" si="62"/>
        <v>6.0411440036920556</v>
      </c>
      <c r="Y156" s="314" t="str">
        <f t="shared" ca="1" si="80"/>
        <v/>
      </c>
      <c r="Z156" s="315" t="str">
        <f t="shared" ca="1" si="81"/>
        <v/>
      </c>
      <c r="AA156" s="316" t="str">
        <f t="shared" ca="1" si="82"/>
        <v/>
      </c>
      <c r="AC156" s="310" t="e">
        <f t="shared" ca="1" si="83"/>
        <v>#N/A</v>
      </c>
      <c r="AD156" s="323" t="e">
        <f t="shared" ca="1" si="84"/>
        <v>#N/A</v>
      </c>
      <c r="AE156" s="324">
        <f t="shared" ca="1" si="63"/>
        <v>1090.2929964086363</v>
      </c>
      <c r="AG156" s="306">
        <f t="shared" ca="1" si="85"/>
        <v>-11.42828996979167</v>
      </c>
      <c r="AH156" s="304">
        <f t="shared" ca="1" si="86"/>
        <v>-2.4328292167105463</v>
      </c>
    </row>
    <row r="157" spans="1:34" x14ac:dyDescent="0.2">
      <c r="A157" s="347">
        <f t="shared" ca="1" si="64"/>
        <v>0.1</v>
      </c>
      <c r="B157" s="304">
        <f t="shared" ca="1" si="65"/>
        <v>9.4999999999999609</v>
      </c>
      <c r="D157" s="306">
        <f t="shared" ca="1" si="66"/>
        <v>-0.94486971767646954</v>
      </c>
      <c r="E157" s="307">
        <f t="shared" ca="1" si="67"/>
        <v>-11.937622268111964</v>
      </c>
      <c r="F157" s="304">
        <f t="shared" ca="1" si="68"/>
        <v>11.974957377774029</v>
      </c>
      <c r="G157" s="306">
        <f t="shared" ca="1" si="69"/>
        <v>20.940591000404403</v>
      </c>
      <c r="H157" s="307">
        <f t="shared" ca="1" si="70"/>
        <v>46.172239104167055</v>
      </c>
      <c r="I157" s="304">
        <f t="shared" ca="1" si="71"/>
        <v>50.698954775602537</v>
      </c>
      <c r="J157" s="306">
        <f t="shared" ca="1" si="72"/>
        <v>266.68980795197837</v>
      </c>
      <c r="K157" s="307">
        <f t="shared" ca="1" si="73"/>
        <v>1094.9699084303936</v>
      </c>
      <c r="L157" s="304">
        <f t="shared" ca="1" si="58"/>
        <v>1126.9793937927736</v>
      </c>
      <c r="M157" s="306">
        <f t="shared" ca="1" si="74"/>
        <v>1.1450090171877672</v>
      </c>
      <c r="N157" s="304">
        <f t="shared" ca="1" si="75"/>
        <v>65.604184189281398</v>
      </c>
      <c r="P157" s="310">
        <f t="shared" ca="1" si="76"/>
        <v>23</v>
      </c>
      <c r="Q157" s="304">
        <f t="shared" ca="1" si="77"/>
        <v>0</v>
      </c>
      <c r="R157" s="306">
        <f t="shared" ca="1" si="78"/>
        <v>0</v>
      </c>
      <c r="S157" s="307">
        <f t="shared" ca="1" si="79"/>
        <v>2.5949999999999998</v>
      </c>
      <c r="T157" s="304">
        <f t="shared" ca="1" si="59"/>
        <v>25.456949999999999</v>
      </c>
      <c r="U157" s="311">
        <f t="shared" ca="1" si="60"/>
        <v>0</v>
      </c>
      <c r="V157" s="306">
        <f t="shared" ca="1" si="61"/>
        <v>1.0978286275211817</v>
      </c>
      <c r="W157" s="304">
        <f t="shared" ca="1" si="62"/>
        <v>5.7783711384487599</v>
      </c>
      <c r="Y157" s="314" t="str">
        <f t="shared" ca="1" si="80"/>
        <v/>
      </c>
      <c r="Z157" s="315" t="str">
        <f t="shared" ca="1" si="81"/>
        <v/>
      </c>
      <c r="AA157" s="316" t="str">
        <f t="shared" ca="1" si="82"/>
        <v/>
      </c>
      <c r="AC157" s="310" t="e">
        <f t="shared" ca="1" si="83"/>
        <v>#N/A</v>
      </c>
      <c r="AD157" s="323" t="e">
        <f t="shared" ca="1" si="84"/>
        <v>#N/A</v>
      </c>
      <c r="AE157" s="324">
        <f t="shared" ca="1" si="63"/>
        <v>1094.9699084303936</v>
      </c>
      <c r="AG157" s="306">
        <f t="shared" ca="1" si="85"/>
        <v>-11.293642339564313</v>
      </c>
      <c r="AH157" s="304">
        <f t="shared" ca="1" si="86"/>
        <v>-2.3279938357194823</v>
      </c>
    </row>
    <row r="158" spans="1:34" x14ac:dyDescent="0.2">
      <c r="A158" s="347">
        <f t="shared" ca="1" si="64"/>
        <v>0.1</v>
      </c>
      <c r="B158" s="304">
        <f t="shared" ca="1" si="65"/>
        <v>9.5999999999999606</v>
      </c>
      <c r="D158" s="306">
        <f t="shared" ca="1" si="66"/>
        <v>-0.91972501572716114</v>
      </c>
      <c r="E158" s="307">
        <f t="shared" ca="1" si="67"/>
        <v>-11.837916181325456</v>
      </c>
      <c r="F158" s="304">
        <f t="shared" ca="1" si="68"/>
        <v>11.873590595125023</v>
      </c>
      <c r="G158" s="306">
        <f t="shared" ca="1" si="69"/>
        <v>20.848618498831687</v>
      </c>
      <c r="H158" s="307">
        <f t="shared" ca="1" si="70"/>
        <v>44.988447486034509</v>
      </c>
      <c r="I158" s="304">
        <f t="shared" ca="1" si="71"/>
        <v>49.584526825548224</v>
      </c>
      <c r="J158" s="306">
        <f t="shared" ca="1" si="72"/>
        <v>268.77926842694018</v>
      </c>
      <c r="K158" s="307">
        <f t="shared" ca="1" si="73"/>
        <v>1099.5279427599037</v>
      </c>
      <c r="L158" s="304">
        <f t="shared" ca="1" si="58"/>
        <v>1131.9028191704213</v>
      </c>
      <c r="M158" s="306">
        <f t="shared" ca="1" si="74"/>
        <v>1.1368372196834275</v>
      </c>
      <c r="N158" s="304">
        <f t="shared" ca="1" si="75"/>
        <v>65.135974681247191</v>
      </c>
      <c r="P158" s="310">
        <f t="shared" ca="1" si="76"/>
        <v>23</v>
      </c>
      <c r="Q158" s="304">
        <f t="shared" ca="1" si="77"/>
        <v>0</v>
      </c>
      <c r="R158" s="306">
        <f t="shared" ca="1" si="78"/>
        <v>0</v>
      </c>
      <c r="S158" s="307">
        <f t="shared" ca="1" si="79"/>
        <v>2.5949999999999998</v>
      </c>
      <c r="T158" s="304">
        <f t="shared" ca="1" si="59"/>
        <v>25.456949999999999</v>
      </c>
      <c r="U158" s="311">
        <f t="shared" ca="1" si="60"/>
        <v>0</v>
      </c>
      <c r="V158" s="306">
        <f t="shared" ca="1" si="61"/>
        <v>1.0973268374975123</v>
      </c>
      <c r="W158" s="304">
        <f t="shared" ca="1" si="62"/>
        <v>5.5246048046651701</v>
      </c>
      <c r="Y158" s="314" t="str">
        <f t="shared" ca="1" si="80"/>
        <v/>
      </c>
      <c r="Z158" s="315" t="str">
        <f t="shared" ca="1" si="81"/>
        <v/>
      </c>
      <c r="AA158" s="316" t="str">
        <f t="shared" ca="1" si="82"/>
        <v/>
      </c>
      <c r="AC158" s="310" t="e">
        <f t="shared" ca="1" si="83"/>
        <v>#N/A</v>
      </c>
      <c r="AD158" s="323" t="e">
        <f t="shared" ca="1" si="84"/>
        <v>#N/A</v>
      </c>
      <c r="AE158" s="324">
        <f t="shared" ca="1" si="63"/>
        <v>1099.5279427599037</v>
      </c>
      <c r="AG158" s="306">
        <f t="shared" ca="1" si="85"/>
        <v>-11.160835254117039</v>
      </c>
      <c r="AH158" s="304">
        <f t="shared" ca="1" si="86"/>
        <v>-2.2267326159725473</v>
      </c>
    </row>
    <row r="159" spans="1:34" x14ac:dyDescent="0.2">
      <c r="A159" s="347">
        <f t="shared" ca="1" si="64"/>
        <v>0.1</v>
      </c>
      <c r="B159" s="304">
        <f t="shared" ca="1" si="65"/>
        <v>9.6999999999999602</v>
      </c>
      <c r="D159" s="306">
        <f t="shared" ca="1" si="66"/>
        <v>-0.89514824349069655</v>
      </c>
      <c r="E159" s="307">
        <f t="shared" ca="1" si="67"/>
        <v>-11.741606631238131</v>
      </c>
      <c r="F159" s="304">
        <f t="shared" ca="1" si="68"/>
        <v>11.775679031824863</v>
      </c>
      <c r="G159" s="306">
        <f t="shared" ca="1" si="69"/>
        <v>20.759103674482617</v>
      </c>
      <c r="H159" s="307">
        <f t="shared" ca="1" si="70"/>
        <v>43.814286822910695</v>
      </c>
      <c r="I159" s="304">
        <f t="shared" ca="1" si="71"/>
        <v>48.48331790593754</v>
      </c>
      <c r="J159" s="306">
        <f t="shared" ca="1" si="72"/>
        <v>270.8596545356059</v>
      </c>
      <c r="K159" s="307">
        <f t="shared" ca="1" si="73"/>
        <v>1103.968079475351</v>
      </c>
      <c r="L159" s="304">
        <f t="shared" ca="1" si="58"/>
        <v>1136.7103733826145</v>
      </c>
      <c r="M159" s="306">
        <f t="shared" ca="1" si="74"/>
        <v>1.1283295029200235</v>
      </c>
      <c r="N159" s="304">
        <f t="shared" ca="1" si="75"/>
        <v>64.648518417411452</v>
      </c>
      <c r="P159" s="310">
        <f t="shared" ca="1" si="76"/>
        <v>23</v>
      </c>
      <c r="Q159" s="304">
        <f t="shared" ca="1" si="77"/>
        <v>0</v>
      </c>
      <c r="R159" s="306">
        <f t="shared" ca="1" si="78"/>
        <v>0</v>
      </c>
      <c r="S159" s="307">
        <f t="shared" ca="1" si="79"/>
        <v>2.5949999999999998</v>
      </c>
      <c r="T159" s="304">
        <f t="shared" ca="1" si="59"/>
        <v>25.456949999999999</v>
      </c>
      <c r="U159" s="311">
        <f t="shared" ca="1" si="60"/>
        <v>0</v>
      </c>
      <c r="V159" s="306">
        <f t="shared" ca="1" si="61"/>
        <v>1.0968382351352644</v>
      </c>
      <c r="W159" s="304">
        <f t="shared" ca="1" si="62"/>
        <v>5.2795890087554715</v>
      </c>
      <c r="Y159" s="314" t="str">
        <f t="shared" ca="1" si="80"/>
        <v/>
      </c>
      <c r="Z159" s="315" t="str">
        <f t="shared" ca="1" si="81"/>
        <v/>
      </c>
      <c r="AA159" s="316" t="str">
        <f t="shared" ca="1" si="82"/>
        <v/>
      </c>
      <c r="AC159" s="310" t="e">
        <f t="shared" ca="1" si="83"/>
        <v>#N/A</v>
      </c>
      <c r="AD159" s="323" t="e">
        <f t="shared" ca="1" si="84"/>
        <v>#N/A</v>
      </c>
      <c r="AE159" s="324">
        <f t="shared" ca="1" si="63"/>
        <v>1103.968079475351</v>
      </c>
      <c r="AG159" s="306">
        <f t="shared" ca="1" si="85"/>
        <v>-11.029635504715159</v>
      </c>
      <c r="AH159" s="304">
        <f t="shared" ca="1" si="86"/>
        <v>-2.1289421212582544</v>
      </c>
    </row>
    <row r="160" spans="1:34" x14ac:dyDescent="0.2">
      <c r="A160" s="347">
        <f t="shared" ca="1" si="64"/>
        <v>0.1</v>
      </c>
      <c r="B160" s="304">
        <f t="shared" ca="1" si="65"/>
        <v>9.7999999999999599</v>
      </c>
      <c r="D160" s="306">
        <f t="shared" ca="1" si="66"/>
        <v>-0.87112207453444335</v>
      </c>
      <c r="E160" s="307">
        <f t="shared" ca="1" si="67"/>
        <v>-11.648595395539031</v>
      </c>
      <c r="F160" s="304">
        <f t="shared" ca="1" si="68"/>
        <v>11.681122735324474</v>
      </c>
      <c r="G160" s="306">
        <f t="shared" ca="1" si="69"/>
        <v>20.671991467029173</v>
      </c>
      <c r="H160" s="307">
        <f t="shared" ca="1" si="70"/>
        <v>42.649427283356793</v>
      </c>
      <c r="I160" s="304">
        <f t="shared" ca="1" si="71"/>
        <v>47.395198900429413</v>
      </c>
      <c r="J160" s="306">
        <f t="shared" ca="1" si="72"/>
        <v>272.9312092926815</v>
      </c>
      <c r="K160" s="307">
        <f t="shared" ca="1" si="73"/>
        <v>1108.2912651806644</v>
      </c>
      <c r="L160" s="304">
        <f t="shared" ca="1" si="58"/>
        <v>1141.4030723113212</v>
      </c>
      <c r="M160" s="306">
        <f t="shared" ca="1" si="74"/>
        <v>1.1194669955858303</v>
      </c>
      <c r="N160" s="304">
        <f t="shared" ca="1" si="75"/>
        <v>64.140734151258428</v>
      </c>
      <c r="P160" s="310">
        <f t="shared" ca="1" si="76"/>
        <v>23</v>
      </c>
      <c r="Q160" s="304">
        <f t="shared" ca="1" si="77"/>
        <v>0</v>
      </c>
      <c r="R160" s="306">
        <f t="shared" ca="1" si="78"/>
        <v>0</v>
      </c>
      <c r="S160" s="307">
        <f t="shared" ca="1" si="79"/>
        <v>2.5949999999999998</v>
      </c>
      <c r="T160" s="304">
        <f t="shared" ca="1" si="59"/>
        <v>25.456949999999999</v>
      </c>
      <c r="U160" s="311">
        <f t="shared" ca="1" si="60"/>
        <v>0</v>
      </c>
      <c r="V160" s="306">
        <f t="shared" ca="1" si="61"/>
        <v>1.0963626998234719</v>
      </c>
      <c r="W160" s="304">
        <f t="shared" ca="1" si="62"/>
        <v>5.0430795806264399</v>
      </c>
      <c r="Y160" s="314" t="str">
        <f t="shared" ca="1" si="80"/>
        <v/>
      </c>
      <c r="Z160" s="315" t="str">
        <f t="shared" ca="1" si="81"/>
        <v/>
      </c>
      <c r="AA160" s="316" t="str">
        <f t="shared" ca="1" si="82"/>
        <v/>
      </c>
      <c r="AC160" s="310" t="e">
        <f t="shared" ca="1" si="83"/>
        <v>#N/A</v>
      </c>
      <c r="AD160" s="323" t="e">
        <f t="shared" ca="1" si="84"/>
        <v>#N/A</v>
      </c>
      <c r="AE160" s="324">
        <f t="shared" ca="1" si="63"/>
        <v>1108.2912651806644</v>
      </c>
      <c r="AG160" s="306">
        <f t="shared" ca="1" si="85"/>
        <v>-10.899802984355096</v>
      </c>
      <c r="AH160" s="304">
        <f t="shared" ca="1" si="86"/>
        <v>-2.0345237027959429</v>
      </c>
    </row>
    <row r="161" spans="1:34" x14ac:dyDescent="0.2">
      <c r="A161" s="347">
        <f t="shared" ca="1" si="64"/>
        <v>0.1</v>
      </c>
      <c r="B161" s="304">
        <f t="shared" ca="1" si="65"/>
        <v>9.8999999999999595</v>
      </c>
      <c r="D161" s="306">
        <f t="shared" ca="1" si="66"/>
        <v>-0.84763020868396788</v>
      </c>
      <c r="E161" s="307">
        <f t="shared" ca="1" si="67"/>
        <v>-11.558788596691443</v>
      </c>
      <c r="F161" s="304">
        <f t="shared" ca="1" si="68"/>
        <v>11.589826176163204</v>
      </c>
      <c r="G161" s="306">
        <f t="shared" ca="1" si="69"/>
        <v>20.587228446160776</v>
      </c>
      <c r="H161" s="307">
        <f t="shared" ca="1" si="70"/>
        <v>41.493548423687649</v>
      </c>
      <c r="I161" s="304">
        <f t="shared" ca="1" si="71"/>
        <v>46.320066233580917</v>
      </c>
      <c r="J161" s="306">
        <f t="shared" ca="1" si="72"/>
        <v>274.99417028834102</v>
      </c>
      <c r="K161" s="307">
        <f t="shared" ca="1" si="73"/>
        <v>1112.4984139660166</v>
      </c>
      <c r="L161" s="304">
        <f t="shared" ca="1" si="58"/>
        <v>1145.9818998437436</v>
      </c>
      <c r="M161" s="306">
        <f t="shared" ca="1" si="74"/>
        <v>1.1102295056334988</v>
      </c>
      <c r="N161" s="304">
        <f t="shared" ca="1" si="75"/>
        <v>63.611464963695333</v>
      </c>
      <c r="P161" s="310">
        <f t="shared" ca="1" si="76"/>
        <v>23</v>
      </c>
      <c r="Q161" s="304">
        <f t="shared" ca="1" si="77"/>
        <v>0</v>
      </c>
      <c r="R161" s="306">
        <f t="shared" ca="1" si="78"/>
        <v>0</v>
      </c>
      <c r="S161" s="307">
        <f t="shared" ca="1" si="79"/>
        <v>2.5949999999999998</v>
      </c>
      <c r="T161" s="304">
        <f t="shared" ca="1" si="59"/>
        <v>25.456949999999999</v>
      </c>
      <c r="U161" s="311">
        <f t="shared" ca="1" si="60"/>
        <v>0</v>
      </c>
      <c r="V161" s="306">
        <f t="shared" ca="1" si="61"/>
        <v>1.0959001151463095</v>
      </c>
      <c r="W161" s="304">
        <f t="shared" ca="1" si="62"/>
        <v>4.814843609739734</v>
      </c>
      <c r="Y161" s="314" t="str">
        <f t="shared" ca="1" si="80"/>
        <v/>
      </c>
      <c r="Z161" s="315" t="str">
        <f t="shared" ca="1" si="81"/>
        <v/>
      </c>
      <c r="AA161" s="316" t="str">
        <f t="shared" ca="1" si="82"/>
        <v/>
      </c>
      <c r="AC161" s="310" t="e">
        <f t="shared" ca="1" si="83"/>
        <v>#N/A</v>
      </c>
      <c r="AD161" s="323" t="e">
        <f t="shared" ca="1" si="84"/>
        <v>#N/A</v>
      </c>
      <c r="AE161" s="324">
        <f t="shared" ca="1" si="63"/>
        <v>1112.4984139660166</v>
      </c>
      <c r="AG161" s="306">
        <f t="shared" ca="1" si="85"/>
        <v>-10.771089266908241</v>
      </c>
      <c r="AH161" s="304">
        <f t="shared" ca="1" si="86"/>
        <v>-1.943383268064139</v>
      </c>
    </row>
    <row r="162" spans="1:34" x14ac:dyDescent="0.2">
      <c r="A162" s="347">
        <f t="shared" ca="1" si="64"/>
        <v>0.1</v>
      </c>
      <c r="B162" s="304">
        <f t="shared" ca="1" si="65"/>
        <v>9.9999999999999591</v>
      </c>
      <c r="D162" s="306">
        <f t="shared" ca="1" si="66"/>
        <v>-0.82465735211633839</v>
      </c>
      <c r="E162" s="307">
        <f t="shared" ca="1" si="67"/>
        <v>-11.472096472212145</v>
      </c>
      <c r="F162" s="304">
        <f t="shared" ca="1" si="68"/>
        <v>11.501698014473423</v>
      </c>
      <c r="G162" s="306">
        <f t="shared" ca="1" si="69"/>
        <v>20.504762710949141</v>
      </c>
      <c r="H162" s="307">
        <f t="shared" ca="1" si="70"/>
        <v>40.346338776466432</v>
      </c>
      <c r="I162" s="304">
        <f t="shared" ca="1" si="71"/>
        <v>45.257842928024409</v>
      </c>
      <c r="J162" s="306">
        <f t="shared" ca="1" si="72"/>
        <v>277.04876984619654</v>
      </c>
      <c r="K162" s="307">
        <f t="shared" ca="1" si="73"/>
        <v>1116.5904083260243</v>
      </c>
      <c r="L162" s="304">
        <f t="shared" ca="1" si="58"/>
        <v>1150.4478088287917</v>
      </c>
      <c r="M162" s="306">
        <f t="shared" ca="1" si="74"/>
        <v>1.1005954181256827</v>
      </c>
      <c r="N162" s="304">
        <f t="shared" ca="1" si="75"/>
        <v>63.059472410037763</v>
      </c>
      <c r="P162" s="310">
        <f t="shared" ca="1" si="76"/>
        <v>23</v>
      </c>
      <c r="Q162" s="304">
        <f t="shared" ca="1" si="77"/>
        <v>0</v>
      </c>
      <c r="R162" s="306">
        <f t="shared" ca="1" si="78"/>
        <v>0</v>
      </c>
      <c r="S162" s="307">
        <f t="shared" ca="1" si="79"/>
        <v>2.5949999999999998</v>
      </c>
      <c r="T162" s="304">
        <f t="shared" ca="1" si="59"/>
        <v>25.456949999999999</v>
      </c>
      <c r="U162" s="311">
        <f t="shared" ca="1" si="60"/>
        <v>0</v>
      </c>
      <c r="V162" s="306">
        <f t="shared" ca="1" si="61"/>
        <v>1.0954503687621784</v>
      </c>
      <c r="W162" s="304">
        <f t="shared" ca="1" si="62"/>
        <v>4.5946589147277379</v>
      </c>
      <c r="Y162" s="314" t="str">
        <f t="shared" ca="1" si="80"/>
        <v/>
      </c>
      <c r="Z162" s="315" t="str">
        <f t="shared" ca="1" si="81"/>
        <v/>
      </c>
      <c r="AA162" s="316" t="str">
        <f t="shared" ca="1" si="82"/>
        <v/>
      </c>
      <c r="AC162" s="310">
        <f t="shared" ca="1" si="83"/>
        <v>9.9999999999999591</v>
      </c>
      <c r="AD162" s="323">
        <f t="shared" ca="1" si="84"/>
        <v>277.04876984619654</v>
      </c>
      <c r="AE162" s="324">
        <f t="shared" ca="1" si="63"/>
        <v>1116.5904083260243</v>
      </c>
      <c r="AG162" s="306">
        <f t="shared" ca="1" si="85"/>
        <v>-10.64323607187259</v>
      </c>
      <c r="AH162" s="304">
        <f t="shared" ca="1" si="86"/>
        <v>-1.85543106348352</v>
      </c>
    </row>
    <row r="163" spans="1:34" x14ac:dyDescent="0.2">
      <c r="A163" s="347">
        <f t="shared" ca="1" si="64"/>
        <v>0.1</v>
      </c>
      <c r="B163" s="304">
        <f t="shared" ca="1" si="65"/>
        <v>10.099999999999959</v>
      </c>
      <c r="D163" s="306">
        <f t="shared" ca="1" si="66"/>
        <v>-0.80218920201534594</v>
      </c>
      <c r="E163" s="307">
        <f t="shared" ca="1" si="67"/>
        <v>-11.388433155437198</v>
      </c>
      <c r="F163" s="304">
        <f t="shared" ca="1" si="68"/>
        <v>11.416650877192106</v>
      </c>
      <c r="G163" s="306">
        <f t="shared" ca="1" si="69"/>
        <v>20.424543790747606</v>
      </c>
      <c r="H163" s="307">
        <f t="shared" ca="1" si="70"/>
        <v>39.207495460922715</v>
      </c>
      <c r="I163" s="304">
        <f t="shared" ca="1" si="71"/>
        <v>44.208479835642869</v>
      </c>
      <c r="J163" s="306">
        <f t="shared" ca="1" si="72"/>
        <v>279.09523517128139</v>
      </c>
      <c r="K163" s="307">
        <f t="shared" ca="1" si="73"/>
        <v>1120.5681000378938</v>
      </c>
      <c r="L163" s="304">
        <f t="shared" ca="1" si="58"/>
        <v>1154.8017219929352</v>
      </c>
      <c r="M163" s="306">
        <f t="shared" ca="1" si="74"/>
        <v>1.0905415857667358</v>
      </c>
      <c r="N163" s="304">
        <f t="shared" ca="1" si="75"/>
        <v>62.483430247938045</v>
      </c>
      <c r="P163" s="310">
        <f t="shared" ca="1" si="76"/>
        <v>23</v>
      </c>
      <c r="Q163" s="304">
        <f t="shared" ca="1" si="77"/>
        <v>0</v>
      </c>
      <c r="R163" s="306">
        <f t="shared" ca="1" si="78"/>
        <v>0</v>
      </c>
      <c r="S163" s="307">
        <f t="shared" ca="1" si="79"/>
        <v>2.5949999999999998</v>
      </c>
      <c r="T163" s="304">
        <f t="shared" ca="1" si="59"/>
        <v>25.456949999999999</v>
      </c>
      <c r="U163" s="311">
        <f t="shared" ca="1" si="60"/>
        <v>0</v>
      </c>
      <c r="V163" s="306">
        <f t="shared" ca="1" si="61"/>
        <v>1.0950133522881937</v>
      </c>
      <c r="W163" s="304">
        <f t="shared" ca="1" si="62"/>
        <v>4.382313544338885</v>
      </c>
      <c r="Y163" s="314" t="str">
        <f t="shared" ca="1" si="80"/>
        <v/>
      </c>
      <c r="Z163" s="315" t="str">
        <f t="shared" ca="1" si="81"/>
        <v/>
      </c>
      <c r="AA163" s="316" t="str">
        <f t="shared" ca="1" si="82"/>
        <v/>
      </c>
      <c r="AC163" s="310" t="e">
        <f t="shared" ca="1" si="83"/>
        <v>#N/A</v>
      </c>
      <c r="AD163" s="323" t="e">
        <f t="shared" ca="1" si="84"/>
        <v>#N/A</v>
      </c>
      <c r="AE163" s="324">
        <f t="shared" ca="1" si="63"/>
        <v>1120.5681000378938</v>
      </c>
      <c r="AG163" s="306">
        <f t="shared" ca="1" si="85"/>
        <v>-10.515973600772698</v>
      </c>
      <c r="AH163" s="304">
        <f t="shared" ca="1" si="86"/>
        <v>-1.7705814700299569</v>
      </c>
    </row>
    <row r="164" spans="1:34" x14ac:dyDescent="0.2">
      <c r="A164" s="347">
        <f t="shared" ca="1" si="64"/>
        <v>0.1</v>
      </c>
      <c r="B164" s="304">
        <f t="shared" ca="1" si="65"/>
        <v>10.199999999999958</v>
      </c>
      <c r="D164" s="306">
        <f t="shared" ca="1" si="66"/>
        <v>-0.78021243586363576</v>
      </c>
      <c r="E164" s="307">
        <f t="shared" ca="1" si="67"/>
        <v>-11.307716465595497</v>
      </c>
      <c r="F164" s="304">
        <f t="shared" ca="1" si="68"/>
        <v>11.334601144785633</v>
      </c>
      <c r="G164" s="306">
        <f t="shared" ca="1" si="69"/>
        <v>20.346522547161243</v>
      </c>
      <c r="H164" s="307">
        <f t="shared" ca="1" si="70"/>
        <v>38.076723814363163</v>
      </c>
      <c r="I164" s="304">
        <f t="shared" ca="1" si="71"/>
        <v>43.171957057764146</v>
      </c>
      <c r="J164" s="306">
        <f t="shared" ca="1" si="72"/>
        <v>281.13378848817683</v>
      </c>
      <c r="K164" s="307">
        <f t="shared" ca="1" si="73"/>
        <v>1124.432311001658</v>
      </c>
      <c r="L164" s="304">
        <f t="shared" ca="1" si="58"/>
        <v>1159.0445328175465</v>
      </c>
      <c r="M164" s="306">
        <f t="shared" ca="1" si="74"/>
        <v>1.080043211964834</v>
      </c>
      <c r="N164" s="304">
        <f t="shared" ca="1" si="75"/>
        <v>61.881917737338362</v>
      </c>
      <c r="P164" s="310">
        <f t="shared" ca="1" si="76"/>
        <v>23</v>
      </c>
      <c r="Q164" s="304">
        <f t="shared" ca="1" si="77"/>
        <v>0</v>
      </c>
      <c r="R164" s="306">
        <f t="shared" ca="1" si="78"/>
        <v>0</v>
      </c>
      <c r="S164" s="307">
        <f t="shared" ca="1" si="79"/>
        <v>2.5949999999999998</v>
      </c>
      <c r="T164" s="304">
        <f t="shared" ca="1" si="59"/>
        <v>25.456949999999999</v>
      </c>
      <c r="U164" s="311">
        <f t="shared" ca="1" si="60"/>
        <v>0</v>
      </c>
      <c r="V164" s="306">
        <f t="shared" ca="1" si="61"/>
        <v>1.0945889611897723</v>
      </c>
      <c r="W164" s="304">
        <f t="shared" ca="1" si="62"/>
        <v>4.1776053076477364</v>
      </c>
      <c r="Y164" s="314" t="str">
        <f t="shared" ca="1" si="80"/>
        <v/>
      </c>
      <c r="Z164" s="315" t="str">
        <f t="shared" ca="1" si="81"/>
        <v/>
      </c>
      <c r="AA164" s="316" t="str">
        <f t="shared" ca="1" si="82"/>
        <v/>
      </c>
      <c r="AC164" s="310" t="e">
        <f t="shared" ca="1" si="83"/>
        <v>#N/A</v>
      </c>
      <c r="AD164" s="323" t="e">
        <f t="shared" ca="1" si="84"/>
        <v>#N/A</v>
      </c>
      <c r="AE164" s="324">
        <f t="shared" ca="1" si="63"/>
        <v>1124.432311001658</v>
      </c>
      <c r="AG164" s="306">
        <f t="shared" ca="1" si="85"/>
        <v>-10.389018730527004</v>
      </c>
      <c r="AH164" s="304">
        <f t="shared" ca="1" si="86"/>
        <v>-1.6887528109205725</v>
      </c>
    </row>
    <row r="165" spans="1:34" x14ac:dyDescent="0.2">
      <c r="A165" s="347">
        <f t="shared" ca="1" si="64"/>
        <v>0.1</v>
      </c>
      <c r="B165" s="304">
        <f t="shared" ca="1" si="65"/>
        <v>10.299999999999958</v>
      </c>
      <c r="D165" s="306">
        <f t="shared" ca="1" si="66"/>
        <v>-0.75871470548014319</v>
      </c>
      <c r="E165" s="307">
        <f t="shared" ca="1" si="67"/>
        <v>-11.229867706017114</v>
      </c>
      <c r="F165" s="304">
        <f t="shared" ca="1" si="68"/>
        <v>11.255468746300968</v>
      </c>
      <c r="G165" s="306">
        <f t="shared" ca="1" si="69"/>
        <v>20.270651076613227</v>
      </c>
      <c r="H165" s="307">
        <f t="shared" ca="1" si="70"/>
        <v>36.95373704376145</v>
      </c>
      <c r="I165" s="304">
        <f t="shared" ca="1" si="71"/>
        <v>42.148285570937141</v>
      </c>
      <c r="J165" s="306">
        <f t="shared" ca="1" si="72"/>
        <v>283.16464716936554</v>
      </c>
      <c r="K165" s="307">
        <f t="shared" ca="1" si="73"/>
        <v>1128.1838340445643</v>
      </c>
      <c r="L165" s="304">
        <f t="shared" ca="1" si="58"/>
        <v>1163.1771063797828</v>
      </c>
      <c r="M165" s="306">
        <f t="shared" ca="1" si="74"/>
        <v>1.0690737264024865</v>
      </c>
      <c r="N165" s="304">
        <f t="shared" ca="1" si="75"/>
        <v>61.253412511186163</v>
      </c>
      <c r="P165" s="310">
        <f t="shared" ca="1" si="76"/>
        <v>23</v>
      </c>
      <c r="Q165" s="304">
        <f t="shared" ca="1" si="77"/>
        <v>0</v>
      </c>
      <c r="R165" s="306">
        <f t="shared" ca="1" si="78"/>
        <v>0</v>
      </c>
      <c r="S165" s="307">
        <f t="shared" ca="1" si="79"/>
        <v>2.5949999999999998</v>
      </c>
      <c r="T165" s="304">
        <f t="shared" ca="1" si="59"/>
        <v>25.456949999999999</v>
      </c>
      <c r="U165" s="311">
        <f t="shared" ca="1" si="60"/>
        <v>0</v>
      </c>
      <c r="V165" s="306">
        <f t="shared" ca="1" si="61"/>
        <v>1.094177094675058</v>
      </c>
      <c r="W165" s="304">
        <f t="shared" ca="1" si="62"/>
        <v>3.9803413316110161</v>
      </c>
      <c r="Y165" s="314" t="str">
        <f t="shared" ca="1" si="80"/>
        <v/>
      </c>
      <c r="Z165" s="315" t="str">
        <f t="shared" ca="1" si="81"/>
        <v/>
      </c>
      <c r="AA165" s="316" t="str">
        <f t="shared" ca="1" si="82"/>
        <v/>
      </c>
      <c r="AC165" s="310" t="e">
        <f t="shared" ca="1" si="83"/>
        <v>#N/A</v>
      </c>
      <c r="AD165" s="323" t="e">
        <f t="shared" ca="1" si="84"/>
        <v>#N/A</v>
      </c>
      <c r="AE165" s="324">
        <f t="shared" ca="1" si="63"/>
        <v>1128.1838340445643</v>
      </c>
      <c r="AG165" s="306">
        <f t="shared" ca="1" si="85"/>
        <v>-10.262073048552889</v>
      </c>
      <c r="AH165" s="304">
        <f t="shared" ca="1" si="86"/>
        <v>-1.6098671705771626</v>
      </c>
    </row>
    <row r="166" spans="1:34" x14ac:dyDescent="0.2">
      <c r="A166" s="347">
        <f t="shared" ca="1" si="64"/>
        <v>0.1</v>
      </c>
      <c r="B166" s="304">
        <f t="shared" ca="1" si="65"/>
        <v>10.399999999999958</v>
      </c>
      <c r="D166" s="306">
        <f t="shared" ca="1" si="66"/>
        <v>-0.73768463594433764</v>
      </c>
      <c r="E166" s="307">
        <f t="shared" ca="1" si="67"/>
        <v>-11.15481146929517</v>
      </c>
      <c r="F166" s="304">
        <f t="shared" ca="1" si="68"/>
        <v>11.179176961548977</v>
      </c>
      <c r="G166" s="306">
        <f t="shared" ca="1" si="69"/>
        <v>20.196882613018794</v>
      </c>
      <c r="H166" s="307">
        <f t="shared" ca="1" si="70"/>
        <v>35.838255896831932</v>
      </c>
      <c r="I166" s="304">
        <f t="shared" ca="1" si="71"/>
        <v>41.137509076399724</v>
      </c>
      <c r="J166" s="306">
        <f t="shared" ca="1" si="72"/>
        <v>285.18802385384714</v>
      </c>
      <c r="K166" s="307">
        <f t="shared" ca="1" si="73"/>
        <v>1131.8234336915939</v>
      </c>
      <c r="L166" s="304">
        <f t="shared" ca="1" si="58"/>
        <v>1167.2002801589333</v>
      </c>
      <c r="M166" s="306">
        <f t="shared" ca="1" si="74"/>
        <v>1.0576046532798553</v>
      </c>
      <c r="N166" s="304">
        <f t="shared" ca="1" si="75"/>
        <v>60.596283026332465</v>
      </c>
      <c r="P166" s="310">
        <f t="shared" ca="1" si="76"/>
        <v>23</v>
      </c>
      <c r="Q166" s="304">
        <f t="shared" ca="1" si="77"/>
        <v>0</v>
      </c>
      <c r="R166" s="306">
        <f t="shared" ca="1" si="78"/>
        <v>0</v>
      </c>
      <c r="S166" s="307">
        <f t="shared" ca="1" si="79"/>
        <v>2.5949999999999998</v>
      </c>
      <c r="T166" s="304">
        <f t="shared" ca="1" si="59"/>
        <v>25.456949999999999</v>
      </c>
      <c r="U166" s="311">
        <f t="shared" ca="1" si="60"/>
        <v>0</v>
      </c>
      <c r="V166" s="306">
        <f t="shared" ca="1" si="61"/>
        <v>1.0937776555939176</v>
      </c>
      <c r="W166" s="304">
        <f t="shared" ca="1" si="62"/>
        <v>3.7903376441833618</v>
      </c>
      <c r="Y166" s="314" t="str">
        <f t="shared" ca="1" si="80"/>
        <v/>
      </c>
      <c r="Z166" s="315" t="str">
        <f t="shared" ca="1" si="81"/>
        <v/>
      </c>
      <c r="AA166" s="316" t="str">
        <f t="shared" ca="1" si="82"/>
        <v/>
      </c>
      <c r="AC166" s="310" t="e">
        <f t="shared" ca="1" si="83"/>
        <v>#N/A</v>
      </c>
      <c r="AD166" s="323" t="e">
        <f t="shared" ca="1" si="84"/>
        <v>#N/A</v>
      </c>
      <c r="AE166" s="324">
        <f t="shared" ca="1" si="63"/>
        <v>1131.8234336915939</v>
      </c>
      <c r="AG166" s="306">
        <f t="shared" ca="1" si="85"/>
        <v>-10.134820714117517</v>
      </c>
      <c r="AH166" s="304">
        <f t="shared" ca="1" si="86"/>
        <v>-1.5338502241275593</v>
      </c>
    </row>
    <row r="167" spans="1:34" x14ac:dyDescent="0.2">
      <c r="A167" s="347">
        <f t="shared" ca="1" si="64"/>
        <v>0.1</v>
      </c>
      <c r="B167" s="304">
        <f t="shared" ca="1" si="65"/>
        <v>10.499999999999957</v>
      </c>
      <c r="D167" s="306">
        <f t="shared" ca="1" si="66"/>
        <v>-0.71711182958095554</v>
      </c>
      <c r="E167" s="307">
        <f t="shared" ca="1" si="67"/>
        <v>-11.082475448196226</v>
      </c>
      <c r="F167" s="304">
        <f t="shared" ca="1" si="68"/>
        <v>11.105652229202798</v>
      </c>
      <c r="G167" s="306">
        <f t="shared" ca="1" si="69"/>
        <v>20.125171430060696</v>
      </c>
      <c r="H167" s="307">
        <f t="shared" ca="1" si="70"/>
        <v>34.730008352012312</v>
      </c>
      <c r="I167" s="304">
        <f t="shared" ca="1" si="71"/>
        <v>40.139706092847469</v>
      </c>
      <c r="J167" s="306">
        <f t="shared" ca="1" si="72"/>
        <v>287.20412655600114</v>
      </c>
      <c r="K167" s="307">
        <f t="shared" ca="1" si="73"/>
        <v>1135.3518469040362</v>
      </c>
      <c r="L167" s="304">
        <f t="shared" ca="1" si="58"/>
        <v>1171.1148648101096</v>
      </c>
      <c r="M167" s="306">
        <f t="shared" ca="1" si="74"/>
        <v>1.0456054726499229</v>
      </c>
      <c r="N167" s="304">
        <f t="shared" ca="1" si="75"/>
        <v>59.90878061862221</v>
      </c>
      <c r="P167" s="310">
        <f t="shared" ca="1" si="76"/>
        <v>23</v>
      </c>
      <c r="Q167" s="304">
        <f t="shared" ca="1" si="77"/>
        <v>0</v>
      </c>
      <c r="R167" s="306">
        <f t="shared" ca="1" si="78"/>
        <v>0</v>
      </c>
      <c r="S167" s="307">
        <f t="shared" ca="1" si="79"/>
        <v>2.5949999999999998</v>
      </c>
      <c r="T167" s="304">
        <f t="shared" ca="1" si="59"/>
        <v>25.456949999999999</v>
      </c>
      <c r="U167" s="311">
        <f t="shared" ca="1" si="60"/>
        <v>0</v>
      </c>
      <c r="V167" s="306">
        <f t="shared" ca="1" si="61"/>
        <v>1.0933905503412595</v>
      </c>
      <c r="W167" s="304">
        <f t="shared" ca="1" si="62"/>
        <v>3.6074187813275471</v>
      </c>
      <c r="Y167" s="314" t="str">
        <f t="shared" ca="1" si="80"/>
        <v/>
      </c>
      <c r="Z167" s="315" t="str">
        <f t="shared" ca="1" si="81"/>
        <v/>
      </c>
      <c r="AA167" s="316" t="str">
        <f t="shared" ca="1" si="82"/>
        <v/>
      </c>
      <c r="AC167" s="310" t="e">
        <f t="shared" ca="1" si="83"/>
        <v>#N/A</v>
      </c>
      <c r="AD167" s="323" t="e">
        <f t="shared" ca="1" si="84"/>
        <v>#N/A</v>
      </c>
      <c r="AE167" s="324">
        <f t="shared" ca="1" si="63"/>
        <v>1135.3518469040362</v>
      </c>
      <c r="AG167" s="306">
        <f t="shared" ca="1" si="85"/>
        <v>-10.006926130620617</v>
      </c>
      <c r="AH167" s="304">
        <f t="shared" ca="1" si="86"/>
        <v>-1.4606310767565942</v>
      </c>
    </row>
    <row r="168" spans="1:34" x14ac:dyDescent="0.2">
      <c r="A168" s="347">
        <f t="shared" ca="1" si="64"/>
        <v>0.1</v>
      </c>
      <c r="B168" s="304">
        <f t="shared" ca="1" si="65"/>
        <v>10.599999999999957</v>
      </c>
      <c r="D168" s="306">
        <f t="shared" ca="1" si="66"/>
        <v>-0.69698687520943348</v>
      </c>
      <c r="E168" s="307">
        <f t="shared" ca="1" si="67"/>
        <v>-11.012790251073831</v>
      </c>
      <c r="F168" s="304">
        <f t="shared" ca="1" si="68"/>
        <v>11.034823959554634</v>
      </c>
      <c r="G168" s="306">
        <f t="shared" ca="1" si="69"/>
        <v>20.055472742539752</v>
      </c>
      <c r="H168" s="307">
        <f t="shared" ca="1" si="70"/>
        <v>33.628729326904931</v>
      </c>
      <c r="I168" s="304">
        <f t="shared" ca="1" si="71"/>
        <v>39.154992313483994</v>
      </c>
      <c r="J168" s="306">
        <f t="shared" ca="1" si="72"/>
        <v>289.21315876463115</v>
      </c>
      <c r="K168" s="307">
        <f t="shared" ca="1" si="73"/>
        <v>1138.7697837879821</v>
      </c>
      <c r="L168" s="304">
        <f t="shared" ca="1" si="58"/>
        <v>1174.9216449070734</v>
      </c>
      <c r="M168" s="306">
        <f t="shared" ca="1" si="74"/>
        <v>1.0330434756063973</v>
      </c>
      <c r="N168" s="304">
        <f t="shared" ca="1" si="75"/>
        <v>59.18903120577238</v>
      </c>
      <c r="P168" s="310">
        <f t="shared" ca="1" si="76"/>
        <v>23</v>
      </c>
      <c r="Q168" s="304">
        <f t="shared" ca="1" si="77"/>
        <v>0</v>
      </c>
      <c r="R168" s="306">
        <f t="shared" ca="1" si="78"/>
        <v>0</v>
      </c>
      <c r="S168" s="307">
        <f t="shared" ca="1" si="79"/>
        <v>2.5949999999999998</v>
      </c>
      <c r="T168" s="304">
        <f t="shared" ca="1" si="59"/>
        <v>25.456949999999999</v>
      </c>
      <c r="U168" s="311">
        <f t="shared" ca="1" si="60"/>
        <v>0</v>
      </c>
      <c r="V168" s="306">
        <f t="shared" ca="1" si="61"/>
        <v>1.0930156887644291</v>
      </c>
      <c r="W168" s="304">
        <f t="shared" ca="1" si="62"/>
        <v>3.4314174163636304</v>
      </c>
      <c r="Y168" s="314" t="str">
        <f t="shared" ca="1" si="80"/>
        <v/>
      </c>
      <c r="Z168" s="315" t="str">
        <f t="shared" ca="1" si="81"/>
        <v/>
      </c>
      <c r="AA168" s="316" t="str">
        <f t="shared" ca="1" si="82"/>
        <v/>
      </c>
      <c r="AC168" s="310" t="e">
        <f t="shared" ca="1" si="83"/>
        <v>#N/A</v>
      </c>
      <c r="AD168" s="323" t="e">
        <f t="shared" ca="1" si="84"/>
        <v>#N/A</v>
      </c>
      <c r="AE168" s="324">
        <f t="shared" ca="1" si="63"/>
        <v>1138.7697837879821</v>
      </c>
      <c r="AG168" s="306">
        <f t="shared" ca="1" si="85"/>
        <v>-9.8780314143231607</v>
      </c>
      <c r="AH168" s="304">
        <f t="shared" ca="1" si="86"/>
        <v>-1.3901421122649509</v>
      </c>
    </row>
    <row r="169" spans="1:34" x14ac:dyDescent="0.2">
      <c r="A169" s="347">
        <f t="shared" ca="1" si="64"/>
        <v>0.1</v>
      </c>
      <c r="B169" s="304">
        <f t="shared" ca="1" si="65"/>
        <v>10.699999999999957</v>
      </c>
      <c r="D169" s="306">
        <f t="shared" ca="1" si="66"/>
        <v>-0.67730136288984111</v>
      </c>
      <c r="E169" s="307">
        <f t="shared" ca="1" si="67"/>
        <v>-10.945689220481666</v>
      </c>
      <c r="F169" s="304">
        <f t="shared" ca="1" si="68"/>
        <v>10.966624350616783</v>
      </c>
      <c r="G169" s="306">
        <f t="shared" ca="1" si="69"/>
        <v>19.987742606250769</v>
      </c>
      <c r="H169" s="307">
        <f t="shared" ca="1" si="70"/>
        <v>32.534160404856763</v>
      </c>
      <c r="I169" s="304">
        <f t="shared" ca="1" si="71"/>
        <v>38.183523249468244</v>
      </c>
      <c r="J169" s="306">
        <f t="shared" ca="1" si="72"/>
        <v>291.21531953207068</v>
      </c>
      <c r="K169" s="307">
        <f t="shared" ca="1" si="73"/>
        <v>1142.0779282745702</v>
      </c>
      <c r="L169" s="304">
        <f t="shared" ca="1" si="58"/>
        <v>1178.6213796559523</v>
      </c>
      <c r="M169" s="306">
        <f t="shared" ca="1" si="74"/>
        <v>1.0198836145380108</v>
      </c>
      <c r="N169" s="304">
        <f t="shared" ca="1" si="75"/>
        <v>58.435026707575311</v>
      </c>
      <c r="P169" s="310">
        <f t="shared" ca="1" si="76"/>
        <v>23</v>
      </c>
      <c r="Q169" s="304">
        <f t="shared" ca="1" si="77"/>
        <v>0</v>
      </c>
      <c r="R169" s="306">
        <f t="shared" ca="1" si="78"/>
        <v>0</v>
      </c>
      <c r="S169" s="307">
        <f t="shared" ca="1" si="79"/>
        <v>2.5949999999999998</v>
      </c>
      <c r="T169" s="304">
        <f t="shared" ca="1" si="59"/>
        <v>25.456949999999999</v>
      </c>
      <c r="U169" s="311">
        <f t="shared" ca="1" si="60"/>
        <v>0</v>
      </c>
      <c r="V169" s="306">
        <f t="shared" ca="1" si="61"/>
        <v>1.0926529840744441</v>
      </c>
      <c r="W169" s="304">
        <f t="shared" ca="1" si="62"/>
        <v>3.2621740102008085</v>
      </c>
      <c r="Y169" s="314" t="str">
        <f t="shared" ca="1" si="80"/>
        <v/>
      </c>
      <c r="Z169" s="315" t="str">
        <f t="shared" ca="1" si="81"/>
        <v/>
      </c>
      <c r="AA169" s="316" t="str">
        <f t="shared" ca="1" si="82"/>
        <v/>
      </c>
      <c r="AC169" s="310" t="e">
        <f t="shared" ca="1" si="83"/>
        <v>#N/A</v>
      </c>
      <c r="AD169" s="323" t="e">
        <f t="shared" ca="1" si="84"/>
        <v>#N/A</v>
      </c>
      <c r="AE169" s="324">
        <f t="shared" ca="1" si="63"/>
        <v>1142.0779282745702</v>
      </c>
      <c r="AG169" s="306">
        <f t="shared" ca="1" si="85"/>
        <v>-9.7477536467931483</v>
      </c>
      <c r="AH169" s="304">
        <f t="shared" ca="1" si="86"/>
        <v>-1.3223188502364667</v>
      </c>
    </row>
    <row r="170" spans="1:34" x14ac:dyDescent="0.2">
      <c r="A170" s="347">
        <f t="shared" ca="1" si="64"/>
        <v>0.1</v>
      </c>
      <c r="B170" s="304">
        <f t="shared" ca="1" si="65"/>
        <v>10.799999999999956</v>
      </c>
      <c r="D170" s="306">
        <f t="shared" ca="1" si="66"/>
        <v>-0.6580479044200227</v>
      </c>
      <c r="E170" s="307">
        <f t="shared" ca="1" si="67"/>
        <v>-10.881108253604669</v>
      </c>
      <c r="F170" s="304">
        <f t="shared" ca="1" si="68"/>
        <v>10.900988206175404</v>
      </c>
      <c r="G170" s="306">
        <f t="shared" ca="1" si="69"/>
        <v>19.921937815808768</v>
      </c>
      <c r="H170" s="307">
        <f t="shared" ca="1" si="70"/>
        <v>31.446049579496297</v>
      </c>
      <c r="I170" s="304">
        <f t="shared" ca="1" si="71"/>
        <v>37.225497182617865</v>
      </c>
      <c r="J170" s="306">
        <f t="shared" ca="1" si="72"/>
        <v>293.21080355317366</v>
      </c>
      <c r="K170" s="307">
        <f t="shared" ca="1" si="73"/>
        <v>1145.2769387737878</v>
      </c>
      <c r="L170" s="304">
        <f t="shared" ca="1" si="58"/>
        <v>1182.2148035815474</v>
      </c>
      <c r="M170" s="306">
        <f t="shared" ca="1" si="74"/>
        <v>1.0060883502555993</v>
      </c>
      <c r="N170" s="304">
        <f t="shared" ca="1" si="75"/>
        <v>57.644616286925555</v>
      </c>
      <c r="P170" s="310">
        <f t="shared" ca="1" si="76"/>
        <v>23</v>
      </c>
      <c r="Q170" s="304">
        <f t="shared" ca="1" si="77"/>
        <v>0</v>
      </c>
      <c r="R170" s="306">
        <f t="shared" ca="1" si="78"/>
        <v>0</v>
      </c>
      <c r="S170" s="307">
        <f t="shared" ca="1" si="79"/>
        <v>2.5949999999999998</v>
      </c>
      <c r="T170" s="304">
        <f t="shared" ca="1" si="59"/>
        <v>25.456949999999999</v>
      </c>
      <c r="U170" s="311">
        <f t="shared" ca="1" si="60"/>
        <v>0</v>
      </c>
      <c r="V170" s="306">
        <f t="shared" ca="1" si="61"/>
        <v>1.0923023527608386</v>
      </c>
      <c r="W170" s="304">
        <f t="shared" ca="1" si="62"/>
        <v>3.0995364810853157</v>
      </c>
      <c r="Y170" s="314" t="str">
        <f t="shared" ca="1" si="80"/>
        <v/>
      </c>
      <c r="Z170" s="315" t="str">
        <f t="shared" ca="1" si="81"/>
        <v/>
      </c>
      <c r="AA170" s="316" t="str">
        <f t="shared" ca="1" si="82"/>
        <v/>
      </c>
      <c r="AC170" s="310" t="e">
        <f t="shared" ca="1" si="83"/>
        <v>#N/A</v>
      </c>
      <c r="AD170" s="323" t="e">
        <f t="shared" ca="1" si="84"/>
        <v>#N/A</v>
      </c>
      <c r="AE170" s="324">
        <f t="shared" ca="1" si="63"/>
        <v>1145.2769387737878</v>
      </c>
      <c r="AG170" s="306">
        <f t="shared" ca="1" si="85"/>
        <v>-9.615681901397835</v>
      </c>
      <c r="AH170" s="304">
        <f t="shared" ca="1" si="86"/>
        <v>-1.2570998112527201</v>
      </c>
    </row>
    <row r="171" spans="1:34" x14ac:dyDescent="0.2">
      <c r="A171" s="347">
        <f t="shared" ca="1" si="64"/>
        <v>0.1</v>
      </c>
      <c r="B171" s="304">
        <f t="shared" ca="1" si="65"/>
        <v>10.899999999999956</v>
      </c>
      <c r="D171" s="306">
        <f t="shared" ca="1" si="66"/>
        <v>-0.63922015985446756</v>
      </c>
      <c r="E171" s="307">
        <f t="shared" ca="1" si="67"/>
        <v>-10.818985623027411</v>
      </c>
      <c r="F171" s="304">
        <f t="shared" ca="1" si="68"/>
        <v>10.837852754306924</v>
      </c>
      <c r="G171" s="306">
        <f t="shared" ca="1" si="69"/>
        <v>19.85801579982332</v>
      </c>
      <c r="H171" s="307">
        <f t="shared" ca="1" si="70"/>
        <v>30.364151017193556</v>
      </c>
      <c r="I171" s="304">
        <f t="shared" ca="1" si="71"/>
        <v>36.281158450371578</v>
      </c>
      <c r="J171" s="306">
        <f t="shared" ca="1" si="72"/>
        <v>295.19980123395527</v>
      </c>
      <c r="K171" s="307">
        <f t="shared" ca="1" si="73"/>
        <v>1148.3674488036224</v>
      </c>
      <c r="L171" s="304">
        <f t="shared" ca="1" si="58"/>
        <v>1185.7026271879081</v>
      </c>
      <c r="M171" s="306">
        <f t="shared" ca="1" si="74"/>
        <v>0.99161749856637216</v>
      </c>
      <c r="N171" s="304">
        <f t="shared" ca="1" si="75"/>
        <v>56.815497559173089</v>
      </c>
      <c r="P171" s="310">
        <f t="shared" ca="1" si="76"/>
        <v>23</v>
      </c>
      <c r="Q171" s="304">
        <f t="shared" ca="1" si="77"/>
        <v>0</v>
      </c>
      <c r="R171" s="306">
        <f t="shared" ca="1" si="78"/>
        <v>0</v>
      </c>
      <c r="S171" s="307">
        <f t="shared" ca="1" si="79"/>
        <v>2.5949999999999998</v>
      </c>
      <c r="T171" s="304">
        <f t="shared" ca="1" si="59"/>
        <v>25.456949999999999</v>
      </c>
      <c r="U171" s="311">
        <f t="shared" ca="1" si="60"/>
        <v>0</v>
      </c>
      <c r="V171" s="306">
        <f t="shared" ca="1" si="61"/>
        <v>1.0919637145098859</v>
      </c>
      <c r="W171" s="304">
        <f t="shared" ca="1" si="62"/>
        <v>2.9433598925779747</v>
      </c>
      <c r="Y171" s="314" t="str">
        <f t="shared" ca="1" si="80"/>
        <v/>
      </c>
      <c r="Z171" s="315" t="str">
        <f t="shared" ca="1" si="81"/>
        <v/>
      </c>
      <c r="AA171" s="316" t="str">
        <f t="shared" ca="1" si="82"/>
        <v/>
      </c>
      <c r="AC171" s="310" t="e">
        <f t="shared" ca="1" si="83"/>
        <v>#N/A</v>
      </c>
      <c r="AD171" s="323" t="e">
        <f t="shared" ca="1" si="84"/>
        <v>#N/A</v>
      </c>
      <c r="AE171" s="324">
        <f t="shared" ca="1" si="63"/>
        <v>1148.3674488036224</v>
      </c>
      <c r="AG171" s="306">
        <f t="shared" ca="1" si="85"/>
        <v>-9.4813740390179717</v>
      </c>
      <c r="AH171" s="304">
        <f t="shared" ca="1" si="86"/>
        <v>-1.1944263896282528</v>
      </c>
    </row>
    <row r="172" spans="1:34" x14ac:dyDescent="0.2">
      <c r="A172" s="347">
        <f t="shared" ca="1" si="64"/>
        <v>0.1</v>
      </c>
      <c r="B172" s="304">
        <f t="shared" ca="1" si="65"/>
        <v>10.999999999999956</v>
      </c>
      <c r="D172" s="306">
        <f t="shared" ca="1" si="66"/>
        <v>-0.62081287032079124</v>
      </c>
      <c r="E172" s="307">
        <f t="shared" ca="1" si="67"/>
        <v>-10.759261796236743</v>
      </c>
      <c r="F172" s="304">
        <f t="shared" ca="1" si="68"/>
        <v>10.777157464745304</v>
      </c>
      <c r="G172" s="306">
        <f t="shared" ca="1" si="69"/>
        <v>19.795934512791241</v>
      </c>
      <c r="H172" s="307">
        <f t="shared" ca="1" si="70"/>
        <v>29.288224837569881</v>
      </c>
      <c r="I172" s="304">
        <f t="shared" ca="1" si="71"/>
        <v>35.350801085276196</v>
      </c>
      <c r="J172" s="306">
        <f t="shared" ca="1" si="72"/>
        <v>297.18249874958599</v>
      </c>
      <c r="K172" s="307">
        <f t="shared" ca="1" si="73"/>
        <v>1151.3500675963605</v>
      </c>
      <c r="L172" s="304">
        <f t="shared" ca="1" si="58"/>
        <v>1189.0855375948324</v>
      </c>
      <c r="M172" s="306">
        <f t="shared" ca="1" si="74"/>
        <v>0.97642807985537938</v>
      </c>
      <c r="N172" s="304">
        <f t="shared" ca="1" si="75"/>
        <v>55.945207973776157</v>
      </c>
      <c r="P172" s="310">
        <f t="shared" ca="1" si="76"/>
        <v>23</v>
      </c>
      <c r="Q172" s="304">
        <f t="shared" ca="1" si="77"/>
        <v>0</v>
      </c>
      <c r="R172" s="306">
        <f t="shared" ca="1" si="78"/>
        <v>0</v>
      </c>
      <c r="S172" s="307">
        <f t="shared" ca="1" si="79"/>
        <v>2.5949999999999998</v>
      </c>
      <c r="T172" s="304">
        <f t="shared" ca="1" si="59"/>
        <v>25.456949999999999</v>
      </c>
      <c r="U172" s="311">
        <f t="shared" ca="1" si="60"/>
        <v>0</v>
      </c>
      <c r="V172" s="306">
        <f t="shared" ca="1" si="61"/>
        <v>1.0916369921259765</v>
      </c>
      <c r="W172" s="304">
        <f t="shared" ca="1" si="62"/>
        <v>2.7935061585463177</v>
      </c>
      <c r="Y172" s="314" t="str">
        <f t="shared" ca="1" si="80"/>
        <v/>
      </c>
      <c r="Z172" s="315" t="str">
        <f t="shared" ca="1" si="81"/>
        <v/>
      </c>
      <c r="AA172" s="316" t="str">
        <f t="shared" ca="1" si="82"/>
        <v/>
      </c>
      <c r="AC172" s="310">
        <f t="shared" ca="1" si="83"/>
        <v>10.999999999999956</v>
      </c>
      <c r="AD172" s="323">
        <f t="shared" ca="1" si="84"/>
        <v>297.18249874958599</v>
      </c>
      <c r="AE172" s="324">
        <f t="shared" ca="1" si="63"/>
        <v>1151.3500675963605</v>
      </c>
      <c r="AG172" s="306">
        <f t="shared" ca="1" si="85"/>
        <v>-9.3443532754270553</v>
      </c>
      <c r="AH172" s="304">
        <f t="shared" ca="1" si="86"/>
        <v>-1.1342427331707032</v>
      </c>
    </row>
    <row r="173" spans="1:34" x14ac:dyDescent="0.2">
      <c r="A173" s="347">
        <f t="shared" ca="1" si="64"/>
        <v>0.1</v>
      </c>
      <c r="B173" s="304">
        <f t="shared" ca="1" si="65"/>
        <v>11.099999999999955</v>
      </c>
      <c r="D173" s="306">
        <f t="shared" ca="1" si="66"/>
        <v>-0.60282189740013159</v>
      </c>
      <c r="E173" s="307">
        <f t="shared" ca="1" si="67"/>
        <v>-10.701879252108927</v>
      </c>
      <c r="F173" s="304">
        <f t="shared" ca="1" si="68"/>
        <v>10.718843863342009</v>
      </c>
      <c r="G173" s="306">
        <f t="shared" ca="1" si="69"/>
        <v>19.735652323051227</v>
      </c>
      <c r="H173" s="307">
        <f t="shared" ca="1" si="70"/>
        <v>28.21803691235899</v>
      </c>
      <c r="I173" s="304">
        <f t="shared" ca="1" si="71"/>
        <v>34.434772829272617</v>
      </c>
      <c r="J173" s="306">
        <f t="shared" ca="1" si="72"/>
        <v>299.15907809137809</v>
      </c>
      <c r="K173" s="307">
        <f t="shared" ca="1" si="73"/>
        <v>1154.2253806838569</v>
      </c>
      <c r="L173" s="304">
        <f t="shared" ca="1" si="58"/>
        <v>1192.3641991519528</v>
      </c>
      <c r="M173" s="306">
        <f t="shared" ca="1" si="74"/>
        <v>0.96047417648716471</v>
      </c>
      <c r="N173" s="304">
        <f t="shared" ca="1" si="75"/>
        <v>55.031116644017906</v>
      </c>
      <c r="P173" s="310">
        <f t="shared" ca="1" si="76"/>
        <v>23</v>
      </c>
      <c r="Q173" s="304">
        <f t="shared" ca="1" si="77"/>
        <v>0</v>
      </c>
      <c r="R173" s="306">
        <f t="shared" ca="1" si="78"/>
        <v>0</v>
      </c>
      <c r="S173" s="307">
        <f t="shared" ca="1" si="79"/>
        <v>2.5949999999999998</v>
      </c>
      <c r="T173" s="304">
        <f t="shared" ca="1" si="59"/>
        <v>25.456949999999999</v>
      </c>
      <c r="U173" s="311">
        <f t="shared" ca="1" si="60"/>
        <v>0</v>
      </c>
      <c r="V173" s="306">
        <f t="shared" ca="1" si="61"/>
        <v>1.091322111455918</v>
      </c>
      <c r="W173" s="304">
        <f t="shared" ca="1" si="62"/>
        <v>2.649843764018907</v>
      </c>
      <c r="Y173" s="314" t="str">
        <f t="shared" ca="1" si="80"/>
        <v/>
      </c>
      <c r="Z173" s="315" t="str">
        <f t="shared" ca="1" si="81"/>
        <v/>
      </c>
      <c r="AA173" s="316" t="str">
        <f t="shared" ca="1" si="82"/>
        <v/>
      </c>
      <c r="AC173" s="310" t="e">
        <f t="shared" ca="1" si="83"/>
        <v>#N/A</v>
      </c>
      <c r="AD173" s="323" t="e">
        <f t="shared" ca="1" si="84"/>
        <v>#N/A</v>
      </c>
      <c r="AE173" s="324">
        <f t="shared" ca="1" si="63"/>
        <v>1154.2253806838569</v>
      </c>
      <c r="AG173" s="306">
        <f t="shared" ca="1" si="85"/>
        <v>-9.2041045332808444</v>
      </c>
      <c r="AH173" s="304">
        <f t="shared" ca="1" si="86"/>
        <v>-1.0764956294976178</v>
      </c>
    </row>
    <row r="174" spans="1:34" x14ac:dyDescent="0.2">
      <c r="A174" s="347">
        <f t="shared" ca="1" si="64"/>
        <v>0.1</v>
      </c>
      <c r="B174" s="304">
        <f t="shared" ca="1" si="65"/>
        <v>11.199999999999955</v>
      </c>
      <c r="D174" s="306">
        <f t="shared" ca="1" si="66"/>
        <v>-0.58524426930729279</v>
      </c>
      <c r="E174" s="307">
        <f t="shared" ca="1" si="67"/>
        <v>-10.646782292459161</v>
      </c>
      <c r="F174" s="304">
        <f t="shared" ca="1" si="68"/>
        <v>10.662855341688687</v>
      </c>
      <c r="G174" s="306">
        <f t="shared" ca="1" si="69"/>
        <v>19.677127896120496</v>
      </c>
      <c r="H174" s="307">
        <f t="shared" ca="1" si="70"/>
        <v>27.153358683113073</v>
      </c>
      <c r="I174" s="304">
        <f t="shared" ca="1" si="71"/>
        <v>33.533479539321227</v>
      </c>
      <c r="J174" s="306">
        <f t="shared" ca="1" si="72"/>
        <v>301.12971710233666</v>
      </c>
      <c r="K174" s="307">
        <f t="shared" ca="1" si="73"/>
        <v>1156.9939504636304</v>
      </c>
      <c r="L174" s="304">
        <f t="shared" ca="1" si="58"/>
        <v>1195.5392540320754</v>
      </c>
      <c r="M174" s="306">
        <f t="shared" ca="1" si="74"/>
        <v>0.94370680441821553</v>
      </c>
      <c r="N174" s="304">
        <f t="shared" ca="1" si="75"/>
        <v>54.070416990941581</v>
      </c>
      <c r="P174" s="310">
        <f t="shared" ca="1" si="76"/>
        <v>23</v>
      </c>
      <c r="Q174" s="304">
        <f t="shared" ca="1" si="77"/>
        <v>0</v>
      </c>
      <c r="R174" s="306">
        <f t="shared" ca="1" si="78"/>
        <v>0</v>
      </c>
      <c r="S174" s="307">
        <f t="shared" ca="1" si="79"/>
        <v>2.5949999999999998</v>
      </c>
      <c r="T174" s="304">
        <f t="shared" ca="1" si="59"/>
        <v>25.456949999999999</v>
      </c>
      <c r="U174" s="311">
        <f t="shared" ca="1" si="60"/>
        <v>0</v>
      </c>
      <c r="V174" s="306">
        <f t="shared" ca="1" si="61"/>
        <v>1.0910190013159324</v>
      </c>
      <c r="W174" s="304">
        <f t="shared" ca="1" si="62"/>
        <v>2.5122475008038423</v>
      </c>
      <c r="Y174" s="314" t="str">
        <f t="shared" ca="1" si="80"/>
        <v/>
      </c>
      <c r="Z174" s="315" t="str">
        <f t="shared" ca="1" si="81"/>
        <v/>
      </c>
      <c r="AA174" s="316" t="str">
        <f t="shared" ca="1" si="82"/>
        <v/>
      </c>
      <c r="AC174" s="310" t="e">
        <f t="shared" ca="1" si="83"/>
        <v>#N/A</v>
      </c>
      <c r="AD174" s="323" t="e">
        <f t="shared" ca="1" si="84"/>
        <v>#N/A</v>
      </c>
      <c r="AE174" s="324">
        <f t="shared" ca="1" si="63"/>
        <v>1156.9939504636304</v>
      </c>
      <c r="AG174" s="306">
        <f t="shared" ca="1" si="85"/>
        <v>-9.060070606429484</v>
      </c>
      <c r="AH174" s="304">
        <f t="shared" ca="1" si="86"/>
        <v>-1.0211343984658603</v>
      </c>
    </row>
    <row r="175" spans="1:34" x14ac:dyDescent="0.2">
      <c r="A175" s="347">
        <f t="shared" ca="1" si="64"/>
        <v>0.1</v>
      </c>
      <c r="B175" s="304">
        <f t="shared" ca="1" si="65"/>
        <v>11.299999999999955</v>
      </c>
      <c r="D175" s="306">
        <f t="shared" ca="1" si="66"/>
        <v>-0.56807823404734614</v>
      </c>
      <c r="E175" s="307">
        <f t="shared" ca="1" si="67"/>
        <v>-10.59391684653319</v>
      </c>
      <c r="F175" s="304">
        <f t="shared" ca="1" si="68"/>
        <v>10.609136959774725</v>
      </c>
      <c r="G175" s="306">
        <f t="shared" ca="1" si="69"/>
        <v>19.62032007271576</v>
      </c>
      <c r="H175" s="307">
        <f t="shared" ca="1" si="70"/>
        <v>26.093966998459752</v>
      </c>
      <c r="I175" s="304">
        <f t="shared" ca="1" si="71"/>
        <v>32.647389994799269</v>
      </c>
      <c r="J175" s="306">
        <f t="shared" ca="1" si="72"/>
        <v>303.09458950077845</v>
      </c>
      <c r="K175" s="307">
        <f t="shared" ca="1" si="73"/>
        <v>1159.6563167477091</v>
      </c>
      <c r="L175" s="304">
        <f t="shared" ca="1" si="58"/>
        <v>1198.6113228054824</v>
      </c>
      <c r="M175" s="306">
        <f t="shared" ca="1" si="74"/>
        <v>0.92607380737681588</v>
      </c>
      <c r="N175" s="304">
        <f t="shared" ca="1" si="75"/>
        <v>53.06012068030271</v>
      </c>
      <c r="P175" s="310">
        <f t="shared" ca="1" si="76"/>
        <v>23</v>
      </c>
      <c r="Q175" s="304">
        <f t="shared" ca="1" si="77"/>
        <v>0</v>
      </c>
      <c r="R175" s="306">
        <f t="shared" ca="1" si="78"/>
        <v>0</v>
      </c>
      <c r="S175" s="307">
        <f t="shared" ca="1" si="79"/>
        <v>2.5949999999999998</v>
      </c>
      <c r="T175" s="304">
        <f t="shared" ca="1" si="59"/>
        <v>25.456949999999999</v>
      </c>
      <c r="U175" s="311">
        <f t="shared" ca="1" si="60"/>
        <v>0</v>
      </c>
      <c r="V175" s="306">
        <f t="shared" ca="1" si="61"/>
        <v>1.0907275934211118</v>
      </c>
      <c r="W175" s="304">
        <f t="shared" ca="1" si="62"/>
        <v>2.3805982168193989</v>
      </c>
      <c r="Y175" s="314" t="str">
        <f t="shared" ca="1" si="80"/>
        <v/>
      </c>
      <c r="Z175" s="315" t="str">
        <f t="shared" ca="1" si="81"/>
        <v/>
      </c>
      <c r="AA175" s="316" t="str">
        <f t="shared" ca="1" si="82"/>
        <v/>
      </c>
      <c r="AC175" s="310" t="e">
        <f t="shared" ca="1" si="83"/>
        <v>#N/A</v>
      </c>
      <c r="AD175" s="323" t="e">
        <f t="shared" ca="1" si="84"/>
        <v>#N/A</v>
      </c>
      <c r="AE175" s="324">
        <f t="shared" ca="1" si="63"/>
        <v>1159.6563167477091</v>
      </c>
      <c r="AG175" s="306">
        <f t="shared" ca="1" si="85"/>
        <v>-8.9116481845829565</v>
      </c>
      <c r="AH175" s="304">
        <f t="shared" ca="1" si="86"/>
        <v>-0.96811079029049807</v>
      </c>
    </row>
    <row r="176" spans="1:34" x14ac:dyDescent="0.2">
      <c r="A176" s="347">
        <f t="shared" ca="1" si="64"/>
        <v>0.1</v>
      </c>
      <c r="B176" s="304">
        <f t="shared" ca="1" si="65"/>
        <v>11.399999999999954</v>
      </c>
      <c r="D176" s="306">
        <f t="shared" ca="1" si="66"/>
        <v>-0.55132331962752346</v>
      </c>
      <c r="E176" s="307">
        <f t="shared" ca="1" si="67"/>
        <v>-10.543230266097826</v>
      </c>
      <c r="F176" s="304">
        <f t="shared" ca="1" si="68"/>
        <v>10.557635239329228</v>
      </c>
      <c r="G176" s="306">
        <f t="shared" ca="1" si="69"/>
        <v>19.565187740753007</v>
      </c>
      <c r="H176" s="307">
        <f t="shared" ca="1" si="70"/>
        <v>25.039643971849969</v>
      </c>
      <c r="I176" s="304">
        <f t="shared" ca="1" si="71"/>
        <v>31.777041107817361</v>
      </c>
      <c r="J176" s="306">
        <f t="shared" ca="1" si="72"/>
        <v>305.05386489145189</v>
      </c>
      <c r="K176" s="307">
        <f t="shared" ca="1" si="73"/>
        <v>1162.2129972962246</v>
      </c>
      <c r="L176" s="304">
        <f t="shared" ca="1" si="58"/>
        <v>1201.5810049969523</v>
      </c>
      <c r="M176" s="306">
        <f t="shared" ca="1" si="74"/>
        <v>0.90751978438897007</v>
      </c>
      <c r="N176" s="304">
        <f t="shared" ca="1" si="75"/>
        <v>51.997053470110437</v>
      </c>
      <c r="P176" s="310">
        <f t="shared" ca="1" si="76"/>
        <v>23</v>
      </c>
      <c r="Q176" s="304">
        <f t="shared" ca="1" si="77"/>
        <v>0</v>
      </c>
      <c r="R176" s="306">
        <f t="shared" ca="1" si="78"/>
        <v>0</v>
      </c>
      <c r="S176" s="307">
        <f t="shared" ca="1" si="79"/>
        <v>2.5949999999999998</v>
      </c>
      <c r="T176" s="304">
        <f t="shared" ca="1" si="59"/>
        <v>25.456949999999999</v>
      </c>
      <c r="U176" s="311">
        <f t="shared" ca="1" si="60"/>
        <v>0</v>
      </c>
      <c r="V176" s="306">
        <f t="shared" ca="1" si="61"/>
        <v>1.0904478223170919</v>
      </c>
      <c r="W176" s="304">
        <f t="shared" ca="1" si="62"/>
        <v>2.2547825781225068</v>
      </c>
      <c r="Y176" s="314" t="str">
        <f t="shared" ca="1" si="80"/>
        <v/>
      </c>
      <c r="Z176" s="315" t="str">
        <f t="shared" ca="1" si="81"/>
        <v/>
      </c>
      <c r="AA176" s="316" t="str">
        <f t="shared" ca="1" si="82"/>
        <v/>
      </c>
      <c r="AC176" s="310" t="e">
        <f t="shared" ca="1" si="83"/>
        <v>#N/A</v>
      </c>
      <c r="AD176" s="323" t="e">
        <f t="shared" ca="1" si="84"/>
        <v>#N/A</v>
      </c>
      <c r="AE176" s="324">
        <f t="shared" ca="1" si="63"/>
        <v>1162.2129972962246</v>
      </c>
      <c r="AG176" s="306">
        <f t="shared" ca="1" si="85"/>
        <v>-8.7581838138029351</v>
      </c>
      <c r="AH176" s="304">
        <f t="shared" ca="1" si="86"/>
        <v>-0.91737888894774533</v>
      </c>
    </row>
    <row r="177" spans="1:34" x14ac:dyDescent="0.2">
      <c r="A177" s="347">
        <f t="shared" ca="1" si="64"/>
        <v>0.1</v>
      </c>
      <c r="B177" s="304">
        <f t="shared" ca="1" si="65"/>
        <v>11.499999999999954</v>
      </c>
      <c r="D177" s="306">
        <f t="shared" ca="1" si="66"/>
        <v>-0.53498040125392243</v>
      </c>
      <c r="E177" s="307">
        <f t="shared" ca="1" si="67"/>
        <v>-10.494671108543121</v>
      </c>
      <c r="F177" s="304">
        <f t="shared" ca="1" si="68"/>
        <v>10.508297945253338</v>
      </c>
      <c r="G177" s="306">
        <f t="shared" ca="1" si="69"/>
        <v>19.511689700627613</v>
      </c>
      <c r="H177" s="307">
        <f t="shared" ca="1" si="70"/>
        <v>23.990176860995657</v>
      </c>
      <c r="I177" s="304">
        <f t="shared" ca="1" si="71"/>
        <v>30.923043524133082</v>
      </c>
      <c r="J177" s="306">
        <f t="shared" ca="1" si="72"/>
        <v>307.00770876352095</v>
      </c>
      <c r="K177" s="307">
        <f t="shared" ca="1" si="73"/>
        <v>1164.6644883378669</v>
      </c>
      <c r="L177" s="304">
        <f t="shared" ca="1" si="58"/>
        <v>1204.4488796273308</v>
      </c>
      <c r="M177" s="306">
        <f t="shared" ca="1" si="74"/>
        <v>0.88798606437373673</v>
      </c>
      <c r="N177" s="304">
        <f t="shared" ca="1" si="75"/>
        <v>50.877853755047347</v>
      </c>
      <c r="P177" s="310">
        <f t="shared" ca="1" si="76"/>
        <v>23</v>
      </c>
      <c r="Q177" s="304">
        <f t="shared" ca="1" si="77"/>
        <v>0</v>
      </c>
      <c r="R177" s="306">
        <f t="shared" ca="1" si="78"/>
        <v>0</v>
      </c>
      <c r="S177" s="307">
        <f t="shared" ca="1" si="79"/>
        <v>2.5949999999999998</v>
      </c>
      <c r="T177" s="304">
        <f t="shared" ca="1" si="59"/>
        <v>25.456949999999999</v>
      </c>
      <c r="U177" s="311">
        <f t="shared" ca="1" si="60"/>
        <v>0</v>
      </c>
      <c r="V177" s="306">
        <f t="shared" ca="1" si="61"/>
        <v>1.0901796253136888</v>
      </c>
      <c r="W177" s="304">
        <f t="shared" ca="1" si="62"/>
        <v>2.1346928426501841</v>
      </c>
      <c r="Y177" s="314" t="str">
        <f t="shared" ca="1" si="80"/>
        <v/>
      </c>
      <c r="Z177" s="315" t="str">
        <f t="shared" ca="1" si="81"/>
        <v/>
      </c>
      <c r="AA177" s="316" t="str">
        <f t="shared" ca="1" si="82"/>
        <v/>
      </c>
      <c r="AC177" s="310" t="e">
        <f t="shared" ca="1" si="83"/>
        <v>#N/A</v>
      </c>
      <c r="AD177" s="323" t="e">
        <f t="shared" ca="1" si="84"/>
        <v>#N/A</v>
      </c>
      <c r="AE177" s="324">
        <f t="shared" ca="1" si="63"/>
        <v>1164.6644883378669</v>
      </c>
      <c r="AG177" s="306">
        <f t="shared" ca="1" si="85"/>
        <v>-8.5989699047377623</v>
      </c>
      <c r="AH177" s="304">
        <f t="shared" ca="1" si="86"/>
        <v>-0.86889502047110101</v>
      </c>
    </row>
    <row r="178" spans="1:34" x14ac:dyDescent="0.2">
      <c r="A178" s="347">
        <f t="shared" ca="1" si="64"/>
        <v>0.1</v>
      </c>
      <c r="B178" s="304">
        <f t="shared" ca="1" si="65"/>
        <v>11.599999999999953</v>
      </c>
      <c r="D178" s="306">
        <f t="shared" ca="1" si="66"/>
        <v>-0.51905177522580648</v>
      </c>
      <c r="E178" s="307">
        <f t="shared" ca="1" si="67"/>
        <v>-10.448188905150554</v>
      </c>
      <c r="F178" s="304">
        <f t="shared" ca="1" si="68"/>
        <v>10.461073852290509</v>
      </c>
      <c r="G178" s="306">
        <f t="shared" ca="1" si="69"/>
        <v>19.459784523105032</v>
      </c>
      <c r="H178" s="307">
        <f t="shared" ca="1" si="70"/>
        <v>22.9453579704806</v>
      </c>
      <c r="I178" s="304">
        <f t="shared" ca="1" si="71"/>
        <v>30.086087583452517</v>
      </c>
      <c r="J178" s="306">
        <f t="shared" ca="1" si="72"/>
        <v>308.95628247470756</v>
      </c>
      <c r="K178" s="307">
        <f t="shared" ca="1" si="73"/>
        <v>1167.0112650794408</v>
      </c>
      <c r="L178" s="304">
        <f t="shared" ca="1" si="58"/>
        <v>1207.2155057415839</v>
      </c>
      <c r="M178" s="306">
        <f t="shared" ca="1" si="74"/>
        <v>0.86741074505525839</v>
      </c>
      <c r="N178" s="304">
        <f t="shared" ca="1" si="75"/>
        <v>49.698974795964546</v>
      </c>
      <c r="P178" s="310">
        <f t="shared" ca="1" si="76"/>
        <v>23</v>
      </c>
      <c r="Q178" s="304">
        <f t="shared" ca="1" si="77"/>
        <v>0</v>
      </c>
      <c r="R178" s="306">
        <f t="shared" ca="1" si="78"/>
        <v>0</v>
      </c>
      <c r="S178" s="307">
        <f t="shared" ca="1" si="79"/>
        <v>2.5949999999999998</v>
      </c>
      <c r="T178" s="304">
        <f t="shared" ca="1" si="59"/>
        <v>25.456949999999999</v>
      </c>
      <c r="U178" s="311">
        <f t="shared" ca="1" si="60"/>
        <v>0</v>
      </c>
      <c r="V178" s="306">
        <f t="shared" ca="1" si="61"/>
        <v>1.0899229424202372</v>
      </c>
      <c r="W178" s="304">
        <f t="shared" ca="1" si="62"/>
        <v>2.0202266447100201</v>
      </c>
      <c r="Y178" s="314" t="str">
        <f t="shared" ca="1" si="80"/>
        <v/>
      </c>
      <c r="Z178" s="315" t="str">
        <f t="shared" ca="1" si="81"/>
        <v/>
      </c>
      <c r="AA178" s="316" t="str">
        <f t="shared" ca="1" si="82"/>
        <v/>
      </c>
      <c r="AC178" s="310" t="e">
        <f t="shared" ca="1" si="83"/>
        <v>#N/A</v>
      </c>
      <c r="AD178" s="323" t="e">
        <f t="shared" ca="1" si="84"/>
        <v>#N/A</v>
      </c>
      <c r="AE178" s="324">
        <f t="shared" ca="1" si="63"/>
        <v>1167.0112650794408</v>
      </c>
      <c r="AG178" s="306">
        <f t="shared" ca="1" si="85"/>
        <v>-8.4332409481265991</v>
      </c>
      <c r="AH178" s="304">
        <f t="shared" ca="1" si="86"/>
        <v>-0.82261766576115003</v>
      </c>
    </row>
    <row r="179" spans="1:34" x14ac:dyDescent="0.2">
      <c r="A179" s="347">
        <f t="shared" ca="1" si="64"/>
        <v>0.1</v>
      </c>
      <c r="B179" s="304">
        <f t="shared" ca="1" si="65"/>
        <v>11.699999999999953</v>
      </c>
      <c r="D179" s="306">
        <f t="shared" ca="1" si="66"/>
        <v>-0.50354123893667146</v>
      </c>
      <c r="E179" s="307">
        <f t="shared" ca="1" si="67"/>
        <v>-10.403733911420396</v>
      </c>
      <c r="F179" s="304">
        <f t="shared" ca="1" si="68"/>
        <v>10.415912493821587</v>
      </c>
      <c r="G179" s="306">
        <f t="shared" ca="1" si="69"/>
        <v>19.409430399211367</v>
      </c>
      <c r="H179" s="307">
        <f t="shared" ca="1" si="70"/>
        <v>21.90498457933856</v>
      </c>
      <c r="I179" s="304">
        <f t="shared" ca="1" si="71"/>
        <v>29.266949582129165</v>
      </c>
      <c r="J179" s="306">
        <f t="shared" ca="1" si="72"/>
        <v>310.89974322082338</v>
      </c>
      <c r="K179" s="307">
        <f t="shared" ca="1" si="73"/>
        <v>1169.2537822069319</v>
      </c>
      <c r="L179" s="304">
        <f t="shared" ca="1" si="58"/>
        <v>1209.8814229253994</v>
      </c>
      <c r="M179" s="306">
        <f t="shared" ca="1" si="74"/>
        <v>0.84572881757448226</v>
      </c>
      <c r="N179" s="304">
        <f t="shared" ca="1" si="75"/>
        <v>48.456691859607361</v>
      </c>
      <c r="P179" s="310">
        <f t="shared" ca="1" si="76"/>
        <v>23</v>
      </c>
      <c r="Q179" s="304">
        <f t="shared" ca="1" si="77"/>
        <v>0</v>
      </c>
      <c r="R179" s="306">
        <f t="shared" ca="1" si="78"/>
        <v>0</v>
      </c>
      <c r="S179" s="307">
        <f t="shared" ca="1" si="79"/>
        <v>2.5949999999999998</v>
      </c>
      <c r="T179" s="304">
        <f t="shared" ca="1" si="59"/>
        <v>25.456949999999999</v>
      </c>
      <c r="U179" s="311">
        <f t="shared" ca="1" si="60"/>
        <v>0</v>
      </c>
      <c r="V179" s="306">
        <f t="shared" ca="1" si="61"/>
        <v>1.0896777162823388</v>
      </c>
      <c r="W179" s="304">
        <f t="shared" ca="1" si="62"/>
        <v>1.9112867892681213</v>
      </c>
      <c r="Y179" s="314" t="str">
        <f t="shared" ca="1" si="80"/>
        <v/>
      </c>
      <c r="Z179" s="315" t="str">
        <f t="shared" ca="1" si="81"/>
        <v/>
      </c>
      <c r="AA179" s="316" t="str">
        <f t="shared" ca="1" si="82"/>
        <v/>
      </c>
      <c r="AC179" s="310" t="e">
        <f t="shared" ca="1" si="83"/>
        <v>#N/A</v>
      </c>
      <c r="AD179" s="323" t="e">
        <f t="shared" ca="1" si="84"/>
        <v>#N/A</v>
      </c>
      <c r="AE179" s="324">
        <f t="shared" ca="1" si="63"/>
        <v>1169.2537822069319</v>
      </c>
      <c r="AG179" s="306">
        <f t="shared" ca="1" si="85"/>
        <v>-8.2601701582514586</v>
      </c>
      <c r="AH179" s="304">
        <f t="shared" ca="1" si="86"/>
        <v>-0.77850737753758004</v>
      </c>
    </row>
    <row r="180" spans="1:34" x14ac:dyDescent="0.2">
      <c r="A180" s="347">
        <f t="shared" ca="1" si="64"/>
        <v>0.1</v>
      </c>
      <c r="B180" s="304">
        <f t="shared" ca="1" si="65"/>
        <v>11.799999999999953</v>
      </c>
      <c r="D180" s="306">
        <f t="shared" ca="1" si="66"/>
        <v>-0.48845417597754076</v>
      </c>
      <c r="E180" s="307">
        <f t="shared" ca="1" si="67"/>
        <v>-10.361256836106653</v>
      </c>
      <c r="F180" s="304">
        <f t="shared" ca="1" si="68"/>
        <v>10.372763889426809</v>
      </c>
      <c r="G180" s="306">
        <f t="shared" ca="1" si="69"/>
        <v>19.360584981613613</v>
      </c>
      <c r="H180" s="307">
        <f t="shared" ca="1" si="70"/>
        <v>20.868858895727893</v>
      </c>
      <c r="I180" s="304">
        <f t="shared" ca="1" si="71"/>
        <v>28.466498246888108</v>
      </c>
      <c r="J180" s="306">
        <f t="shared" ca="1" si="72"/>
        <v>312.83824398986462</v>
      </c>
      <c r="K180" s="307">
        <f t="shared" ca="1" si="73"/>
        <v>1171.3924743806851</v>
      </c>
      <c r="L180" s="304">
        <f t="shared" ca="1" si="58"/>
        <v>1212.4471518125506</v>
      </c>
      <c r="M180" s="306">
        <f t="shared" ca="1" si="74"/>
        <v>0.82287240291758601</v>
      </c>
      <c r="N180" s="304">
        <f t="shared" ca="1" si="75"/>
        <v>47.147115764966244</v>
      </c>
      <c r="P180" s="310">
        <f t="shared" ca="1" si="76"/>
        <v>23</v>
      </c>
      <c r="Q180" s="304">
        <f t="shared" ca="1" si="77"/>
        <v>0</v>
      </c>
      <c r="R180" s="306">
        <f t="shared" ca="1" si="78"/>
        <v>0</v>
      </c>
      <c r="S180" s="307">
        <f t="shared" ca="1" si="79"/>
        <v>2.5949999999999998</v>
      </c>
      <c r="T180" s="304">
        <f t="shared" ca="1" si="59"/>
        <v>25.456949999999999</v>
      </c>
      <c r="U180" s="311">
        <f t="shared" ca="1" si="60"/>
        <v>0</v>
      </c>
      <c r="V180" s="306">
        <f t="shared" ca="1" si="61"/>
        <v>1.0894438921197303</v>
      </c>
      <c r="W180" s="304">
        <f t="shared" ca="1" si="62"/>
        <v>1.8077810550866158</v>
      </c>
      <c r="Y180" s="314" t="str">
        <f t="shared" ca="1" si="80"/>
        <v/>
      </c>
      <c r="Z180" s="315" t="str">
        <f t="shared" ca="1" si="81"/>
        <v/>
      </c>
      <c r="AA180" s="316" t="str">
        <f t="shared" ca="1" si="82"/>
        <v/>
      </c>
      <c r="AC180" s="310" t="e">
        <f t="shared" ca="1" si="83"/>
        <v>#N/A</v>
      </c>
      <c r="AD180" s="323" t="e">
        <f t="shared" ca="1" si="84"/>
        <v>#N/A</v>
      </c>
      <c r="AE180" s="324">
        <f t="shared" ca="1" si="63"/>
        <v>1171.3924743806851</v>
      </c>
      <c r="AG180" s="306">
        <f t="shared" ca="1" si="85"/>
        <v>-8.0788668421289387</v>
      </c>
      <c r="AH180" s="304">
        <f t="shared" ca="1" si="86"/>
        <v>-0.73652670106671347</v>
      </c>
    </row>
    <row r="181" spans="1:34" x14ac:dyDescent="0.2">
      <c r="A181" s="347">
        <f t="shared" ca="1" si="64"/>
        <v>0.1</v>
      </c>
      <c r="B181" s="304">
        <f t="shared" ca="1" si="65"/>
        <v>11.899999999999952</v>
      </c>
      <c r="D181" s="306">
        <f t="shared" ca="1" si="66"/>
        <v>-0.47379764478748843</v>
      </c>
      <c r="E181" s="307">
        <f t="shared" ca="1" si="67"/>
        <v>-10.320708545407507</v>
      </c>
      <c r="F181" s="304">
        <f t="shared" ca="1" si="68"/>
        <v>10.331578247656731</v>
      </c>
      <c r="G181" s="306">
        <f t="shared" ca="1" si="69"/>
        <v>19.313205217134865</v>
      </c>
      <c r="H181" s="307">
        <f t="shared" ca="1" si="70"/>
        <v>19.836788041187141</v>
      </c>
      <c r="I181" s="304">
        <f t="shared" ca="1" si="71"/>
        <v>27.685701283336687</v>
      </c>
      <c r="J181" s="306">
        <f t="shared" ca="1" si="72"/>
        <v>314.77193349980206</v>
      </c>
      <c r="K181" s="307">
        <f t="shared" ca="1" si="73"/>
        <v>1173.427756727531</v>
      </c>
      <c r="L181" s="304">
        <f t="shared" ca="1" si="58"/>
        <v>1214.9131945854442</v>
      </c>
      <c r="M181" s="306">
        <f t="shared" ca="1" si="74"/>
        <v>0.79877113151925805</v>
      </c>
      <c r="N181" s="304">
        <f t="shared" ca="1" si="75"/>
        <v>45.766214632942692</v>
      </c>
      <c r="P181" s="310">
        <f t="shared" ca="1" si="76"/>
        <v>23</v>
      </c>
      <c r="Q181" s="304">
        <f t="shared" ca="1" si="77"/>
        <v>0</v>
      </c>
      <c r="R181" s="306">
        <f t="shared" ca="1" si="78"/>
        <v>0</v>
      </c>
      <c r="S181" s="307">
        <f t="shared" ca="1" si="79"/>
        <v>2.5949999999999998</v>
      </c>
      <c r="T181" s="304">
        <f t="shared" ca="1" si="59"/>
        <v>25.456949999999999</v>
      </c>
      <c r="U181" s="311">
        <f t="shared" ca="1" si="60"/>
        <v>0</v>
      </c>
      <c r="V181" s="306">
        <f t="shared" ca="1" si="61"/>
        <v>1.0892214176649317</v>
      </c>
      <c r="W181" s="304">
        <f t="shared" ca="1" si="62"/>
        <v>1.7096220057573948</v>
      </c>
      <c r="Y181" s="314" t="str">
        <f t="shared" ca="1" si="80"/>
        <v/>
      </c>
      <c r="Z181" s="315" t="str">
        <f t="shared" ca="1" si="81"/>
        <v/>
      </c>
      <c r="AA181" s="316" t="str">
        <f t="shared" ca="1" si="82"/>
        <v/>
      </c>
      <c r="AC181" s="310" t="e">
        <f t="shared" ca="1" si="83"/>
        <v>#N/A</v>
      </c>
      <c r="AD181" s="323" t="e">
        <f t="shared" ca="1" si="84"/>
        <v>#N/A</v>
      </c>
      <c r="AE181" s="324">
        <f t="shared" ca="1" si="63"/>
        <v>1173.427756727531</v>
      </c>
      <c r="AG181" s="306">
        <f t="shared" ca="1" si="85"/>
        <v>-7.8883748874376085</v>
      </c>
      <c r="AH181" s="304">
        <f t="shared" ca="1" si="86"/>
        <v>-0.69664009829927398</v>
      </c>
    </row>
    <row r="182" spans="1:34" x14ac:dyDescent="0.2">
      <c r="A182" s="347">
        <f t="shared" ca="1" si="64"/>
        <v>0.1</v>
      </c>
      <c r="B182" s="304">
        <f t="shared" ca="1" si="65"/>
        <v>11.999999999999952</v>
      </c>
      <c r="D182" s="306">
        <f t="shared" ca="1" si="66"/>
        <v>-0.45958046857979779</v>
      </c>
      <c r="E182" s="307">
        <f t="shared" ca="1" si="67"/>
        <v>-10.282039738644654</v>
      </c>
      <c r="F182" s="304">
        <f t="shared" ca="1" si="68"/>
        <v>10.292305640339674</v>
      </c>
      <c r="G182" s="306">
        <f t="shared" ca="1" si="69"/>
        <v>19.267247170276885</v>
      </c>
      <c r="H182" s="307">
        <f t="shared" ca="1" si="70"/>
        <v>18.808584067322677</v>
      </c>
      <c r="I182" s="304">
        <f t="shared" ca="1" si="71"/>
        <v>26.925631805736465</v>
      </c>
      <c r="J182" s="306">
        <f t="shared" ca="1" si="72"/>
        <v>316.70095611917264</v>
      </c>
      <c r="K182" s="307">
        <f t="shared" ca="1" si="73"/>
        <v>1175.3600253329564</v>
      </c>
      <c r="L182" s="304">
        <f t="shared" ca="1" si="58"/>
        <v>1217.2800354714959</v>
      </c>
      <c r="M182" s="306">
        <f t="shared" ca="1" si="74"/>
        <v>0.77335270293397396</v>
      </c>
      <c r="N182" s="304">
        <f t="shared" ca="1" si="75"/>
        <v>44.309845953151225</v>
      </c>
      <c r="P182" s="310">
        <f t="shared" ca="1" si="76"/>
        <v>23</v>
      </c>
      <c r="Q182" s="304">
        <f t="shared" ca="1" si="77"/>
        <v>0</v>
      </c>
      <c r="R182" s="306">
        <f t="shared" ca="1" si="78"/>
        <v>0</v>
      </c>
      <c r="S182" s="307">
        <f t="shared" ca="1" si="79"/>
        <v>2.5949999999999998</v>
      </c>
      <c r="T182" s="304">
        <f t="shared" ca="1" si="59"/>
        <v>25.456949999999999</v>
      </c>
      <c r="U182" s="311">
        <f t="shared" ca="1" si="60"/>
        <v>0</v>
      </c>
      <c r="V182" s="306">
        <f t="shared" ca="1" si="61"/>
        <v>1.0890102431023265</v>
      </c>
      <c r="W182" s="304">
        <f t="shared" ca="1" si="62"/>
        <v>1.6167268076645445</v>
      </c>
      <c r="Y182" s="314" t="str">
        <f t="shared" ca="1" si="80"/>
        <v/>
      </c>
      <c r="Z182" s="315" t="str">
        <f t="shared" ca="1" si="81"/>
        <v/>
      </c>
      <c r="AA182" s="316" t="str">
        <f t="shared" ca="1" si="82"/>
        <v/>
      </c>
      <c r="AC182" s="310">
        <f t="shared" ca="1" si="83"/>
        <v>11.999999999999952</v>
      </c>
      <c r="AD182" s="323">
        <f t="shared" ca="1" si="84"/>
        <v>316.70095611917264</v>
      </c>
      <c r="AE182" s="324">
        <f t="shared" ca="1" si="63"/>
        <v>1175.3600253329564</v>
      </c>
      <c r="AG182" s="306">
        <f t="shared" ca="1" si="85"/>
        <v>-7.6876728767614058</v>
      </c>
      <c r="AH182" s="304">
        <f t="shared" ca="1" si="86"/>
        <v>-0.65881387505101929</v>
      </c>
    </row>
    <row r="183" spans="1:34" x14ac:dyDescent="0.2">
      <c r="A183" s="347">
        <f t="shared" ca="1" si="64"/>
        <v>0.1</v>
      </c>
      <c r="B183" s="304">
        <f t="shared" ca="1" si="65"/>
        <v>12.099999999999952</v>
      </c>
      <c r="D183" s="306">
        <f t="shared" ca="1" si="66"/>
        <v>-0.44581332335976898</v>
      </c>
      <c r="E183" s="307">
        <f t="shared" ca="1" si="67"/>
        <v>-10.245200591793946</v>
      </c>
      <c r="F183" s="304">
        <f t="shared" ca="1" si="68"/>
        <v>10.25489564478255</v>
      </c>
      <c r="G183" s="306">
        <f t="shared" ca="1" si="69"/>
        <v>19.222665837940909</v>
      </c>
      <c r="H183" s="307">
        <f t="shared" ca="1" si="70"/>
        <v>17.784064008143282</v>
      </c>
      <c r="I183" s="304">
        <f t="shared" ca="1" si="71"/>
        <v>26.187474383049576</v>
      </c>
      <c r="J183" s="306">
        <f t="shared" ca="1" si="72"/>
        <v>318.62545176958355</v>
      </c>
      <c r="K183" s="307">
        <f t="shared" ca="1" si="73"/>
        <v>1177.1896577367297</v>
      </c>
      <c r="L183" s="304">
        <f t="shared" ca="1" si="58"/>
        <v>1219.548141238258</v>
      </c>
      <c r="M183" s="306">
        <f t="shared" ca="1" si="74"/>
        <v>0.74654366790363202</v>
      </c>
      <c r="N183" s="304">
        <f t="shared" ca="1" si="75"/>
        <v>42.773801393094253</v>
      </c>
      <c r="P183" s="310">
        <f t="shared" ca="1" si="76"/>
        <v>23</v>
      </c>
      <c r="Q183" s="304">
        <f t="shared" ca="1" si="77"/>
        <v>0</v>
      </c>
      <c r="R183" s="306">
        <f t="shared" ca="1" si="78"/>
        <v>0</v>
      </c>
      <c r="S183" s="307">
        <f t="shared" ca="1" si="79"/>
        <v>2.5949999999999998</v>
      </c>
      <c r="T183" s="304">
        <f t="shared" ca="1" si="59"/>
        <v>25.456949999999999</v>
      </c>
      <c r="U183" s="311">
        <f t="shared" ca="1" si="60"/>
        <v>0</v>
      </c>
      <c r="V183" s="306">
        <f t="shared" ca="1" si="61"/>
        <v>1.0888103210072861</v>
      </c>
      <c r="W183" s="304">
        <f t="shared" ca="1" si="62"/>
        <v>1.5290170538848209</v>
      </c>
      <c r="Y183" s="314" t="str">
        <f t="shared" ca="1" si="80"/>
        <v/>
      </c>
      <c r="Z183" s="315" t="str">
        <f t="shared" ca="1" si="81"/>
        <v/>
      </c>
      <c r="AA183" s="316" t="str">
        <f t="shared" ca="1" si="82"/>
        <v/>
      </c>
      <c r="AC183" s="310" t="e">
        <f t="shared" ca="1" si="83"/>
        <v>#N/A</v>
      </c>
      <c r="AD183" s="323" t="e">
        <f t="shared" ca="1" si="84"/>
        <v>#N/A</v>
      </c>
      <c r="AE183" s="324">
        <f t="shared" ca="1" si="63"/>
        <v>1177.1896577367297</v>
      </c>
      <c r="AG183" s="306">
        <f t="shared" ca="1" si="85"/>
        <v>-7.4756764692679099</v>
      </c>
      <c r="AH183" s="304">
        <f t="shared" ca="1" si="86"/>
        <v>-0.62301611085338904</v>
      </c>
    </row>
    <row r="184" spans="1:34" x14ac:dyDescent="0.2">
      <c r="A184" s="347">
        <f t="shared" ca="1" si="64"/>
        <v>0.1</v>
      </c>
      <c r="B184" s="304">
        <f t="shared" ca="1" si="65"/>
        <v>12.199999999999951</v>
      </c>
      <c r="D184" s="306">
        <f t="shared" ca="1" si="66"/>
        <v>-0.43250881971540572</v>
      </c>
      <c r="E184" s="307">
        <f t="shared" ca="1" si="67"/>
        <v>-10.210140365480608</v>
      </c>
      <c r="F184" s="304">
        <f t="shared" ca="1" si="68"/>
        <v>10.219296950473066</v>
      </c>
      <c r="G184" s="306">
        <f t="shared" ca="1" si="69"/>
        <v>19.179414955969367</v>
      </c>
      <c r="H184" s="307">
        <f t="shared" ca="1" si="70"/>
        <v>16.763049971595223</v>
      </c>
      <c r="I184" s="304">
        <f t="shared" ca="1" si="71"/>
        <v>25.472530349446245</v>
      </c>
      <c r="J184" s="306">
        <f t="shared" ca="1" si="72"/>
        <v>320.54555580927905</v>
      </c>
      <c r="K184" s="307">
        <f t="shared" ca="1" si="73"/>
        <v>1178.9170134357166</v>
      </c>
      <c r="L184" s="304">
        <f t="shared" ca="1" si="58"/>
        <v>1221.7179616905325</v>
      </c>
      <c r="M184" s="306">
        <f t="shared" ca="1" si="74"/>
        <v>0.71827047983905989</v>
      </c>
      <c r="N184" s="304">
        <f t="shared" ca="1" si="75"/>
        <v>41.153867043614618</v>
      </c>
      <c r="P184" s="310">
        <f t="shared" ca="1" si="76"/>
        <v>23</v>
      </c>
      <c r="Q184" s="304">
        <f t="shared" ca="1" si="77"/>
        <v>0</v>
      </c>
      <c r="R184" s="306">
        <f t="shared" ca="1" si="78"/>
        <v>0</v>
      </c>
      <c r="S184" s="307">
        <f t="shared" ca="1" si="79"/>
        <v>2.5949999999999998</v>
      </c>
      <c r="T184" s="304">
        <f t="shared" ca="1" si="59"/>
        <v>25.456949999999999</v>
      </c>
      <c r="U184" s="311">
        <f t="shared" ca="1" si="60"/>
        <v>0</v>
      </c>
      <c r="V184" s="306">
        <f t="shared" ca="1" si="61"/>
        <v>1.0886216062849126</v>
      </c>
      <c r="W184" s="304">
        <f t="shared" ca="1" si="62"/>
        <v>1.4464185930040077</v>
      </c>
      <c r="Y184" s="314" t="str">
        <f t="shared" ca="1" si="80"/>
        <v/>
      </c>
      <c r="Z184" s="315" t="str">
        <f t="shared" ca="1" si="81"/>
        <v/>
      </c>
      <c r="AA184" s="316" t="str">
        <f t="shared" ca="1" si="82"/>
        <v/>
      </c>
      <c r="AC184" s="310" t="e">
        <f t="shared" ca="1" si="83"/>
        <v>#N/A</v>
      </c>
      <c r="AD184" s="323" t="e">
        <f t="shared" ca="1" si="84"/>
        <v>#N/A</v>
      </c>
      <c r="AE184" s="324">
        <f t="shared" ca="1" si="63"/>
        <v>1178.9170134357166</v>
      </c>
      <c r="AG184" s="306">
        <f t="shared" ca="1" si="85"/>
        <v>-7.2512438399977084</v>
      </c>
      <c r="AH184" s="304">
        <f t="shared" ca="1" si="86"/>
        <v>-0.58921659109241664</v>
      </c>
    </row>
    <row r="185" spans="1:34" x14ac:dyDescent="0.2">
      <c r="A185" s="347">
        <f t="shared" ca="1" si="64"/>
        <v>0.1</v>
      </c>
      <c r="B185" s="304">
        <f t="shared" ca="1" si="65"/>
        <v>12.299999999999951</v>
      </c>
      <c r="D185" s="306">
        <f t="shared" ca="1" si="66"/>
        <v>-0.41968157268806594</v>
      </c>
      <c r="E185" s="307">
        <f t="shared" ca="1" si="67"/>
        <v>-10.176806974627667</v>
      </c>
      <c r="F185" s="304">
        <f t="shared" ca="1" si="68"/>
        <v>10.185456927466939</v>
      </c>
      <c r="G185" s="306">
        <f t="shared" ca="1" si="69"/>
        <v>19.137446798700562</v>
      </c>
      <c r="H185" s="307">
        <f t="shared" ca="1" si="70"/>
        <v>15.745369274132456</v>
      </c>
      <c r="I185" s="304">
        <f t="shared" ca="1" si="71"/>
        <v>24.782221925240862</v>
      </c>
      <c r="J185" s="306">
        <f t="shared" ca="1" si="72"/>
        <v>322.46139889701254</v>
      </c>
      <c r="K185" s="307">
        <f t="shared" ca="1" si="73"/>
        <v>1180.542434398003</v>
      </c>
      <c r="L185" s="304">
        <f t="shared" ca="1" si="58"/>
        <v>1223.7899301730595</v>
      </c>
      <c r="M185" s="306">
        <f t="shared" ca="1" si="74"/>
        <v>0.68846086569598264</v>
      </c>
      <c r="N185" s="304">
        <f t="shared" ca="1" si="75"/>
        <v>39.445901964302806</v>
      </c>
      <c r="P185" s="310">
        <f t="shared" ca="1" si="76"/>
        <v>23</v>
      </c>
      <c r="Q185" s="304">
        <f t="shared" ca="1" si="77"/>
        <v>0</v>
      </c>
      <c r="R185" s="306">
        <f t="shared" ca="1" si="78"/>
        <v>0</v>
      </c>
      <c r="S185" s="307">
        <f t="shared" ca="1" si="79"/>
        <v>2.5949999999999998</v>
      </c>
      <c r="T185" s="304">
        <f t="shared" ca="1" si="59"/>
        <v>25.456949999999999</v>
      </c>
      <c r="U185" s="311">
        <f t="shared" ca="1" si="60"/>
        <v>0</v>
      </c>
      <c r="V185" s="306">
        <f t="shared" ca="1" si="61"/>
        <v>1.0884440561079372</v>
      </c>
      <c r="W185" s="304">
        <f t="shared" ca="1" si="62"/>
        <v>1.3688613617881322</v>
      </c>
      <c r="Y185" s="314" t="str">
        <f t="shared" ca="1" si="80"/>
        <v/>
      </c>
      <c r="Z185" s="315" t="str">
        <f t="shared" ca="1" si="81"/>
        <v/>
      </c>
      <c r="AA185" s="316" t="str">
        <f t="shared" ca="1" si="82"/>
        <v/>
      </c>
      <c r="AC185" s="310" t="e">
        <f t="shared" ca="1" si="83"/>
        <v>#N/A</v>
      </c>
      <c r="AD185" s="323" t="e">
        <f t="shared" ca="1" si="84"/>
        <v>#N/A</v>
      </c>
      <c r="AE185" s="324">
        <f t="shared" ca="1" si="63"/>
        <v>1180.542434398003</v>
      </c>
      <c r="AG185" s="306">
        <f t="shared" ca="1" si="85"/>
        <v>-7.0131851232755213</v>
      </c>
      <c r="AH185" s="304">
        <f t="shared" ca="1" si="86"/>
        <v>-0.55738674104200681</v>
      </c>
    </row>
    <row r="186" spans="1:34" x14ac:dyDescent="0.2">
      <c r="A186" s="347">
        <f t="shared" ca="1" si="64"/>
        <v>0.1</v>
      </c>
      <c r="B186" s="304">
        <f t="shared" ca="1" si="65"/>
        <v>12.399999999999951</v>
      </c>
      <c r="D186" s="306">
        <f t="shared" ca="1" si="66"/>
        <v>-0.40734825241870959</v>
      </c>
      <c r="E186" s="307">
        <f t="shared" ca="1" si="67"/>
        <v>-10.145146517974416</v>
      </c>
      <c r="F186" s="304">
        <f t="shared" ca="1" si="68"/>
        <v>10.153321154672346</v>
      </c>
      <c r="G186" s="306">
        <f t="shared" ca="1" si="69"/>
        <v>19.096711973458692</v>
      </c>
      <c r="H186" s="307">
        <f t="shared" ca="1" si="70"/>
        <v>14.730854622335015</v>
      </c>
      <c r="I186" s="304">
        <f t="shared" ca="1" si="71"/>
        <v>24.118094578585794</v>
      </c>
      <c r="J186" s="306">
        <f t="shared" ca="1" si="72"/>
        <v>324.37310683562049</v>
      </c>
      <c r="K186" s="307">
        <f t="shared" ca="1" si="73"/>
        <v>1182.0662455928264</v>
      </c>
      <c r="L186" s="304">
        <f t="shared" ca="1" si="58"/>
        <v>1225.7644640827671</v>
      </c>
      <c r="M186" s="306">
        <f t="shared" ca="1" si="74"/>
        <v>0.65704556607167919</v>
      </c>
      <c r="N186" s="304">
        <f t="shared" ca="1" si="75"/>
        <v>37.645937883691296</v>
      </c>
      <c r="P186" s="310">
        <f t="shared" ca="1" si="76"/>
        <v>23</v>
      </c>
      <c r="Q186" s="304">
        <f t="shared" ca="1" si="77"/>
        <v>0</v>
      </c>
      <c r="R186" s="306">
        <f t="shared" ca="1" si="78"/>
        <v>0</v>
      </c>
      <c r="S186" s="307">
        <f t="shared" ca="1" si="79"/>
        <v>2.5949999999999998</v>
      </c>
      <c r="T186" s="304">
        <f t="shared" ca="1" si="59"/>
        <v>25.456949999999999</v>
      </c>
      <c r="U186" s="311">
        <f t="shared" ca="1" si="60"/>
        <v>0</v>
      </c>
      <c r="V186" s="306">
        <f t="shared" ca="1" si="61"/>
        <v>1.0882776298532737</v>
      </c>
      <c r="W186" s="304">
        <f t="shared" ca="1" si="62"/>
        <v>1.2962792206037803</v>
      </c>
      <c r="Y186" s="314" t="str">
        <f t="shared" ca="1" si="80"/>
        <v/>
      </c>
      <c r="Z186" s="315" t="str">
        <f t="shared" ca="1" si="81"/>
        <v/>
      </c>
      <c r="AA186" s="316" t="str">
        <f t="shared" ca="1" si="82"/>
        <v/>
      </c>
      <c r="AC186" s="310" t="e">
        <f t="shared" ca="1" si="83"/>
        <v>#N/A</v>
      </c>
      <c r="AD186" s="323" t="e">
        <f t="shared" ca="1" si="84"/>
        <v>#N/A</v>
      </c>
      <c r="AE186" s="324">
        <f t="shared" ca="1" si="63"/>
        <v>1182.0662455928264</v>
      </c>
      <c r="AG186" s="306">
        <f t="shared" ca="1" si="85"/>
        <v>-6.7602769549996538</v>
      </c>
      <c r="AH186" s="304">
        <f t="shared" ca="1" si="86"/>
        <v>-0.52749956138270993</v>
      </c>
    </row>
    <row r="187" spans="1:34" x14ac:dyDescent="0.2">
      <c r="A187" s="347">
        <f t="shared" ca="1" si="64"/>
        <v>0.1</v>
      </c>
      <c r="B187" s="304">
        <f t="shared" ca="1" si="65"/>
        <v>12.49999999999995</v>
      </c>
      <c r="D187" s="306">
        <f t="shared" ca="1" si="66"/>
        <v>-0.3955276064510666</v>
      </c>
      <c r="E187" s="307">
        <f t="shared" ca="1" si="67"/>
        <v>-10.115102767316626</v>
      </c>
      <c r="F187" s="304">
        <f t="shared" ca="1" si="68"/>
        <v>10.122832907879166</v>
      </c>
      <c r="G187" s="306">
        <f t="shared" ca="1" si="69"/>
        <v>19.057159212813584</v>
      </c>
      <c r="H187" s="307">
        <f t="shared" ca="1" si="70"/>
        <v>13.719344345603352</v>
      </c>
      <c r="I187" s="304">
        <f t="shared" ca="1" si="71"/>
        <v>23.481816934295445</v>
      </c>
      <c r="J187" s="306">
        <f t="shared" ca="1" si="72"/>
        <v>326.28080039493409</v>
      </c>
      <c r="K187" s="307">
        <f t="shared" ca="1" si="73"/>
        <v>1183.4887555412233</v>
      </c>
      <c r="L187" s="304">
        <f t="shared" ca="1" si="58"/>
        <v>1227.6419653949893</v>
      </c>
      <c r="M187" s="306">
        <f t="shared" ca="1" si="74"/>
        <v>0.62396048922461733</v>
      </c>
      <c r="N187" s="304">
        <f t="shared" ca="1" si="75"/>
        <v>35.75030261548865</v>
      </c>
      <c r="P187" s="310">
        <f t="shared" ca="1" si="76"/>
        <v>23</v>
      </c>
      <c r="Q187" s="304">
        <f t="shared" ca="1" si="77"/>
        <v>0</v>
      </c>
      <c r="R187" s="306">
        <f t="shared" ca="1" si="78"/>
        <v>0</v>
      </c>
      <c r="S187" s="307">
        <f t="shared" ca="1" si="79"/>
        <v>2.5949999999999998</v>
      </c>
      <c r="T187" s="304">
        <f t="shared" ca="1" si="59"/>
        <v>25.456949999999999</v>
      </c>
      <c r="U187" s="311">
        <f t="shared" ca="1" si="60"/>
        <v>0</v>
      </c>
      <c r="V187" s="306">
        <f t="shared" ca="1" si="61"/>
        <v>1.0881222890366664</v>
      </c>
      <c r="W187" s="304">
        <f t="shared" ca="1" si="62"/>
        <v>1.2286097904337028</v>
      </c>
      <c r="Y187" s="314" t="str">
        <f t="shared" ca="1" si="80"/>
        <v/>
      </c>
      <c r="Z187" s="315" t="str">
        <f t="shared" ca="1" si="81"/>
        <v/>
      </c>
      <c r="AA187" s="316" t="str">
        <f t="shared" ca="1" si="82"/>
        <v/>
      </c>
      <c r="AC187" s="310" t="e">
        <f t="shared" ca="1" si="83"/>
        <v>#N/A</v>
      </c>
      <c r="AD187" s="323" t="e">
        <f t="shared" ca="1" si="84"/>
        <v>#N/A</v>
      </c>
      <c r="AE187" s="324">
        <f t="shared" ca="1" si="63"/>
        <v>1183.4887555412233</v>
      </c>
      <c r="AG187" s="306">
        <f t="shared" ca="1" si="85"/>
        <v>-6.4912833235289265</v>
      </c>
      <c r="AH187" s="304">
        <f t="shared" ca="1" si="86"/>
        <v>-0.49952956477987687</v>
      </c>
    </row>
    <row r="188" spans="1:34" x14ac:dyDescent="0.2">
      <c r="A188" s="347">
        <f t="shared" ca="1" si="64"/>
        <v>0.1</v>
      </c>
      <c r="B188" s="304">
        <f t="shared" ca="1" si="65"/>
        <v>12.59999999999995</v>
      </c>
      <c r="D188" s="306">
        <f t="shared" ca="1" si="66"/>
        <v>-0.38424044264058088</v>
      </c>
      <c r="E188" s="307">
        <f t="shared" ca="1" si="67"/>
        <v>-10.086616618732384</v>
      </c>
      <c r="F188" s="304">
        <f t="shared" ca="1" si="68"/>
        <v>10.093932609793317</v>
      </c>
      <c r="G188" s="306">
        <f t="shared" ca="1" si="69"/>
        <v>19.018735168549526</v>
      </c>
      <c r="H188" s="307">
        <f t="shared" ca="1" si="70"/>
        <v>12.710682683730113</v>
      </c>
      <c r="I188" s="304">
        <f t="shared" ca="1" si="71"/>
        <v>22.87517741347374</v>
      </c>
      <c r="J188" s="306">
        <f t="shared" ca="1" si="72"/>
        <v>328.18459511400226</v>
      </c>
      <c r="K188" s="307">
        <f t="shared" ca="1" si="73"/>
        <v>1184.8102568926899</v>
      </c>
      <c r="L188" s="304">
        <f t="shared" ca="1" si="58"/>
        <v>1229.4228212084984</v>
      </c>
      <c r="M188" s="306">
        <f t="shared" ca="1" si="74"/>
        <v>0.58914931133291393</v>
      </c>
      <c r="N188" s="304">
        <f t="shared" ca="1" si="75"/>
        <v>33.755769042414926</v>
      </c>
      <c r="P188" s="310">
        <f t="shared" ca="1" si="76"/>
        <v>23</v>
      </c>
      <c r="Q188" s="304">
        <f t="shared" ca="1" si="77"/>
        <v>0</v>
      </c>
      <c r="R188" s="306">
        <f t="shared" ca="1" si="78"/>
        <v>0</v>
      </c>
      <c r="S188" s="307">
        <f t="shared" ca="1" si="79"/>
        <v>2.5949999999999998</v>
      </c>
      <c r="T188" s="304">
        <f t="shared" ca="1" si="59"/>
        <v>25.456949999999999</v>
      </c>
      <c r="U188" s="311">
        <f t="shared" ca="1" si="60"/>
        <v>0</v>
      </c>
      <c r="V188" s="306">
        <f t="shared" ca="1" si="61"/>
        <v>1.0879779972448589</v>
      </c>
      <c r="W188" s="304">
        <f t="shared" ca="1" si="62"/>
        <v>1.1657942902864711</v>
      </c>
      <c r="Y188" s="314" t="str">
        <f t="shared" ca="1" si="80"/>
        <v/>
      </c>
      <c r="Z188" s="315" t="str">
        <f t="shared" ca="1" si="81"/>
        <v/>
      </c>
      <c r="AA188" s="316" t="str">
        <f t="shared" ca="1" si="82"/>
        <v/>
      </c>
      <c r="AC188" s="310" t="e">
        <f t="shared" ca="1" si="83"/>
        <v>#N/A</v>
      </c>
      <c r="AD188" s="323" t="e">
        <f t="shared" ca="1" si="84"/>
        <v>#N/A</v>
      </c>
      <c r="AE188" s="324">
        <f t="shared" ca="1" si="63"/>
        <v>1184.8102568926899</v>
      </c>
      <c r="AG188" s="306">
        <f t="shared" ca="1" si="85"/>
        <v>-6.2049839828653015</v>
      </c>
      <c r="AH188" s="304">
        <f t="shared" ca="1" si="86"/>
        <v>-0.47345271307657144</v>
      </c>
    </row>
    <row r="189" spans="1:34" x14ac:dyDescent="0.2">
      <c r="A189" s="347">
        <f t="shared" ca="1" si="64"/>
        <v>0.1</v>
      </c>
      <c r="B189" s="304">
        <f t="shared" ca="1" si="65"/>
        <v>12.69999999999995</v>
      </c>
      <c r="D189" s="306">
        <f t="shared" ca="1" si="66"/>
        <v>-0.37350955972346445</v>
      </c>
      <c r="E189" s="307">
        <f t="shared" ca="1" si="67"/>
        <v>-10.059625511418632</v>
      </c>
      <c r="F189" s="304">
        <f t="shared" ca="1" si="68"/>
        <v>10.066557247698411</v>
      </c>
      <c r="G189" s="306">
        <f t="shared" ca="1" si="69"/>
        <v>18.981384212577179</v>
      </c>
      <c r="H189" s="307">
        <f t="shared" ca="1" si="70"/>
        <v>11.70472013258825</v>
      </c>
      <c r="I189" s="304">
        <f t="shared" ca="1" si="71"/>
        <v>22.30007668165495</v>
      </c>
      <c r="J189" s="306">
        <f t="shared" ca="1" si="72"/>
        <v>330.0846010830586</v>
      </c>
      <c r="K189" s="307">
        <f t="shared" ca="1" si="73"/>
        <v>1186.0310270335058</v>
      </c>
      <c r="L189" s="304">
        <f t="shared" ca="1" si="58"/>
        <v>1231.1074043146336</v>
      </c>
      <c r="M189" s="306">
        <f t="shared" ca="1" si="74"/>
        <v>0.55256653307457682</v>
      </c>
      <c r="N189" s="304">
        <f t="shared" ca="1" si="75"/>
        <v>31.659730245349262</v>
      </c>
      <c r="P189" s="310">
        <f t="shared" ca="1" si="76"/>
        <v>23</v>
      </c>
      <c r="Q189" s="304">
        <f t="shared" ca="1" si="77"/>
        <v>0</v>
      </c>
      <c r="R189" s="306">
        <f t="shared" ca="1" si="78"/>
        <v>0</v>
      </c>
      <c r="S189" s="307">
        <f t="shared" ca="1" si="79"/>
        <v>2.5949999999999998</v>
      </c>
      <c r="T189" s="304">
        <f t="shared" ca="1" si="59"/>
        <v>25.456949999999999</v>
      </c>
      <c r="U189" s="311">
        <f t="shared" ca="1" si="60"/>
        <v>0</v>
      </c>
      <c r="V189" s="306">
        <f t="shared" ca="1" si="61"/>
        <v>1.087844720064636</v>
      </c>
      <c r="W189" s="304">
        <f t="shared" ca="1" si="62"/>
        <v>1.1077773737571497</v>
      </c>
      <c r="Y189" s="314" t="str">
        <f t="shared" ca="1" si="80"/>
        <v/>
      </c>
      <c r="Z189" s="315" t="str">
        <f t="shared" ca="1" si="81"/>
        <v/>
      </c>
      <c r="AA189" s="316" t="str">
        <f t="shared" ca="1" si="82"/>
        <v/>
      </c>
      <c r="AC189" s="310" t="e">
        <f t="shared" ca="1" si="83"/>
        <v>#N/A</v>
      </c>
      <c r="AD189" s="323" t="e">
        <f t="shared" ca="1" si="84"/>
        <v>#N/A</v>
      </c>
      <c r="AE189" s="324">
        <f t="shared" ca="1" si="63"/>
        <v>1186.0310270335058</v>
      </c>
      <c r="AG189" s="306">
        <f t="shared" ca="1" si="85"/>
        <v>-5.900211602844343</v>
      </c>
      <c r="AH189" s="304">
        <f t="shared" ca="1" si="86"/>
        <v>-0.44924635463833185</v>
      </c>
    </row>
    <row r="190" spans="1:34" x14ac:dyDescent="0.2">
      <c r="A190" s="347">
        <f t="shared" ca="1" si="64"/>
        <v>0.1</v>
      </c>
      <c r="B190" s="304">
        <f t="shared" ca="1" si="65"/>
        <v>12.799999999999949</v>
      </c>
      <c r="D190" s="306">
        <f t="shared" ca="1" si="66"/>
        <v>-0.36335961099314551</v>
      </c>
      <c r="E190" s="307">
        <f t="shared" ca="1" si="67"/>
        <v>-10.034062824213992</v>
      </c>
      <c r="F190" s="304">
        <f t="shared" ca="1" si="68"/>
        <v>10.040639768818238</v>
      </c>
      <c r="G190" s="306">
        <f t="shared" ca="1" si="69"/>
        <v>18.945048251477864</v>
      </c>
      <c r="H190" s="307">
        <f t="shared" ca="1" si="70"/>
        <v>10.701313850166851</v>
      </c>
      <c r="I190" s="304">
        <f t="shared" ca="1" si="71"/>
        <v>21.758514916478038</v>
      </c>
      <c r="J190" s="306">
        <f t="shared" ca="1" si="72"/>
        <v>331.98092270626137</v>
      </c>
      <c r="K190" s="307">
        <f t="shared" ca="1" si="73"/>
        <v>1187.1513287326436</v>
      </c>
      <c r="L190" s="304">
        <f t="shared" ca="1" si="58"/>
        <v>1232.6960737962063</v>
      </c>
      <c r="M190" s="306">
        <f t="shared" ca="1" si="74"/>
        <v>0.51418096801382962</v>
      </c>
      <c r="N190" s="304">
        <f t="shared" ca="1" si="75"/>
        <v>29.460399373143616</v>
      </c>
      <c r="P190" s="310">
        <f t="shared" ca="1" si="76"/>
        <v>23</v>
      </c>
      <c r="Q190" s="304">
        <f t="shared" ca="1" si="77"/>
        <v>0</v>
      </c>
      <c r="R190" s="306">
        <f t="shared" ca="1" si="78"/>
        <v>0</v>
      </c>
      <c r="S190" s="307">
        <f t="shared" ca="1" si="79"/>
        <v>2.5949999999999998</v>
      </c>
      <c r="T190" s="304">
        <f t="shared" ca="1" si="59"/>
        <v>25.456949999999999</v>
      </c>
      <c r="U190" s="311">
        <f t="shared" ca="1" si="60"/>
        <v>0</v>
      </c>
      <c r="V190" s="306">
        <f t="shared" ca="1" si="61"/>
        <v>1.0877224250080928</v>
      </c>
      <c r="W190" s="304">
        <f t="shared" ca="1" si="62"/>
        <v>1.0545069634672217</v>
      </c>
      <c r="Y190" s="314" t="str">
        <f t="shared" ca="1" si="80"/>
        <v/>
      </c>
      <c r="Z190" s="315" t="str">
        <f t="shared" ca="1" si="81"/>
        <v/>
      </c>
      <c r="AA190" s="316" t="str">
        <f t="shared" ca="1" si="82"/>
        <v/>
      </c>
      <c r="AC190" s="310" t="e">
        <f t="shared" ca="1" si="83"/>
        <v>#N/A</v>
      </c>
      <c r="AD190" s="323" t="e">
        <f t="shared" ca="1" si="84"/>
        <v>#N/A</v>
      </c>
      <c r="AE190" s="324">
        <f t="shared" ca="1" si="63"/>
        <v>1187.1513287326436</v>
      </c>
      <c r="AG190" s="306">
        <f t="shared" ca="1" si="85"/>
        <v>-5.5758985634393108</v>
      </c>
      <c r="AH190" s="304">
        <f t="shared" ca="1" si="86"/>
        <v>-0.42688916137077065</v>
      </c>
    </row>
    <row r="191" spans="1:34" x14ac:dyDescent="0.2">
      <c r="A191" s="347">
        <f t="shared" ca="1" si="64"/>
        <v>0.1</v>
      </c>
      <c r="B191" s="304">
        <f t="shared" ca="1" si="65"/>
        <v>12.899999999999949</v>
      </c>
      <c r="D191" s="306">
        <f t="shared" ca="1" si="66"/>
        <v>-0.35381688557245328</v>
      </c>
      <c r="E191" s="307">
        <f t="shared" ca="1" si="67"/>
        <v>-10.00985726548382</v>
      </c>
      <c r="F191" s="304">
        <f t="shared" ca="1" si="68"/>
        <v>10.016108469055006</v>
      </c>
      <c r="G191" s="306">
        <f t="shared" ca="1" si="69"/>
        <v>18.90966656292062</v>
      </c>
      <c r="H191" s="307">
        <f t="shared" ca="1" si="70"/>
        <v>9.7003281236184691</v>
      </c>
      <c r="I191" s="304">
        <f t="shared" ca="1" si="71"/>
        <v>21.252572908396328</v>
      </c>
      <c r="J191" s="306">
        <f t="shared" ca="1" si="72"/>
        <v>333.87365844698127</v>
      </c>
      <c r="K191" s="307">
        <f t="shared" ca="1" si="73"/>
        <v>1188.1714108313329</v>
      </c>
      <c r="L191" s="304">
        <f t="shared" ca="1" si="58"/>
        <v>1234.1891756621801</v>
      </c>
      <c r="M191" s="306">
        <f t="shared" ca="1" si="74"/>
        <v>0.4739795894960851</v>
      </c>
      <c r="N191" s="304">
        <f t="shared" ca="1" si="75"/>
        <v>27.157030053468961</v>
      </c>
      <c r="P191" s="310">
        <f t="shared" ca="1" si="76"/>
        <v>23</v>
      </c>
      <c r="Q191" s="304">
        <f t="shared" ca="1" si="77"/>
        <v>0</v>
      </c>
      <c r="R191" s="306">
        <f t="shared" ca="1" si="78"/>
        <v>0</v>
      </c>
      <c r="S191" s="307">
        <f t="shared" ca="1" si="79"/>
        <v>2.5949999999999998</v>
      </c>
      <c r="T191" s="304">
        <f t="shared" ca="1" si="59"/>
        <v>25.456949999999999</v>
      </c>
      <c r="U191" s="311">
        <f t="shared" ca="1" si="60"/>
        <v>0</v>
      </c>
      <c r="V191" s="306">
        <f t="shared" ca="1" si="61"/>
        <v>1.0876110814334523</v>
      </c>
      <c r="W191" s="304">
        <f t="shared" ca="1" si="62"/>
        <v>1.0059340821051295</v>
      </c>
      <c r="Y191" s="314" t="str">
        <f t="shared" ca="1" si="80"/>
        <v/>
      </c>
      <c r="Z191" s="315" t="str">
        <f t="shared" ca="1" si="81"/>
        <v/>
      </c>
      <c r="AA191" s="316" t="str">
        <f t="shared" ca="1" si="82"/>
        <v/>
      </c>
      <c r="AC191" s="310" t="e">
        <f t="shared" ca="1" si="83"/>
        <v>#N/A</v>
      </c>
      <c r="AD191" s="323" t="e">
        <f t="shared" ca="1" si="84"/>
        <v>#N/A</v>
      </c>
      <c r="AE191" s="324">
        <f t="shared" ca="1" si="63"/>
        <v>1188.1714108313329</v>
      </c>
      <c r="AG191" s="306">
        <f t="shared" ca="1" si="85"/>
        <v>-5.2311337699097384</v>
      </c>
      <c r="AH191" s="304">
        <f t="shared" ca="1" si="86"/>
        <v>-0.40636106491993135</v>
      </c>
    </row>
    <row r="192" spans="1:34" x14ac:dyDescent="0.2">
      <c r="A192" s="347">
        <f t="shared" ca="1" si="64"/>
        <v>0.1</v>
      </c>
      <c r="B192" s="304">
        <f t="shared" ca="1" si="65"/>
        <v>12.999999999999948</v>
      </c>
      <c r="D192" s="306">
        <f t="shared" ca="1" si="66"/>
        <v>-0.34490899193388919</v>
      </c>
      <c r="E192" s="307">
        <f t="shared" ca="1" si="67"/>
        <v>-9.9869322787058419</v>
      </c>
      <c r="F192" s="304">
        <f t="shared" ca="1" si="68"/>
        <v>9.9928863974416071</v>
      </c>
      <c r="G192" s="306">
        <f t="shared" ca="1" si="69"/>
        <v>18.87517566372723</v>
      </c>
      <c r="H192" s="307">
        <f t="shared" ca="1" si="70"/>
        <v>8.7016348957478851</v>
      </c>
      <c r="I192" s="304">
        <f t="shared" ca="1" si="71"/>
        <v>20.784386115434298</v>
      </c>
      <c r="J192" s="306">
        <f t="shared" ca="1" si="72"/>
        <v>335.76290055831367</v>
      </c>
      <c r="K192" s="307">
        <f t="shared" ca="1" si="73"/>
        <v>1189.0915089823011</v>
      </c>
      <c r="L192" s="304">
        <f t="shared" ca="1" si="58"/>
        <v>1235.5870435243071</v>
      </c>
      <c r="M192" s="306">
        <f t="shared" ca="1" si="74"/>
        <v>0.43197159963259785</v>
      </c>
      <c r="N192" s="304">
        <f t="shared" ca="1" si="75"/>
        <v>24.750149528462799</v>
      </c>
      <c r="P192" s="310">
        <f t="shared" ca="1" si="76"/>
        <v>23</v>
      </c>
      <c r="Q192" s="304">
        <f t="shared" ca="1" si="77"/>
        <v>0</v>
      </c>
      <c r="R192" s="306">
        <f t="shared" ca="1" si="78"/>
        <v>0</v>
      </c>
      <c r="S192" s="307">
        <f t="shared" ca="1" si="79"/>
        <v>2.5949999999999998</v>
      </c>
      <c r="T192" s="304">
        <f t="shared" ca="1" si="59"/>
        <v>25.456949999999999</v>
      </c>
      <c r="U192" s="311">
        <f t="shared" ca="1" si="60"/>
        <v>0</v>
      </c>
      <c r="V192" s="306">
        <f t="shared" ca="1" si="61"/>
        <v>1.0875106604607532</v>
      </c>
      <c r="W192" s="304">
        <f t="shared" ca="1" si="62"/>
        <v>0.96201267881493757</v>
      </c>
      <c r="Y192" s="314" t="str">
        <f t="shared" ca="1" si="80"/>
        <v/>
      </c>
      <c r="Z192" s="315" t="str">
        <f t="shared" ca="1" si="81"/>
        <v/>
      </c>
      <c r="AA192" s="316" t="str">
        <f t="shared" ca="1" si="82"/>
        <v/>
      </c>
      <c r="AC192" s="310">
        <f t="shared" ca="1" si="83"/>
        <v>12.999999999999948</v>
      </c>
      <c r="AD192" s="323">
        <f t="shared" ca="1" si="84"/>
        <v>335.76290055831367</v>
      </c>
      <c r="AE192" s="324">
        <f t="shared" ca="1" si="63"/>
        <v>1189.0915089823011</v>
      </c>
      <c r="AG192" s="306">
        <f t="shared" ca="1" si="85"/>
        <v>-4.8652290021306648</v>
      </c>
      <c r="AH192" s="304">
        <f t="shared" ca="1" si="86"/>
        <v>-0.38764319156267035</v>
      </c>
    </row>
    <row r="193" spans="1:34" x14ac:dyDescent="0.2">
      <c r="A193" s="347">
        <f t="shared" ca="1" si="64"/>
        <v>0.1</v>
      </c>
      <c r="B193" s="304">
        <f t="shared" ca="1" si="65"/>
        <v>13.099999999999948</v>
      </c>
      <c r="D193" s="306">
        <f t="shared" ca="1" si="66"/>
        <v>-0.33666443017261827</v>
      </c>
      <c r="E193" s="307">
        <f t="shared" ca="1" si="67"/>
        <v>-9.9652054934978374</v>
      </c>
      <c r="F193" s="304">
        <f t="shared" ca="1" si="68"/>
        <v>9.9708908060505266</v>
      </c>
      <c r="G193" s="306">
        <f t="shared" ca="1" si="69"/>
        <v>18.84150922070997</v>
      </c>
      <c r="H193" s="307">
        <f t="shared" ca="1" si="70"/>
        <v>7.7051143463981013</v>
      </c>
      <c r="I193" s="304">
        <f t="shared" ca="1" si="71"/>
        <v>20.356111043251083</v>
      </c>
      <c r="J193" s="306">
        <f t="shared" ca="1" si="72"/>
        <v>337.64873480253556</v>
      </c>
      <c r="K193" s="307">
        <f t="shared" ca="1" si="73"/>
        <v>1189.9118464444084</v>
      </c>
      <c r="L193" s="304">
        <f t="shared" ca="1" si="58"/>
        <v>1236.8899993218856</v>
      </c>
      <c r="M193" s="306">
        <f t="shared" ca="1" si="74"/>
        <v>0.38819250922310233</v>
      </c>
      <c r="N193" s="304">
        <f t="shared" ca="1" si="75"/>
        <v>22.241792417077047</v>
      </c>
      <c r="P193" s="310">
        <f t="shared" ca="1" si="76"/>
        <v>23</v>
      </c>
      <c r="Q193" s="304">
        <f t="shared" ca="1" si="77"/>
        <v>0</v>
      </c>
      <c r="R193" s="306">
        <f t="shared" ca="1" si="78"/>
        <v>0</v>
      </c>
      <c r="S193" s="307">
        <f t="shared" ca="1" si="79"/>
        <v>2.5949999999999998</v>
      </c>
      <c r="T193" s="304">
        <f t="shared" ca="1" si="59"/>
        <v>25.456949999999999</v>
      </c>
      <c r="U193" s="311">
        <f t="shared" ca="1" si="60"/>
        <v>0</v>
      </c>
      <c r="V193" s="306">
        <f t="shared" ca="1" si="61"/>
        <v>1.087421134881787</v>
      </c>
      <c r="W193" s="304">
        <f t="shared" ca="1" si="62"/>
        <v>0.92269944975226925</v>
      </c>
      <c r="Y193" s="314" t="str">
        <f t="shared" ca="1" si="80"/>
        <v/>
      </c>
      <c r="Z193" s="315" t="str">
        <f t="shared" ca="1" si="81"/>
        <v/>
      </c>
      <c r="AA193" s="316" t="str">
        <f t="shared" ca="1" si="82"/>
        <v/>
      </c>
      <c r="AC193" s="310" t="e">
        <f t="shared" ca="1" si="83"/>
        <v>#N/A</v>
      </c>
      <c r="AD193" s="323" t="e">
        <f t="shared" ca="1" si="84"/>
        <v>#N/A</v>
      </c>
      <c r="AE193" s="324">
        <f t="shared" ca="1" si="63"/>
        <v>1189.9118464444084</v>
      </c>
      <c r="AG193" s="306">
        <f t="shared" ca="1" si="85"/>
        <v>-4.4777930706187421</v>
      </c>
      <c r="AH193" s="304">
        <f t="shared" ca="1" si="86"/>
        <v>-0.37071779530440757</v>
      </c>
    </row>
    <row r="194" spans="1:34" x14ac:dyDescent="0.2">
      <c r="A194" s="347">
        <f t="shared" ca="1" si="64"/>
        <v>0.1</v>
      </c>
      <c r="B194" s="304">
        <f t="shared" ca="1" si="65"/>
        <v>13.199999999999948</v>
      </c>
      <c r="D194" s="306">
        <f t="shared" ca="1" si="66"/>
        <v>-0.32911204366580032</v>
      </c>
      <c r="E194" s="307">
        <f t="shared" ca="1" si="67"/>
        <v>-9.9445882593329866</v>
      </c>
      <c r="F194" s="304">
        <f t="shared" ca="1" si="68"/>
        <v>9.9500326826070964</v>
      </c>
      <c r="G194" s="306">
        <f t="shared" ca="1" si="69"/>
        <v>18.808598016343389</v>
      </c>
      <c r="H194" s="307">
        <f t="shared" ca="1" si="70"/>
        <v>6.7106555204648028</v>
      </c>
      <c r="I194" s="304">
        <f t="shared" ca="1" si="71"/>
        <v>19.969883746650634</v>
      </c>
      <c r="J194" s="306">
        <f t="shared" ca="1" si="72"/>
        <v>339.53124016438824</v>
      </c>
      <c r="K194" s="307">
        <f t="shared" ca="1" si="73"/>
        <v>1190.6326349377516</v>
      </c>
      <c r="L194" s="304">
        <f t="shared" ca="1" si="58"/>
        <v>1238.0983541005055</v>
      </c>
      <c r="M194" s="306">
        <f t="shared" ca="1" si="74"/>
        <v>0.34270793799967203</v>
      </c>
      <c r="N194" s="304">
        <f t="shared" ca="1" si="75"/>
        <v>19.635718453012295</v>
      </c>
      <c r="P194" s="310">
        <f t="shared" ca="1" si="76"/>
        <v>23</v>
      </c>
      <c r="Q194" s="304">
        <f t="shared" ca="1" si="77"/>
        <v>0</v>
      </c>
      <c r="R194" s="306">
        <f t="shared" ca="1" si="78"/>
        <v>0</v>
      </c>
      <c r="S194" s="307">
        <f t="shared" ca="1" si="79"/>
        <v>2.5949999999999998</v>
      </c>
      <c r="T194" s="304">
        <f t="shared" ca="1" si="59"/>
        <v>25.456949999999999</v>
      </c>
      <c r="U194" s="311">
        <f t="shared" ca="1" si="60"/>
        <v>0</v>
      </c>
      <c r="V194" s="306">
        <f t="shared" ca="1" si="61"/>
        <v>1.087342479063695</v>
      </c>
      <c r="W194" s="304">
        <f t="shared" ca="1" si="62"/>
        <v>0.88795365175688878</v>
      </c>
      <c r="Y194" s="314" t="str">
        <f t="shared" ca="1" si="80"/>
        <v/>
      </c>
      <c r="Z194" s="315" t="str">
        <f t="shared" ca="1" si="81"/>
        <v/>
      </c>
      <c r="AA194" s="316" t="str">
        <f t="shared" ca="1" si="82"/>
        <v/>
      </c>
      <c r="AC194" s="310" t="e">
        <f t="shared" ca="1" si="83"/>
        <v>#N/A</v>
      </c>
      <c r="AD194" s="323" t="e">
        <f t="shared" ca="1" si="84"/>
        <v>#N/A</v>
      </c>
      <c r="AE194" s="324">
        <f t="shared" ca="1" si="63"/>
        <v>1190.6326349377516</v>
      </c>
      <c r="AG194" s="306">
        <f t="shared" ca="1" si="85"/>
        <v>-4.0688104469171025</v>
      </c>
      <c r="AH194" s="304">
        <f t="shared" ca="1" si="86"/>
        <v>-0.35556818872919821</v>
      </c>
    </row>
    <row r="195" spans="1:34" x14ac:dyDescent="0.2">
      <c r="A195" s="347">
        <f t="shared" ca="1" si="64"/>
        <v>0.1</v>
      </c>
      <c r="B195" s="304">
        <f t="shared" ca="1" si="65"/>
        <v>13.299999999999947</v>
      </c>
      <c r="D195" s="306">
        <f t="shared" ca="1" si="66"/>
        <v>-0.32228034764575081</v>
      </c>
      <c r="E195" s="307">
        <f t="shared" ca="1" si="67"/>
        <v>-9.9249853057727666</v>
      </c>
      <c r="F195" s="304">
        <f t="shared" ca="1" si="68"/>
        <v>9.9302164096400229</v>
      </c>
      <c r="G195" s="306">
        <f t="shared" ca="1" si="69"/>
        <v>18.776369981578814</v>
      </c>
      <c r="H195" s="307">
        <f t="shared" ca="1" si="70"/>
        <v>5.7181569898875262</v>
      </c>
      <c r="I195" s="304">
        <f t="shared" ca="1" si="71"/>
        <v>19.627770862890507</v>
      </c>
      <c r="J195" s="306">
        <f t="shared" ca="1" si="72"/>
        <v>341.41048856428432</v>
      </c>
      <c r="K195" s="307">
        <f t="shared" ca="1" si="73"/>
        <v>1191.2540755632692</v>
      </c>
      <c r="L195" s="304">
        <f t="shared" ca="1" si="58"/>
        <v>1239.2124088499932</v>
      </c>
      <c r="M195" s="306">
        <f t="shared" ca="1" si="74"/>
        <v>0.29561677225570182</v>
      </c>
      <c r="N195" s="304">
        <f t="shared" ca="1" si="75"/>
        <v>16.937593403531764</v>
      </c>
      <c r="P195" s="310">
        <f t="shared" ca="1" si="76"/>
        <v>23</v>
      </c>
      <c r="Q195" s="304">
        <f t="shared" ca="1" si="77"/>
        <v>0</v>
      </c>
      <c r="R195" s="306">
        <f t="shared" ca="1" si="78"/>
        <v>0</v>
      </c>
      <c r="S195" s="307">
        <f t="shared" ca="1" si="79"/>
        <v>2.5949999999999998</v>
      </c>
      <c r="T195" s="304">
        <f t="shared" ca="1" si="59"/>
        <v>25.456949999999999</v>
      </c>
      <c r="U195" s="311">
        <f t="shared" ca="1" si="60"/>
        <v>0</v>
      </c>
      <c r="V195" s="306">
        <f t="shared" ca="1" si="61"/>
        <v>1.0872746688457875</v>
      </c>
      <c r="W195" s="304">
        <f t="shared" ca="1" si="62"/>
        <v>0.85773690829254201</v>
      </c>
      <c r="Y195" s="314" t="str">
        <f t="shared" ca="1" si="80"/>
        <v/>
      </c>
      <c r="Z195" s="315" t="str">
        <f t="shared" ca="1" si="81"/>
        <v/>
      </c>
      <c r="AA195" s="316" t="str">
        <f t="shared" ca="1" si="82"/>
        <v/>
      </c>
      <c r="AC195" s="310" t="e">
        <f t="shared" ca="1" si="83"/>
        <v>#N/A</v>
      </c>
      <c r="AD195" s="323" t="e">
        <f t="shared" ca="1" si="84"/>
        <v>#N/A</v>
      </c>
      <c r="AE195" s="324">
        <f t="shared" ca="1" si="63"/>
        <v>1191.2540755632692</v>
      </c>
      <c r="AG195" s="306">
        <f t="shared" ca="1" si="85"/>
        <v>-3.638719176436858</v>
      </c>
      <c r="AH195" s="304">
        <f t="shared" ca="1" si="86"/>
        <v>-0.3421786711972597</v>
      </c>
    </row>
    <row r="196" spans="1:34" x14ac:dyDescent="0.2">
      <c r="A196" s="347">
        <f t="shared" ca="1" si="64"/>
        <v>0.1</v>
      </c>
      <c r="B196" s="304">
        <f t="shared" ca="1" si="65"/>
        <v>13.399999999999947</v>
      </c>
      <c r="D196" s="306">
        <f t="shared" ca="1" si="66"/>
        <v>-0.31619674208002563</v>
      </c>
      <c r="E196" s="307">
        <f t="shared" ca="1" si="67"/>
        <v>-9.906294577315979</v>
      </c>
      <c r="F196" s="304">
        <f t="shared" ca="1" si="68"/>
        <v>9.9113395982713648</v>
      </c>
      <c r="G196" s="306">
        <f t="shared" ca="1" si="69"/>
        <v>18.744750307370811</v>
      </c>
      <c r="H196" s="307">
        <f t="shared" ca="1" si="70"/>
        <v>4.7275275321559285</v>
      </c>
      <c r="I196" s="304">
        <f t="shared" ca="1" si="71"/>
        <v>19.331714374389314</v>
      </c>
      <c r="J196" s="306">
        <f t="shared" ca="1" si="72"/>
        <v>343.28654457873182</v>
      </c>
      <c r="K196" s="307">
        <f t="shared" ca="1" si="73"/>
        <v>1191.7763597893713</v>
      </c>
      <c r="L196" s="304">
        <f t="shared" ref="L196:L259" ca="1" si="87">SQRT(pos_x^2+pos_z^2)</f>
        <v>1240.2324554056834</v>
      </c>
      <c r="M196" s="306">
        <f t="shared" ca="1" si="74"/>
        <v>0.24705326838927411</v>
      </c>
      <c r="N196" s="304">
        <f t="shared" ca="1" si="75"/>
        <v>14.155109593618199</v>
      </c>
      <c r="P196" s="310">
        <f t="shared" ca="1" si="76"/>
        <v>23</v>
      </c>
      <c r="Q196" s="304">
        <f t="shared" ca="1" si="77"/>
        <v>0</v>
      </c>
      <c r="R196" s="306">
        <f t="shared" ca="1" si="78"/>
        <v>0</v>
      </c>
      <c r="S196" s="307">
        <f t="shared" ca="1" si="79"/>
        <v>2.5949999999999998</v>
      </c>
      <c r="T196" s="304">
        <f t="shared" ref="T196:T259" ca="1" si="88">m*g</f>
        <v>25.456949999999999</v>
      </c>
      <c r="U196" s="311">
        <f t="shared" ref="U196:U259" ca="1" si="89">IF(pos_xz&lt;L_rampe,Poids*COS(Beta),0)</f>
        <v>0</v>
      </c>
      <c r="V196" s="306">
        <f t="shared" ref="V196:V259" ca="1" si="90">Rho_moyen*(20000-Alt_rampe-pos_z)/(20000+Alt_rampe+pos_z)</f>
        <v>1.0872176814292798</v>
      </c>
      <c r="W196" s="304">
        <f t="shared" ref="W196:W259" ca="1" si="91">1/2*Rho*Sref*Cx*vit_xz^2</f>
        <v>0.83201300708593295</v>
      </c>
      <c r="Y196" s="314" t="str">
        <f t="shared" ca="1" si="80"/>
        <v/>
      </c>
      <c r="Z196" s="315" t="str">
        <f t="shared" ca="1" si="81"/>
        <v/>
      </c>
      <c r="AA196" s="316" t="str">
        <f t="shared" ca="1" si="82"/>
        <v/>
      </c>
      <c r="AC196" s="310" t="e">
        <f t="shared" ca="1" si="83"/>
        <v>#N/A</v>
      </c>
      <c r="AD196" s="323" t="e">
        <f t="shared" ca="1" si="84"/>
        <v>#N/A</v>
      </c>
      <c r="AE196" s="324">
        <f t="shared" ref="AE196:AE259" ca="1" si="92">IF(t&lt;T_para, pos_z, NA())</f>
        <v>1191.7763597893713</v>
      </c>
      <c r="AG196" s="306">
        <f t="shared" ca="1" si="85"/>
        <v>-3.1884810065595164</v>
      </c>
      <c r="AH196" s="304">
        <f t="shared" ca="1" si="86"/>
        <v>-0.33053445406263665</v>
      </c>
    </row>
    <row r="197" spans="1:34" x14ac:dyDescent="0.2">
      <c r="A197" s="347">
        <f t="shared" ref="A197:A260" ca="1" si="93">IF(B196+0.01&lt;=T_ini+ROUNDUP(Temps_fin_propu,0), 0.01, IF(K196&gt;0, 0.1, 0.0001))</f>
        <v>0.1</v>
      </c>
      <c r="B197" s="304">
        <f t="shared" ref="B197:B260" ca="1" si="94">B196+pas</f>
        <v>13.499999999999947</v>
      </c>
      <c r="D197" s="306">
        <f t="shared" ref="D197:D260" ca="1" si="95">IF(AND(L196&lt;L_rampe,Poussee&lt;Poids*SIN(M196)),0,(-W196+Poussee)/m*COS(M196)-U196/m*SIN(M196))</f>
        <v>-0.31088662879682299</v>
      </c>
      <c r="E197" s="307">
        <f t="shared" ref="E197:E260" ca="1" si="96">IF(AND(L196&lt;L_rampe,Poussee&lt;Poids*SIN(M196)),0,(-W196+Poussee)/m*SIN(M196)+U196/m*COS(M196)-Poids/m)</f>
        <v>-9.8884072912637411</v>
      </c>
      <c r="F197" s="304">
        <f t="shared" ref="F197:F260" ca="1" si="97">SQRT(acc_x^2+acc_z^2)</f>
        <v>9.8932931450494568</v>
      </c>
      <c r="G197" s="306">
        <f t="shared" ref="G197:G260" ca="1" si="98">G196+acc_x*pas</f>
        <v>18.713661644491129</v>
      </c>
      <c r="H197" s="307">
        <f t="shared" ref="H197:H260" ca="1" si="99">H196+acc_z*pas</f>
        <v>3.7386868030295544</v>
      </c>
      <c r="I197" s="304">
        <f t="shared" ref="I197:I260" ca="1" si="100">SQRT(vit_x^2+vit_z^2)</f>
        <v>19.083472198623756</v>
      </c>
      <c r="J197" s="306">
        <f t="shared" ref="J197:J260" ca="1" si="101">J196+0.5*(vit_x+G196)*pas*(K196&gt;=0)</f>
        <v>345.15946517632494</v>
      </c>
      <c r="K197" s="307">
        <f t="shared" ref="K197:K260" ca="1" si="102">K196+0.5*(vit_z+H196)*pas</f>
        <v>1192.1996705061306</v>
      </c>
      <c r="L197" s="304">
        <f t="shared" ca="1" si="87"/>
        <v>1241.1587774155782</v>
      </c>
      <c r="M197" s="306">
        <f t="shared" ref="M197:M260" ca="1" si="103">IF(AND(L196&gt;L_rampe,G197&gt;0),ATAN2(G197,H197),$M$4)</f>
        <v>0.19718768549257784</v>
      </c>
      <c r="N197" s="304">
        <f t="shared" ref="N197:N260" ca="1" si="104">DEGREES(Beta)</f>
        <v>11.298022150677761</v>
      </c>
      <c r="P197" s="310">
        <f t="shared" ref="P197:P260" ca="1" si="105">MATCH(t-pas/2-T_ini,CdP_t)</f>
        <v>23</v>
      </c>
      <c r="Q197" s="304">
        <f t="shared" ref="Q197:Q260" ca="1" si="106">(INDEX(CdP,2,i_P+1)-INDEX(CdP,2,i_P+0))/(INDEX(CdP,1,i_P+1)-INDEX(CdP,1,i_P+0))*(t-pas/2-T_ini-INDEX(CdP,1,i_P+0))+INDEX(CdP,2,i_P+0)</f>
        <v>0</v>
      </c>
      <c r="R197" s="306">
        <f t="shared" ref="R197:R260" ca="1" si="107">Poussee/(g*ISP)</f>
        <v>0</v>
      </c>
      <c r="S197" s="307">
        <f t="shared" ref="S197:S260" ca="1" si="108">S196-Débit*pas</f>
        <v>2.5949999999999998</v>
      </c>
      <c r="T197" s="304">
        <f t="shared" ca="1" si="88"/>
        <v>25.456949999999999</v>
      </c>
      <c r="U197" s="311">
        <f t="shared" ca="1" si="89"/>
        <v>0</v>
      </c>
      <c r="V197" s="306">
        <f t="shared" ca="1" si="90"/>
        <v>1.0871714952598754</v>
      </c>
      <c r="W197" s="304">
        <f t="shared" ca="1" si="91"/>
        <v>0.81074768926160401</v>
      </c>
      <c r="Y197" s="314" t="str">
        <f t="shared" ref="Y197:Y260" ca="1" si="109">IF(AND(pos_z&lt;=0,K196&gt;0),"Impact balistique","") &amp; IF(AND(H198&lt;0,vit_z&gt;=0),"Apogée","") &amp; IF(AND(Poussee=0,Q196&gt;0),"Fin de propulsion","") &amp; IF(AND(L198&gt;L_rampe,pos_xz&lt;=L_rampe),"Sortie de rampe","")</f>
        <v/>
      </c>
      <c r="Z197" s="315" t="str">
        <f t="shared" ref="Z197:Z260" ca="1" si="110">IF(ABS(t-T_para)&lt;pas/2,"Para","")</f>
        <v/>
      </c>
      <c r="AA197" s="316" t="str">
        <f t="shared" ref="AA197:AA260" ca="1" si="111">IF(ABS(t-T_satellite)&lt;pas/2,"Satellite","")</f>
        <v/>
      </c>
      <c r="AC197" s="310" t="e">
        <f t="shared" ref="AC197:AC260" ca="1" si="112">IF(ABS(t-ROUND(t,0))&lt;0.001,t,NA())</f>
        <v>#N/A</v>
      </c>
      <c r="AD197" s="323" t="e">
        <f t="shared" ref="AD197:AD260" ca="1" si="113">IF(ABS(t-ROUND(t,0))&lt;0.001,pos_x,NA())</f>
        <v>#N/A</v>
      </c>
      <c r="AE197" s="324">
        <f t="shared" ca="1" si="92"/>
        <v>1192.1996705061306</v>
      </c>
      <c r="AG197" s="306">
        <f t="shared" ref="AG197:AG260" ca="1" si="114">IF(AND(L196&lt;L_rampe,Poussee&lt;Poids*SIN(M196)),0,(-W196+Poussee)/m-Poids*SIN(M196)/m)</f>
        <v>-2.7196351513950159</v>
      </c>
      <c r="AH197" s="304">
        <f t="shared" ref="AH197:AH260" ca="1" si="115">IF(AND(L196&lt;L_rampe,Poussee&lt;Poids*SIN(M196)), g*SIN(M196), (-W196+Poussee)/m)</f>
        <v>-0.32062158269207441</v>
      </c>
    </row>
    <row r="198" spans="1:34" x14ac:dyDescent="0.2">
      <c r="A198" s="347">
        <f t="shared" ca="1" si="93"/>
        <v>0.1</v>
      </c>
      <c r="B198" s="304">
        <f t="shared" ca="1" si="94"/>
        <v>13.599999999999946</v>
      </c>
      <c r="D198" s="306">
        <f t="shared" ca="1" si="95"/>
        <v>-0.3063724670300732</v>
      </c>
      <c r="E198" s="307">
        <f t="shared" ca="1" si="96"/>
        <v>-9.8712082616997687</v>
      </c>
      <c r="F198" s="304">
        <f t="shared" ca="1" si="97"/>
        <v>9.8759615549273914</v>
      </c>
      <c r="G198" s="306">
        <f t="shared" ca="1" si="98"/>
        <v>18.68302439778812</v>
      </c>
      <c r="H198" s="307">
        <f t="shared" ca="1" si="99"/>
        <v>2.7515659768595775</v>
      </c>
      <c r="I198" s="304">
        <f t="shared" ca="1" si="100"/>
        <v>18.884557605974184</v>
      </c>
      <c r="J198" s="306">
        <f t="shared" ca="1" si="101"/>
        <v>347.02929947843893</v>
      </c>
      <c r="K198" s="307">
        <f t="shared" ca="1" si="102"/>
        <v>1192.5241831451251</v>
      </c>
      <c r="L198" s="304">
        <f t="shared" ca="1" si="87"/>
        <v>1241.9916513738906</v>
      </c>
      <c r="M198" s="306">
        <f t="shared" ca="1" si="103"/>
        <v>0.14622508565953099</v>
      </c>
      <c r="N198" s="304">
        <f t="shared" ca="1" si="104"/>
        <v>8.3780802672300627</v>
      </c>
      <c r="P198" s="310">
        <f t="shared" ca="1" si="105"/>
        <v>23</v>
      </c>
      <c r="Q198" s="304">
        <f t="shared" ca="1" si="106"/>
        <v>0</v>
      </c>
      <c r="R198" s="306">
        <f t="shared" ca="1" si="107"/>
        <v>0</v>
      </c>
      <c r="S198" s="307">
        <f t="shared" ca="1" si="108"/>
        <v>2.5949999999999998</v>
      </c>
      <c r="T198" s="304">
        <f t="shared" ca="1" si="88"/>
        <v>25.456949999999999</v>
      </c>
      <c r="U198" s="311">
        <f t="shared" ca="1" si="89"/>
        <v>0</v>
      </c>
      <c r="V198" s="306">
        <f t="shared" ca="1" si="90"/>
        <v>1.0871360899033806</v>
      </c>
      <c r="W198" s="304">
        <f t="shared" ca="1" si="91"/>
        <v>0.79390843021256385</v>
      </c>
      <c r="Y198" s="314" t="str">
        <f t="shared" ca="1" si="109"/>
        <v/>
      </c>
      <c r="Z198" s="315" t="str">
        <f t="shared" ca="1" si="110"/>
        <v/>
      </c>
      <c r="AA198" s="316" t="str">
        <f t="shared" ca="1" si="111"/>
        <v/>
      </c>
      <c r="AC198" s="310" t="e">
        <f t="shared" ca="1" si="112"/>
        <v>#N/A</v>
      </c>
      <c r="AD198" s="323" t="e">
        <f t="shared" ca="1" si="113"/>
        <v>#N/A</v>
      </c>
      <c r="AE198" s="324">
        <f t="shared" ca="1" si="92"/>
        <v>1192.5241831451251</v>
      </c>
      <c r="AG198" s="306">
        <f t="shared" ca="1" si="114"/>
        <v>-2.2343264527215867</v>
      </c>
      <c r="AH198" s="304">
        <f t="shared" ca="1" si="115"/>
        <v>-0.31242685520678387</v>
      </c>
    </row>
    <row r="199" spans="1:34" x14ac:dyDescent="0.2">
      <c r="A199" s="347">
        <f t="shared" ca="1" si="93"/>
        <v>0.1</v>
      </c>
      <c r="B199" s="304">
        <f t="shared" ca="1" si="94"/>
        <v>13.699999999999946</v>
      </c>
      <c r="D199" s="306">
        <f t="shared" ca="1" si="95"/>
        <v>-0.30267281570780924</v>
      </c>
      <c r="E199" s="307">
        <f t="shared" ca="1" si="96"/>
        <v>-9.8545765205937705</v>
      </c>
      <c r="F199" s="304">
        <f t="shared" ca="1" si="97"/>
        <v>9.8592235613970391</v>
      </c>
      <c r="G199" s="306">
        <f t="shared" ca="1" si="98"/>
        <v>18.652757116217341</v>
      </c>
      <c r="H199" s="307">
        <f t="shared" ca="1" si="99"/>
        <v>1.7661083248002005</v>
      </c>
      <c r="I199" s="304">
        <f t="shared" ca="1" si="100"/>
        <v>18.73618121847473</v>
      </c>
      <c r="J199" s="306">
        <f t="shared" ca="1" si="101"/>
        <v>348.89608855413923</v>
      </c>
      <c r="K199" s="307">
        <f t="shared" ca="1" si="102"/>
        <v>1192.7500668602081</v>
      </c>
      <c r="L199" s="304">
        <f t="shared" ca="1" si="87"/>
        <v>1242.7313477189705</v>
      </c>
      <c r="M199" s="306">
        <f t="shared" ca="1" si="103"/>
        <v>9.4402067323561517E-2</v>
      </c>
      <c r="N199" s="304">
        <f t="shared" ca="1" si="104"/>
        <v>5.4088400349499342</v>
      </c>
      <c r="P199" s="310">
        <f t="shared" ca="1" si="105"/>
        <v>23</v>
      </c>
      <c r="Q199" s="304">
        <f t="shared" ca="1" si="106"/>
        <v>0</v>
      </c>
      <c r="R199" s="306">
        <f t="shared" ca="1" si="107"/>
        <v>0</v>
      </c>
      <c r="S199" s="307">
        <f t="shared" ca="1" si="108"/>
        <v>2.5949999999999998</v>
      </c>
      <c r="T199" s="304">
        <f t="shared" ca="1" si="88"/>
        <v>25.456949999999999</v>
      </c>
      <c r="U199" s="311">
        <f t="shared" ca="1" si="89"/>
        <v>0</v>
      </c>
      <c r="V199" s="306">
        <f t="shared" ca="1" si="90"/>
        <v>1.0871114459148412</v>
      </c>
      <c r="W199" s="304">
        <f t="shared" ca="1" si="91"/>
        <v>0.78146421295148472</v>
      </c>
      <c r="Y199" s="314" t="str">
        <f t="shared" ca="1" si="109"/>
        <v/>
      </c>
      <c r="Z199" s="315" t="str">
        <f t="shared" ca="1" si="110"/>
        <v/>
      </c>
      <c r="AA199" s="316" t="str">
        <f t="shared" ca="1" si="111"/>
        <v/>
      </c>
      <c r="AC199" s="310" t="e">
        <f t="shared" ca="1" si="112"/>
        <v>#N/A</v>
      </c>
      <c r="AD199" s="323" t="e">
        <f t="shared" ca="1" si="113"/>
        <v>#N/A</v>
      </c>
      <c r="AE199" s="324">
        <f t="shared" ca="1" si="92"/>
        <v>1192.7500668602081</v>
      </c>
      <c r="AG199" s="306">
        <f t="shared" ca="1" si="114"/>
        <v>-1.7352993781794648</v>
      </c>
      <c r="AH199" s="304">
        <f t="shared" ca="1" si="115"/>
        <v>-0.30593773803952368</v>
      </c>
    </row>
    <row r="200" spans="1:34" x14ac:dyDescent="0.2">
      <c r="A200" s="347">
        <f t="shared" ca="1" si="93"/>
        <v>0.1</v>
      </c>
      <c r="B200" s="304">
        <f t="shared" ca="1" si="94"/>
        <v>13.799999999999946</v>
      </c>
      <c r="D200" s="306">
        <f t="shared" ca="1" si="95"/>
        <v>-0.29980142242111651</v>
      </c>
      <c r="E200" s="307">
        <f t="shared" ca="1" si="96"/>
        <v>-9.8383862479217363</v>
      </c>
      <c r="F200" s="304">
        <f t="shared" ca="1" si="97"/>
        <v>9.8429530556729397</v>
      </c>
      <c r="G200" s="306">
        <f t="shared" ca="1" si="98"/>
        <v>18.622776973975228</v>
      </c>
      <c r="H200" s="307">
        <f t="shared" ca="1" si="99"/>
        <v>0.78226970000802687</v>
      </c>
      <c r="I200" s="304">
        <f t="shared" ca="1" si="100"/>
        <v>18.63919977107313</v>
      </c>
      <c r="J200" s="306">
        <f t="shared" ca="1" si="101"/>
        <v>350.75986525864886</v>
      </c>
      <c r="K200" s="307">
        <f t="shared" ca="1" si="102"/>
        <v>1192.8774857614485</v>
      </c>
      <c r="L200" s="304">
        <f t="shared" ca="1" si="87"/>
        <v>1243.3781319907555</v>
      </c>
      <c r="M200" s="306">
        <f t="shared" ca="1" si="103"/>
        <v>4.1981390854156371E-2</v>
      </c>
      <c r="N200" s="304">
        <f t="shared" ca="1" si="104"/>
        <v>2.4053565140322744</v>
      </c>
      <c r="P200" s="310">
        <f t="shared" ca="1" si="105"/>
        <v>23</v>
      </c>
      <c r="Q200" s="304">
        <f t="shared" ca="1" si="106"/>
        <v>0</v>
      </c>
      <c r="R200" s="306">
        <f t="shared" ca="1" si="107"/>
        <v>0</v>
      </c>
      <c r="S200" s="307">
        <f t="shared" ca="1" si="108"/>
        <v>2.5949999999999998</v>
      </c>
      <c r="T200" s="304">
        <f t="shared" ca="1" si="88"/>
        <v>25.456949999999999</v>
      </c>
      <c r="U200" s="311">
        <f t="shared" ca="1" si="89"/>
        <v>0</v>
      </c>
      <c r="V200" s="306">
        <f t="shared" ca="1" si="90"/>
        <v>1.0870975447020312</v>
      </c>
      <c r="W200" s="304">
        <f t="shared" ca="1" si="91"/>
        <v>0.77338529522553245</v>
      </c>
      <c r="Y200" s="314" t="str">
        <f t="shared" ca="1" si="109"/>
        <v>Apogée</v>
      </c>
      <c r="Z200" s="315" t="str">
        <f t="shared" ca="1" si="110"/>
        <v/>
      </c>
      <c r="AA200" s="316" t="str">
        <f t="shared" ca="1" si="111"/>
        <v/>
      </c>
      <c r="AC200" s="310" t="e">
        <f t="shared" ca="1" si="112"/>
        <v>#N/A</v>
      </c>
      <c r="AD200" s="323" t="e">
        <f t="shared" ca="1" si="113"/>
        <v>#N/A</v>
      </c>
      <c r="AE200" s="324">
        <f t="shared" ca="1" si="92"/>
        <v>1192.8774857614485</v>
      </c>
      <c r="AG200" s="306">
        <f t="shared" ca="1" si="114"/>
        <v>-1.2258516665031332</v>
      </c>
      <c r="AH200" s="304">
        <f t="shared" ca="1" si="115"/>
        <v>-0.3011422785940211</v>
      </c>
    </row>
    <row r="201" spans="1:34" x14ac:dyDescent="0.2">
      <c r="A201" s="347">
        <f t="shared" ca="1" si="93"/>
        <v>0.1</v>
      </c>
      <c r="B201" s="304">
        <f t="shared" ca="1" si="94"/>
        <v>13.899999999999945</v>
      </c>
      <c r="D201" s="306">
        <f t="shared" ca="1" si="95"/>
        <v>-0.29776642536259096</v>
      </c>
      <c r="E201" s="307">
        <f t="shared" ca="1" si="96"/>
        <v>-9.8225079977366629</v>
      </c>
      <c r="F201" s="304">
        <f t="shared" ca="1" si="97"/>
        <v>9.8270203118582149</v>
      </c>
      <c r="G201" s="306">
        <f t="shared" ca="1" si="98"/>
        <v>18.593000331438969</v>
      </c>
      <c r="H201" s="307">
        <f t="shared" ca="1" si="99"/>
        <v>-0.19998109976563949</v>
      </c>
      <c r="I201" s="304">
        <f t="shared" ca="1" si="100"/>
        <v>18.594075770662897</v>
      </c>
      <c r="J201" s="306">
        <f t="shared" ca="1" si="101"/>
        <v>352.62065412391956</v>
      </c>
      <c r="K201" s="307">
        <f t="shared" ca="1" si="102"/>
        <v>1192.9066001914607</v>
      </c>
      <c r="L201" s="304">
        <f t="shared" ca="1" si="87"/>
        <v>1243.932266039888</v>
      </c>
      <c r="M201" s="306">
        <f t="shared" ca="1" si="103"/>
        <v>-1.0755304958742554E-2</v>
      </c>
      <c r="N201" s="304">
        <f t="shared" ca="1" si="104"/>
        <v>-0.61623358151207441</v>
      </c>
      <c r="P201" s="310">
        <f t="shared" ca="1" si="105"/>
        <v>23</v>
      </c>
      <c r="Q201" s="304">
        <f t="shared" ca="1" si="106"/>
        <v>0</v>
      </c>
      <c r="R201" s="306">
        <f t="shared" ca="1" si="107"/>
        <v>0</v>
      </c>
      <c r="S201" s="307">
        <f t="shared" ca="1" si="108"/>
        <v>2.5949999999999998</v>
      </c>
      <c r="T201" s="304">
        <f t="shared" ca="1" si="88"/>
        <v>25.456949999999999</v>
      </c>
      <c r="U201" s="311">
        <f t="shared" ca="1" si="89"/>
        <v>0</v>
      </c>
      <c r="V201" s="306">
        <f t="shared" ca="1" si="90"/>
        <v>1.087094368384435</v>
      </c>
      <c r="W201" s="304">
        <f t="shared" ca="1" si="91"/>
        <v>0.76964297220970268</v>
      </c>
      <c r="Y201" s="314" t="str">
        <f t="shared" ca="1" si="109"/>
        <v/>
      </c>
      <c r="Z201" s="315" t="str">
        <f t="shared" ca="1" si="110"/>
        <v/>
      </c>
      <c r="AA201" s="316" t="str">
        <f t="shared" ca="1" si="111"/>
        <v/>
      </c>
      <c r="AC201" s="310" t="e">
        <f t="shared" ca="1" si="112"/>
        <v>#N/A</v>
      </c>
      <c r="AD201" s="323" t="e">
        <f t="shared" ca="1" si="113"/>
        <v>#N/A</v>
      </c>
      <c r="AE201" s="324">
        <f t="shared" ca="1" si="92"/>
        <v>1192.9066001914607</v>
      </c>
      <c r="AG201" s="306">
        <f t="shared" ca="1" si="114"/>
        <v>-0.70974549750317029</v>
      </c>
      <c r="AH201" s="304">
        <f t="shared" ca="1" si="115"/>
        <v>-0.29802901550116861</v>
      </c>
    </row>
    <row r="202" spans="1:34" x14ac:dyDescent="0.2">
      <c r="A202" s="347">
        <f t="shared" ca="1" si="93"/>
        <v>0.1</v>
      </c>
      <c r="B202" s="304">
        <f t="shared" ca="1" si="94"/>
        <v>13.999999999999945</v>
      </c>
      <c r="D202" s="306">
        <f t="shared" ca="1" si="95"/>
        <v>-0.29656973325763319</v>
      </c>
      <c r="E202" s="307">
        <f t="shared" ca="1" si="96"/>
        <v>-9.80681017908047</v>
      </c>
      <c r="F202" s="304">
        <f t="shared" ca="1" si="97"/>
        <v>9.8112934669798175</v>
      </c>
      <c r="G202" s="306">
        <f t="shared" ca="1" si="98"/>
        <v>18.563343358113205</v>
      </c>
      <c r="H202" s="307">
        <f t="shared" ca="1" si="99"/>
        <v>-1.1806621176736867</v>
      </c>
      <c r="I202" s="304">
        <f t="shared" ca="1" si="100"/>
        <v>18.60085158446557</v>
      </c>
      <c r="J202" s="306">
        <f t="shared" ca="1" si="101"/>
        <v>354.47847130839716</v>
      </c>
      <c r="K202" s="307">
        <f t="shared" ca="1" si="102"/>
        <v>1192.8375680305887</v>
      </c>
      <c r="L202" s="304">
        <f t="shared" ca="1" si="87"/>
        <v>1244.3940092777157</v>
      </c>
      <c r="M202" s="306">
        <f t="shared" ca="1" si="103"/>
        <v>-6.3516250662955492E-2</v>
      </c>
      <c r="N202" s="304">
        <f t="shared" ca="1" si="104"/>
        <v>-3.639213093482367</v>
      </c>
      <c r="P202" s="310">
        <f t="shared" ca="1" si="105"/>
        <v>23</v>
      </c>
      <c r="Q202" s="304">
        <f t="shared" ca="1" si="106"/>
        <v>0</v>
      </c>
      <c r="R202" s="306">
        <f t="shared" ca="1" si="107"/>
        <v>0</v>
      </c>
      <c r="S202" s="307">
        <f t="shared" ca="1" si="108"/>
        <v>2.5949999999999998</v>
      </c>
      <c r="T202" s="304">
        <f t="shared" ca="1" si="88"/>
        <v>25.456949999999999</v>
      </c>
      <c r="U202" s="311">
        <f t="shared" ca="1" si="89"/>
        <v>0</v>
      </c>
      <c r="V202" s="306">
        <f t="shared" ca="1" si="90"/>
        <v>1.0871018996491788</v>
      </c>
      <c r="W202" s="304">
        <f t="shared" ca="1" si="91"/>
        <v>0.770209337071877</v>
      </c>
      <c r="Y202" s="314" t="str">
        <f t="shared" ca="1" si="109"/>
        <v/>
      </c>
      <c r="Z202" s="315" t="str">
        <f t="shared" ca="1" si="110"/>
        <v>Para</v>
      </c>
      <c r="AA202" s="316" t="str">
        <f t="shared" ca="1" si="111"/>
        <v/>
      </c>
      <c r="AC202" s="310">
        <f t="shared" ca="1" si="112"/>
        <v>13.999999999999945</v>
      </c>
      <c r="AD202" s="323">
        <f t="shared" ca="1" si="113"/>
        <v>354.47847130839716</v>
      </c>
      <c r="AE202" s="324">
        <f t="shared" ca="1" si="92"/>
        <v>1192.8375680305887</v>
      </c>
      <c r="AG202" s="306">
        <f t="shared" ca="1" si="114"/>
        <v>-0.19107937967824548</v>
      </c>
      <c r="AH202" s="304">
        <f t="shared" ca="1" si="115"/>
        <v>-0.29658688717136905</v>
      </c>
    </row>
    <row r="203" spans="1:34" x14ac:dyDescent="0.2">
      <c r="A203" s="347">
        <f t="shared" ca="1" si="93"/>
        <v>0.1</v>
      </c>
      <c r="B203" s="304">
        <f t="shared" ca="1" si="94"/>
        <v>14.099999999999945</v>
      </c>
      <c r="D203" s="306">
        <f t="shared" ca="1" si="95"/>
        <v>-0.29620663819977355</v>
      </c>
      <c r="E203" s="307">
        <f t="shared" ca="1" si="96"/>
        <v>-9.7911607235841434</v>
      </c>
      <c r="F203" s="304">
        <f t="shared" ca="1" si="97"/>
        <v>9.7956401877350707</v>
      </c>
      <c r="G203" s="306">
        <f t="shared" ca="1" si="98"/>
        <v>18.533722694293228</v>
      </c>
      <c r="H203" s="307">
        <f t="shared" ca="1" si="99"/>
        <v>-2.1597781900321009</v>
      </c>
      <c r="I203" s="304">
        <f t="shared" ca="1" si="100"/>
        <v>18.6591403537006</v>
      </c>
      <c r="J203" s="306">
        <f t="shared" ca="1" si="101"/>
        <v>356.33332461101747</v>
      </c>
      <c r="K203" s="307">
        <f t="shared" ca="1" si="102"/>
        <v>1192.6705460152034</v>
      </c>
      <c r="L203" s="304">
        <f t="shared" ca="1" si="87"/>
        <v>1244.7636199538224</v>
      </c>
      <c r="M203" s="306">
        <f t="shared" ca="1" si="103"/>
        <v>-0.11600910810013385</v>
      </c>
      <c r="N203" s="304">
        <f t="shared" ca="1" si="104"/>
        <v>-6.6468322792146015</v>
      </c>
      <c r="P203" s="310">
        <f t="shared" ca="1" si="105"/>
        <v>23</v>
      </c>
      <c r="Q203" s="304">
        <f t="shared" ca="1" si="106"/>
        <v>0</v>
      </c>
      <c r="R203" s="306">
        <f t="shared" ca="1" si="107"/>
        <v>0</v>
      </c>
      <c r="S203" s="307">
        <f t="shared" ca="1" si="108"/>
        <v>2.5949999999999998</v>
      </c>
      <c r="T203" s="304">
        <f t="shared" ca="1" si="88"/>
        <v>25.456949999999999</v>
      </c>
      <c r="U203" s="311">
        <f t="shared" ca="1" si="89"/>
        <v>0</v>
      </c>
      <c r="V203" s="306">
        <f t="shared" ca="1" si="90"/>
        <v>1.0871201216055959</v>
      </c>
      <c r="W203" s="304">
        <f t="shared" ca="1" si="91"/>
        <v>0.77505704207955417</v>
      </c>
      <c r="Y203" s="314" t="str">
        <f t="shared" ca="1" si="109"/>
        <v/>
      </c>
      <c r="Z203" s="315" t="str">
        <f t="shared" ca="1" si="110"/>
        <v/>
      </c>
      <c r="AA203" s="316" t="str">
        <f t="shared" ca="1" si="111"/>
        <v/>
      </c>
      <c r="AC203" s="310" t="e">
        <f t="shared" ca="1" si="112"/>
        <v>#N/A</v>
      </c>
      <c r="AD203" s="323" t="e">
        <f t="shared" ca="1" si="113"/>
        <v>#N/A</v>
      </c>
      <c r="AE203" s="324" t="e">
        <f t="shared" ca="1" si="92"/>
        <v>#N/A</v>
      </c>
      <c r="AG203" s="306">
        <f t="shared" ca="1" si="114"/>
        <v>0.32587040421298152</v>
      </c>
      <c r="AH203" s="304">
        <f t="shared" ca="1" si="115"/>
        <v>-0.29680513952673493</v>
      </c>
    </row>
    <row r="204" spans="1:34" x14ac:dyDescent="0.2">
      <c r="A204" s="347">
        <f t="shared" ca="1" si="93"/>
        <v>0.1</v>
      </c>
      <c r="B204" s="304">
        <f t="shared" ca="1" si="94"/>
        <v>14.199999999999944</v>
      </c>
      <c r="D204" s="306">
        <f t="shared" ca="1" si="95"/>
        <v>-0.29666569783807933</v>
      </c>
      <c r="E204" s="307">
        <f t="shared" ca="1" si="96"/>
        <v>-9.7754288501835305</v>
      </c>
      <c r="F204" s="304">
        <f t="shared" ca="1" si="97"/>
        <v>9.7799294343708976</v>
      </c>
      <c r="G204" s="306">
        <f t="shared" ca="1" si="98"/>
        <v>18.504056124509422</v>
      </c>
      <c r="H204" s="307">
        <f t="shared" ca="1" si="99"/>
        <v>-3.1373210750504539</v>
      </c>
      <c r="I204" s="304">
        <f t="shared" ca="1" si="100"/>
        <v>18.768134605947136</v>
      </c>
      <c r="J204" s="306">
        <f t="shared" ca="1" si="101"/>
        <v>358.18521355195759</v>
      </c>
      <c r="K204" s="307">
        <f t="shared" ca="1" si="102"/>
        <v>1192.4056910519494</v>
      </c>
      <c r="L204" s="304">
        <f t="shared" ca="1" si="87"/>
        <v>1245.0413564457763</v>
      </c>
      <c r="M204" s="306">
        <f t="shared" ca="1" si="103"/>
        <v>-0.16795057688624254</v>
      </c>
      <c r="N204" s="304">
        <f t="shared" ca="1" si="104"/>
        <v>-9.6228592223691329</v>
      </c>
      <c r="P204" s="310">
        <f t="shared" ca="1" si="105"/>
        <v>23</v>
      </c>
      <c r="Q204" s="304">
        <f t="shared" ca="1" si="106"/>
        <v>0</v>
      </c>
      <c r="R204" s="306">
        <f t="shared" ca="1" si="107"/>
        <v>0</v>
      </c>
      <c r="S204" s="307">
        <f t="shared" ca="1" si="108"/>
        <v>2.5949999999999998</v>
      </c>
      <c r="T204" s="304">
        <f t="shared" ca="1" si="88"/>
        <v>25.456949999999999</v>
      </c>
      <c r="U204" s="311">
        <f t="shared" ca="1" si="89"/>
        <v>0</v>
      </c>
      <c r="V204" s="306">
        <f t="shared" ca="1" si="90"/>
        <v>1.087149017640278</v>
      </c>
      <c r="W204" s="304">
        <f t="shared" ca="1" si="91"/>
        <v>0.78415906315203865</v>
      </c>
      <c r="Y204" s="314" t="str">
        <f t="shared" ca="1" si="109"/>
        <v/>
      </c>
      <c r="Z204" s="315" t="str">
        <f t="shared" ca="1" si="110"/>
        <v/>
      </c>
      <c r="AA204" s="316" t="str">
        <f t="shared" ca="1" si="111"/>
        <v/>
      </c>
      <c r="AC204" s="310" t="e">
        <f t="shared" ca="1" si="112"/>
        <v>#N/A</v>
      </c>
      <c r="AD204" s="323" t="e">
        <f t="shared" ca="1" si="113"/>
        <v>#N/A</v>
      </c>
      <c r="AE204" s="324" t="e">
        <f t="shared" ca="1" si="92"/>
        <v>#N/A</v>
      </c>
      <c r="AG204" s="306">
        <f t="shared" ca="1" si="114"/>
        <v>0.8368251675163727</v>
      </c>
      <c r="AH204" s="304">
        <f t="shared" ca="1" si="115"/>
        <v>-0.29867323394202477</v>
      </c>
    </row>
    <row r="205" spans="1:34" x14ac:dyDescent="0.2">
      <c r="A205" s="347">
        <f t="shared" ca="1" si="93"/>
        <v>0.1</v>
      </c>
      <c r="B205" s="304">
        <f t="shared" ca="1" si="94"/>
        <v>14.299999999999944</v>
      </c>
      <c r="D205" s="306">
        <f t="shared" ca="1" si="95"/>
        <v>-0.29792889893794644</v>
      </c>
      <c r="E205" s="307">
        <f t="shared" ca="1" si="96"/>
        <v>-9.7594868256335143</v>
      </c>
      <c r="F205" s="304">
        <f t="shared" ca="1" si="97"/>
        <v>9.7640332203724363</v>
      </c>
      <c r="G205" s="306">
        <f t="shared" ca="1" si="98"/>
        <v>18.474263234615627</v>
      </c>
      <c r="H205" s="307">
        <f t="shared" ca="1" si="99"/>
        <v>-4.1132697576138053</v>
      </c>
      <c r="I205" s="304">
        <f t="shared" ca="1" si="100"/>
        <v>18.926631770095042</v>
      </c>
      <c r="J205" s="306">
        <f t="shared" ca="1" si="101"/>
        <v>360.03412951991385</v>
      </c>
      <c r="K205" s="307">
        <f t="shared" ca="1" si="102"/>
        <v>1192.0431615103162</v>
      </c>
      <c r="L205" s="304">
        <f t="shared" ca="1" si="87"/>
        <v>1245.2274785446518</v>
      </c>
      <c r="M205" s="306">
        <f t="shared" ca="1" si="103"/>
        <v>-0.21907526916411166</v>
      </c>
      <c r="N205" s="304">
        <f t="shared" ca="1" si="104"/>
        <v>-12.552088318796104</v>
      </c>
      <c r="P205" s="310">
        <f t="shared" ca="1" si="105"/>
        <v>23</v>
      </c>
      <c r="Q205" s="304">
        <f t="shared" ca="1" si="106"/>
        <v>0</v>
      </c>
      <c r="R205" s="306">
        <f t="shared" ca="1" si="107"/>
        <v>0</v>
      </c>
      <c r="S205" s="307">
        <f t="shared" ca="1" si="108"/>
        <v>2.5949999999999998</v>
      </c>
      <c r="T205" s="304">
        <f t="shared" ca="1" si="88"/>
        <v>25.456949999999999</v>
      </c>
      <c r="U205" s="311">
        <f t="shared" ca="1" si="89"/>
        <v>0</v>
      </c>
      <c r="V205" s="306">
        <f t="shared" ca="1" si="90"/>
        <v>1.0871885712744966</v>
      </c>
      <c r="W205" s="304">
        <f t="shared" ca="1" si="91"/>
        <v>0.797488470825642</v>
      </c>
      <c r="Y205" s="314" t="str">
        <f t="shared" ca="1" si="109"/>
        <v/>
      </c>
      <c r="Z205" s="315" t="str">
        <f t="shared" ca="1" si="110"/>
        <v/>
      </c>
      <c r="AA205" s="316" t="str">
        <f t="shared" ca="1" si="111"/>
        <v/>
      </c>
      <c r="AC205" s="310" t="e">
        <f t="shared" ca="1" si="112"/>
        <v>#N/A</v>
      </c>
      <c r="AD205" s="323" t="e">
        <f t="shared" ca="1" si="113"/>
        <v>#N/A</v>
      </c>
      <c r="AE205" s="324" t="e">
        <f t="shared" ca="1" si="92"/>
        <v>#N/A</v>
      </c>
      <c r="AG205" s="306">
        <f t="shared" ca="1" si="114"/>
        <v>1.3376795914880564</v>
      </c>
      <c r="AH205" s="304">
        <f t="shared" ca="1" si="115"/>
        <v>-0.30218075651330972</v>
      </c>
    </row>
    <row r="206" spans="1:34" x14ac:dyDescent="0.2">
      <c r="A206" s="347">
        <f t="shared" ca="1" si="93"/>
        <v>0.1</v>
      </c>
      <c r="B206" s="304">
        <f t="shared" ca="1" si="94"/>
        <v>14.399999999999944</v>
      </c>
      <c r="D206" s="306">
        <f t="shared" ca="1" si="95"/>
        <v>-0.29997208780787371</v>
      </c>
      <c r="E206" s="307">
        <f t="shared" ca="1" si="96"/>
        <v>-9.7432116197956695</v>
      </c>
      <c r="F206" s="304">
        <f t="shared" ca="1" si="97"/>
        <v>9.7478282669313145</v>
      </c>
      <c r="G206" s="306">
        <f t="shared" ca="1" si="98"/>
        <v>18.444266025834839</v>
      </c>
      <c r="H206" s="307">
        <f t="shared" ca="1" si="99"/>
        <v>-5.0875909195933726</v>
      </c>
      <c r="I206" s="304">
        <f t="shared" ca="1" si="100"/>
        <v>19.133074258908163</v>
      </c>
      <c r="J206" s="306">
        <f t="shared" ca="1" si="101"/>
        <v>361.88005598293637</v>
      </c>
      <c r="K206" s="307">
        <f t="shared" ca="1" si="102"/>
        <v>1191.5831184764559</v>
      </c>
      <c r="L206" s="304">
        <f t="shared" ca="1" si="87"/>
        <v>1245.3222487196992</v>
      </c>
      <c r="M206" s="306">
        <f t="shared" ca="1" si="103"/>
        <v>-0.26914318438289347</v>
      </c>
      <c r="N206" s="304">
        <f t="shared" ca="1" si="104"/>
        <v>-15.420768549851125</v>
      </c>
      <c r="P206" s="310">
        <f t="shared" ca="1" si="105"/>
        <v>23</v>
      </c>
      <c r="Q206" s="304">
        <f t="shared" ca="1" si="106"/>
        <v>0</v>
      </c>
      <c r="R206" s="306">
        <f t="shared" ca="1" si="107"/>
        <v>0</v>
      </c>
      <c r="S206" s="307">
        <f t="shared" ca="1" si="108"/>
        <v>2.5949999999999998</v>
      </c>
      <c r="T206" s="304">
        <f t="shared" ca="1" si="88"/>
        <v>25.456949999999999</v>
      </c>
      <c r="U206" s="311">
        <f t="shared" ca="1" si="89"/>
        <v>0</v>
      </c>
      <c r="V206" s="306">
        <f t="shared" ca="1" si="90"/>
        <v>1.0872387660258389</v>
      </c>
      <c r="W206" s="304">
        <f t="shared" ca="1" si="91"/>
        <v>0.81501821048580692</v>
      </c>
      <c r="Y206" s="314" t="str">
        <f t="shared" ca="1" si="109"/>
        <v/>
      </c>
      <c r="Z206" s="315" t="str">
        <f t="shared" ca="1" si="110"/>
        <v/>
      </c>
      <c r="AA206" s="316" t="str">
        <f t="shared" ca="1" si="111"/>
        <v/>
      </c>
      <c r="AC206" s="310" t="e">
        <f t="shared" ca="1" si="112"/>
        <v>#N/A</v>
      </c>
      <c r="AD206" s="323" t="e">
        <f t="shared" ca="1" si="113"/>
        <v>#N/A</v>
      </c>
      <c r="AE206" s="324" t="e">
        <f t="shared" ca="1" si="92"/>
        <v>#N/A</v>
      </c>
      <c r="AG206" s="306">
        <f t="shared" ca="1" si="114"/>
        <v>1.8246613979727486</v>
      </c>
      <c r="AH206" s="304">
        <f t="shared" ca="1" si="115"/>
        <v>-0.3073173297979353</v>
      </c>
    </row>
    <row r="207" spans="1:34" x14ac:dyDescent="0.2">
      <c r="A207" s="347">
        <f t="shared" ca="1" si="93"/>
        <v>0.1</v>
      </c>
      <c r="B207" s="304">
        <f t="shared" ca="1" si="94"/>
        <v>14.499999999999943</v>
      </c>
      <c r="D207" s="306">
        <f t="shared" ca="1" si="95"/>
        <v>-0.30276562886683445</v>
      </c>
      <c r="E207" s="307">
        <f t="shared" ca="1" si="96"/>
        <v>-9.7264863669809198</v>
      </c>
      <c r="F207" s="304">
        <f t="shared" ca="1" si="97"/>
        <v>9.7311974634722542</v>
      </c>
      <c r="G207" s="306">
        <f t="shared" ca="1" si="98"/>
        <v>18.413989462948155</v>
      </c>
      <c r="H207" s="307">
        <f t="shared" ca="1" si="99"/>
        <v>-6.0602395562914646</v>
      </c>
      <c r="I207" s="304">
        <f t="shared" ca="1" si="100"/>
        <v>19.385600620594797</v>
      </c>
      <c r="J207" s="306">
        <f t="shared" ca="1" si="101"/>
        <v>363.7229687573755</v>
      </c>
      <c r="K207" s="307">
        <f t="shared" ca="1" si="102"/>
        <v>1191.0257269526617</v>
      </c>
      <c r="L207" s="304">
        <f t="shared" ca="1" si="87"/>
        <v>1245.3259333462847</v>
      </c>
      <c r="M207" s="306">
        <f t="shared" ca="1" si="103"/>
        <v>-0.31794531350919969</v>
      </c>
      <c r="N207" s="304">
        <f t="shared" ca="1" si="104"/>
        <v>-18.216924580040939</v>
      </c>
      <c r="P207" s="310">
        <f t="shared" ca="1" si="105"/>
        <v>23</v>
      </c>
      <c r="Q207" s="304">
        <f t="shared" ca="1" si="106"/>
        <v>0</v>
      </c>
      <c r="R207" s="306">
        <f t="shared" ca="1" si="107"/>
        <v>0</v>
      </c>
      <c r="S207" s="307">
        <f t="shared" ca="1" si="108"/>
        <v>2.5949999999999998</v>
      </c>
      <c r="T207" s="304">
        <f t="shared" ca="1" si="88"/>
        <v>25.456949999999999</v>
      </c>
      <c r="U207" s="311">
        <f t="shared" ca="1" si="89"/>
        <v>0</v>
      </c>
      <c r="V207" s="306">
        <f t="shared" ca="1" si="90"/>
        <v>1.0872995852757317</v>
      </c>
      <c r="W207" s="304">
        <f t="shared" ca="1" si="91"/>
        <v>0.83672089444263553</v>
      </c>
      <c r="Y207" s="314" t="str">
        <f t="shared" ca="1" si="109"/>
        <v/>
      </c>
      <c r="Z207" s="315" t="str">
        <f t="shared" ca="1" si="110"/>
        <v/>
      </c>
      <c r="AA207" s="316" t="str">
        <f t="shared" ca="1" si="111"/>
        <v/>
      </c>
      <c r="AC207" s="310" t="e">
        <f t="shared" ca="1" si="112"/>
        <v>#N/A</v>
      </c>
      <c r="AD207" s="323" t="e">
        <f t="shared" ca="1" si="113"/>
        <v>#N/A</v>
      </c>
      <c r="AE207" s="324" t="e">
        <f t="shared" ca="1" si="92"/>
        <v>#N/A</v>
      </c>
      <c r="AG207" s="306">
        <f t="shared" ca="1" si="114"/>
        <v>2.2944610638022449</v>
      </c>
      <c r="AH207" s="304">
        <f t="shared" ca="1" si="115"/>
        <v>-0.31407252812555181</v>
      </c>
    </row>
    <row r="208" spans="1:34" x14ac:dyDescent="0.2">
      <c r="A208" s="347">
        <f t="shared" ca="1" si="93"/>
        <v>0.1</v>
      </c>
      <c r="B208" s="304">
        <f t="shared" ca="1" si="94"/>
        <v>14.599999999999943</v>
      </c>
      <c r="D208" s="306">
        <f t="shared" ca="1" si="95"/>
        <v>-0.30627523455934885</v>
      </c>
      <c r="E208" s="307">
        <f t="shared" ca="1" si="96"/>
        <v>-9.7092015665413633</v>
      </c>
      <c r="F208" s="304">
        <f t="shared" ca="1" si="97"/>
        <v>9.7140310674319785</v>
      </c>
      <c r="G208" s="306">
        <f t="shared" ca="1" si="98"/>
        <v>18.383361939492222</v>
      </c>
      <c r="H208" s="307">
        <f t="shared" ca="1" si="99"/>
        <v>-7.0311597129456009</v>
      </c>
      <c r="I208" s="304">
        <f t="shared" ca="1" si="100"/>
        <v>19.6821036250529</v>
      </c>
      <c r="J208" s="306">
        <f t="shared" ca="1" si="101"/>
        <v>365.56283632749751</v>
      </c>
      <c r="K208" s="307">
        <f t="shared" ca="1" si="102"/>
        <v>1190.3711569891998</v>
      </c>
      <c r="L208" s="304">
        <f t="shared" ca="1" si="87"/>
        <v>1245.2388038828581</v>
      </c>
      <c r="M208" s="306">
        <f t="shared" ca="1" si="103"/>
        <v>-0.3653071461364612</v>
      </c>
      <c r="N208" s="304">
        <f t="shared" ca="1" si="104"/>
        <v>-20.930557699588025</v>
      </c>
      <c r="P208" s="310">
        <f t="shared" ca="1" si="105"/>
        <v>23</v>
      </c>
      <c r="Q208" s="304">
        <f t="shared" ca="1" si="106"/>
        <v>0</v>
      </c>
      <c r="R208" s="306">
        <f t="shared" ca="1" si="107"/>
        <v>0</v>
      </c>
      <c r="S208" s="307">
        <f t="shared" ca="1" si="108"/>
        <v>2.5949999999999998</v>
      </c>
      <c r="T208" s="304">
        <f t="shared" ca="1" si="88"/>
        <v>25.456949999999999</v>
      </c>
      <c r="U208" s="311">
        <f t="shared" ca="1" si="89"/>
        <v>0</v>
      </c>
      <c r="V208" s="306">
        <f t="shared" ca="1" si="90"/>
        <v>1.0873710121442766</v>
      </c>
      <c r="W208" s="304">
        <f t="shared" ca="1" si="91"/>
        <v>0.86256860801736623</v>
      </c>
      <c r="Y208" s="314" t="str">
        <f t="shared" ca="1" si="109"/>
        <v/>
      </c>
      <c r="Z208" s="315" t="str">
        <f t="shared" ca="1" si="110"/>
        <v/>
      </c>
      <c r="AA208" s="316" t="str">
        <f t="shared" ca="1" si="111"/>
        <v/>
      </c>
      <c r="AC208" s="310" t="e">
        <f t="shared" ca="1" si="112"/>
        <v>#N/A</v>
      </c>
      <c r="AD208" s="323" t="e">
        <f t="shared" ca="1" si="113"/>
        <v>#N/A</v>
      </c>
      <c r="AE208" s="324" t="e">
        <f t="shared" ca="1" si="92"/>
        <v>#N/A</v>
      </c>
      <c r="AG208" s="306">
        <f t="shared" ca="1" si="114"/>
        <v>2.7443224222366593</v>
      </c>
      <c r="AH208" s="304">
        <f t="shared" ca="1" si="115"/>
        <v>-0.32243579747307732</v>
      </c>
    </row>
    <row r="209" spans="1:34" x14ac:dyDescent="0.2">
      <c r="A209" s="347">
        <f t="shared" ca="1" si="93"/>
        <v>0.1</v>
      </c>
      <c r="B209" s="304">
        <f t="shared" ca="1" si="94"/>
        <v>14.699999999999942</v>
      </c>
      <c r="D209" s="306">
        <f t="shared" ca="1" si="95"/>
        <v>-0.31046290025228318</v>
      </c>
      <c r="E209" s="307">
        <f t="shared" ca="1" si="96"/>
        <v>-9.6912559833286736</v>
      </c>
      <c r="F209" s="304">
        <f t="shared" ca="1" si="97"/>
        <v>9.6962276039105468</v>
      </c>
      <c r="G209" s="306">
        <f t="shared" ca="1" si="98"/>
        <v>18.352315649466995</v>
      </c>
      <c r="H209" s="307">
        <f t="shared" ca="1" si="99"/>
        <v>-8.0002853112784678</v>
      </c>
      <c r="I209" s="304">
        <f t="shared" ca="1" si="100"/>
        <v>20.020291075794304</v>
      </c>
      <c r="J209" s="306">
        <f t="shared" ca="1" si="101"/>
        <v>367.39962020694549</v>
      </c>
      <c r="K209" s="307">
        <f t="shared" ca="1" si="102"/>
        <v>1189.6195847379886</v>
      </c>
      <c r="L209" s="304">
        <f t="shared" ca="1" si="87"/>
        <v>1245.0611379849554</v>
      </c>
      <c r="M209" s="306">
        <f t="shared" ca="1" si="103"/>
        <v>-0.41109009622761855</v>
      </c>
      <c r="N209" s="304">
        <f t="shared" ca="1" si="104"/>
        <v>-23.553727513469429</v>
      </c>
      <c r="P209" s="310">
        <f t="shared" ca="1" si="105"/>
        <v>23</v>
      </c>
      <c r="Q209" s="304">
        <f t="shared" ca="1" si="106"/>
        <v>0</v>
      </c>
      <c r="R209" s="306">
        <f t="shared" ca="1" si="107"/>
        <v>0</v>
      </c>
      <c r="S209" s="307">
        <f t="shared" ca="1" si="108"/>
        <v>2.5949999999999998</v>
      </c>
      <c r="T209" s="304">
        <f t="shared" ca="1" si="88"/>
        <v>25.456949999999999</v>
      </c>
      <c r="U209" s="311">
        <f t="shared" ca="1" si="89"/>
        <v>0</v>
      </c>
      <c r="V209" s="306">
        <f t="shared" ca="1" si="90"/>
        <v>1.0874530293735278</v>
      </c>
      <c r="W209" s="304">
        <f t="shared" ca="1" si="91"/>
        <v>0.89253273131147526</v>
      </c>
      <c r="Y209" s="314" t="str">
        <f t="shared" ca="1" si="109"/>
        <v/>
      </c>
      <c r="Z209" s="315" t="str">
        <f t="shared" ca="1" si="110"/>
        <v/>
      </c>
      <c r="AA209" s="316" t="str">
        <f t="shared" ca="1" si="111"/>
        <v/>
      </c>
      <c r="AC209" s="310" t="e">
        <f t="shared" ca="1" si="112"/>
        <v>#N/A</v>
      </c>
      <c r="AD209" s="323" t="e">
        <f t="shared" ca="1" si="113"/>
        <v>#N/A</v>
      </c>
      <c r="AE209" s="324" t="e">
        <f t="shared" ca="1" si="92"/>
        <v>#N/A</v>
      </c>
      <c r="AG209" s="306">
        <f t="shared" ca="1" si="114"/>
        <v>3.172090644530055</v>
      </c>
      <c r="AH209" s="304">
        <f t="shared" ca="1" si="115"/>
        <v>-0.33239638073886951</v>
      </c>
    </row>
    <row r="210" spans="1:34" x14ac:dyDescent="0.2">
      <c r="A210" s="347">
        <f t="shared" ca="1" si="93"/>
        <v>0.1</v>
      </c>
      <c r="B210" s="304">
        <f t="shared" ca="1" si="94"/>
        <v>14.799999999999942</v>
      </c>
      <c r="D210" s="306">
        <f t="shared" ca="1" si="95"/>
        <v>-0.31528787710232681</v>
      </c>
      <c r="E210" s="307">
        <f t="shared" ca="1" si="96"/>
        <v>-9.6725572369076396</v>
      </c>
      <c r="F210" s="304">
        <f t="shared" ca="1" si="97"/>
        <v>9.6776944540888472</v>
      </c>
      <c r="G210" s="306">
        <f t="shared" ca="1" si="98"/>
        <v>18.320786861756762</v>
      </c>
      <c r="H210" s="307">
        <f t="shared" ca="1" si="99"/>
        <v>-8.9675410349692317</v>
      </c>
      <c r="I210" s="304">
        <f t="shared" ca="1" si="100"/>
        <v>20.397745548167233</v>
      </c>
      <c r="J210" s="306">
        <f t="shared" ca="1" si="101"/>
        <v>369.23327533250665</v>
      </c>
      <c r="K210" s="307">
        <f t="shared" ca="1" si="102"/>
        <v>1188.7711934206761</v>
      </c>
      <c r="L210" s="304">
        <f t="shared" ca="1" si="87"/>
        <v>1244.7932205469265</v>
      </c>
      <c r="M210" s="306">
        <f t="shared" ca="1" si="103"/>
        <v>-0.45519106255188374</v>
      </c>
      <c r="N210" s="304">
        <f t="shared" ca="1" si="104"/>
        <v>-26.080526756298394</v>
      </c>
      <c r="P210" s="310">
        <f t="shared" ca="1" si="105"/>
        <v>23</v>
      </c>
      <c r="Q210" s="304">
        <f t="shared" ca="1" si="106"/>
        <v>0</v>
      </c>
      <c r="R210" s="306">
        <f t="shared" ca="1" si="107"/>
        <v>0</v>
      </c>
      <c r="S210" s="307">
        <f t="shared" ca="1" si="108"/>
        <v>2.5949999999999998</v>
      </c>
      <c r="T210" s="304">
        <f t="shared" ca="1" si="88"/>
        <v>25.456949999999999</v>
      </c>
      <c r="U210" s="311">
        <f t="shared" ca="1" si="89"/>
        <v>0</v>
      </c>
      <c r="V210" s="306">
        <f t="shared" ca="1" si="90"/>
        <v>1.0875456192200041</v>
      </c>
      <c r="W210" s="304">
        <f t="shared" ca="1" si="91"/>
        <v>0.92658377779635781</v>
      </c>
      <c r="Y210" s="314" t="str">
        <f t="shared" ca="1" si="109"/>
        <v/>
      </c>
      <c r="Z210" s="315" t="str">
        <f t="shared" ca="1" si="110"/>
        <v/>
      </c>
      <c r="AA210" s="316" t="str">
        <f t="shared" ca="1" si="111"/>
        <v/>
      </c>
      <c r="AC210" s="310" t="e">
        <f t="shared" ca="1" si="112"/>
        <v>#N/A</v>
      </c>
      <c r="AD210" s="323" t="e">
        <f t="shared" ca="1" si="113"/>
        <v>#N/A</v>
      </c>
      <c r="AE210" s="324" t="e">
        <f t="shared" ca="1" si="92"/>
        <v>#N/A</v>
      </c>
      <c r="AG210" s="306">
        <f t="shared" ca="1" si="114"/>
        <v>3.5762194801685494</v>
      </c>
      <c r="AH210" s="304">
        <f t="shared" ca="1" si="115"/>
        <v>-0.34394324906029877</v>
      </c>
    </row>
    <row r="211" spans="1:34" x14ac:dyDescent="0.2">
      <c r="A211" s="347">
        <f t="shared" ca="1" si="93"/>
        <v>0.1</v>
      </c>
      <c r="B211" s="304">
        <f t="shared" ca="1" si="94"/>
        <v>14.899999999999942</v>
      </c>
      <c r="D211" s="306">
        <f t="shared" ca="1" si="95"/>
        <v>-0.32070762286407123</v>
      </c>
      <c r="E211" s="307">
        <f t="shared" ca="1" si="96"/>
        <v>-9.6530220934306961</v>
      </c>
      <c r="F211" s="304">
        <f t="shared" ca="1" si="97"/>
        <v>9.6583481463252436</v>
      </c>
      <c r="G211" s="306">
        <f t="shared" ca="1" si="98"/>
        <v>18.288716099470356</v>
      </c>
      <c r="H211" s="307">
        <f t="shared" ca="1" si="99"/>
        <v>-9.932843244312302</v>
      </c>
      <c r="I211" s="304">
        <f t="shared" ca="1" si="100"/>
        <v>20.811979999104043</v>
      </c>
      <c r="J211" s="306">
        <f t="shared" ca="1" si="101"/>
        <v>371.06375048056799</v>
      </c>
      <c r="K211" s="307">
        <f t="shared" ca="1" si="102"/>
        <v>1187.826174206712</v>
      </c>
      <c r="L211" s="304">
        <f t="shared" ca="1" si="87"/>
        <v>1244.4353446649043</v>
      </c>
      <c r="M211" s="306">
        <f t="shared" ca="1" si="103"/>
        <v>-0.49754047443929178</v>
      </c>
      <c r="N211" s="304">
        <f t="shared" ca="1" si="104"/>
        <v>-28.506969322308034</v>
      </c>
      <c r="P211" s="310">
        <f t="shared" ca="1" si="105"/>
        <v>23</v>
      </c>
      <c r="Q211" s="304">
        <f t="shared" ca="1" si="106"/>
        <v>0</v>
      </c>
      <c r="R211" s="306">
        <f t="shared" ca="1" si="107"/>
        <v>0</v>
      </c>
      <c r="S211" s="307">
        <f t="shared" ca="1" si="108"/>
        <v>2.5949999999999998</v>
      </c>
      <c r="T211" s="304">
        <f t="shared" ca="1" si="88"/>
        <v>25.456949999999999</v>
      </c>
      <c r="U211" s="311">
        <f t="shared" ca="1" si="89"/>
        <v>0</v>
      </c>
      <c r="V211" s="306">
        <f t="shared" ca="1" si="90"/>
        <v>1.0876487633568948</v>
      </c>
      <c r="W211" s="304">
        <f t="shared" ca="1" si="91"/>
        <v>0.96469125033597236</v>
      </c>
      <c r="Y211" s="314" t="str">
        <f t="shared" ca="1" si="109"/>
        <v/>
      </c>
      <c r="Z211" s="315" t="str">
        <f t="shared" ca="1" si="110"/>
        <v/>
      </c>
      <c r="AA211" s="316" t="str">
        <f t="shared" ca="1" si="111"/>
        <v/>
      </c>
      <c r="AC211" s="310" t="e">
        <f t="shared" ca="1" si="112"/>
        <v>#N/A</v>
      </c>
      <c r="AD211" s="323" t="e">
        <f t="shared" ca="1" si="113"/>
        <v>#N/A</v>
      </c>
      <c r="AE211" s="324" t="e">
        <f t="shared" ca="1" si="92"/>
        <v>#N/A</v>
      </c>
      <c r="AG211" s="306">
        <f t="shared" ca="1" si="114"/>
        <v>3.9557438119979382</v>
      </c>
      <c r="AH211" s="304">
        <f t="shared" ca="1" si="115"/>
        <v>-0.35706503961324004</v>
      </c>
    </row>
    <row r="212" spans="1:34" x14ac:dyDescent="0.2">
      <c r="A212" s="347">
        <f t="shared" ca="1" si="93"/>
        <v>0.1</v>
      </c>
      <c r="B212" s="304">
        <f t="shared" ca="1" si="94"/>
        <v>14.999999999999941</v>
      </c>
      <c r="D212" s="306">
        <f t="shared" ca="1" si="95"/>
        <v>-0.32667868278936552</v>
      </c>
      <c r="E212" s="307">
        <f t="shared" ca="1" si="96"/>
        <v>-9.6325764930814817</v>
      </c>
      <c r="F212" s="304">
        <f t="shared" ca="1" si="97"/>
        <v>9.638114382847661</v>
      </c>
      <c r="G212" s="306">
        <f t="shared" ca="1" si="98"/>
        <v>18.256048231191421</v>
      </c>
      <c r="H212" s="307">
        <f t="shared" ca="1" si="99"/>
        <v>-10.896100893620449</v>
      </c>
      <c r="I212" s="304">
        <f t="shared" ca="1" si="100"/>
        <v>21.260487099395061</v>
      </c>
      <c r="J212" s="306">
        <f t="shared" ca="1" si="101"/>
        <v>372.89098869710108</v>
      </c>
      <c r="K212" s="307">
        <f t="shared" ca="1" si="102"/>
        <v>1186.7847269998153</v>
      </c>
      <c r="L212" s="304">
        <f t="shared" ca="1" si="87"/>
        <v>1243.9878125172802</v>
      </c>
      <c r="M212" s="306">
        <f t="shared" ca="1" si="103"/>
        <v>-0.53809923659411285</v>
      </c>
      <c r="N212" s="304">
        <f t="shared" ca="1" si="104"/>
        <v>-30.830815216054209</v>
      </c>
      <c r="P212" s="310">
        <f t="shared" ca="1" si="105"/>
        <v>23</v>
      </c>
      <c r="Q212" s="304">
        <f t="shared" ca="1" si="106"/>
        <v>0</v>
      </c>
      <c r="R212" s="306">
        <f t="shared" ca="1" si="107"/>
        <v>0</v>
      </c>
      <c r="S212" s="307">
        <f t="shared" ca="1" si="108"/>
        <v>2.5949999999999998</v>
      </c>
      <c r="T212" s="304">
        <f t="shared" ca="1" si="88"/>
        <v>25.456949999999999</v>
      </c>
      <c r="U212" s="311">
        <f t="shared" ca="1" si="89"/>
        <v>0</v>
      </c>
      <c r="V212" s="306">
        <f t="shared" ca="1" si="90"/>
        <v>1.0877624427861317</v>
      </c>
      <c r="W212" s="304">
        <f t="shared" ca="1" si="91"/>
        <v>1.0068235147745999</v>
      </c>
      <c r="Y212" s="314" t="str">
        <f t="shared" ca="1" si="109"/>
        <v/>
      </c>
      <c r="Z212" s="315" t="str">
        <f t="shared" ca="1" si="110"/>
        <v/>
      </c>
      <c r="AA212" s="316" t="str">
        <f t="shared" ca="1" si="111"/>
        <v/>
      </c>
      <c r="AC212" s="310">
        <f t="shared" ca="1" si="112"/>
        <v>14.999999999999941</v>
      </c>
      <c r="AD212" s="323">
        <f t="shared" ca="1" si="113"/>
        <v>372.89098869710108</v>
      </c>
      <c r="AE212" s="324" t="e">
        <f t="shared" ca="1" si="92"/>
        <v>#N/A</v>
      </c>
      <c r="AG212" s="306">
        <f t="shared" ca="1" si="114"/>
        <v>4.3102260651415207</v>
      </c>
      <c r="AH212" s="304">
        <f t="shared" ca="1" si="115"/>
        <v>-0.37175000012946913</v>
      </c>
    </row>
    <row r="213" spans="1:34" x14ac:dyDescent="0.2">
      <c r="A213" s="347">
        <f t="shared" ca="1" si="93"/>
        <v>0.1</v>
      </c>
      <c r="B213" s="304">
        <f t="shared" ca="1" si="94"/>
        <v>15.099999999999941</v>
      </c>
      <c r="D213" s="306">
        <f t="shared" ca="1" si="95"/>
        <v>-0.33315746736604795</v>
      </c>
      <c r="E213" s="307">
        <f t="shared" ca="1" si="96"/>
        <v>-9.6111553578347113</v>
      </c>
      <c r="F213" s="304">
        <f t="shared" ca="1" si="97"/>
        <v>9.6169278467968464</v>
      </c>
      <c r="G213" s="306">
        <f t="shared" ca="1" si="98"/>
        <v>18.222732484454816</v>
      </c>
      <c r="H213" s="307">
        <f t="shared" ca="1" si="99"/>
        <v>-11.85721642940392</v>
      </c>
      <c r="I213" s="304">
        <f t="shared" ca="1" si="100"/>
        <v>21.740781049762933</v>
      </c>
      <c r="J213" s="306">
        <f t="shared" ca="1" si="101"/>
        <v>374.71492773288338</v>
      </c>
      <c r="K213" s="307">
        <f t="shared" ca="1" si="102"/>
        <v>1185.6470611336642</v>
      </c>
      <c r="L213" s="304">
        <f t="shared" ca="1" si="87"/>
        <v>1243.4509361614373</v>
      </c>
      <c r="M213" s="306">
        <f t="shared" ca="1" si="103"/>
        <v>-0.57685498728680118</v>
      </c>
      <c r="N213" s="304">
        <f t="shared" ca="1" si="104"/>
        <v>-33.051356162606467</v>
      </c>
      <c r="P213" s="310">
        <f t="shared" ca="1" si="105"/>
        <v>23</v>
      </c>
      <c r="Q213" s="304">
        <f t="shared" ca="1" si="106"/>
        <v>0</v>
      </c>
      <c r="R213" s="306">
        <f t="shared" ca="1" si="107"/>
        <v>0</v>
      </c>
      <c r="S213" s="307">
        <f t="shared" ca="1" si="108"/>
        <v>2.5949999999999998</v>
      </c>
      <c r="T213" s="304">
        <f t="shared" ca="1" si="88"/>
        <v>25.456949999999999</v>
      </c>
      <c r="U213" s="311">
        <f t="shared" ca="1" si="89"/>
        <v>0</v>
      </c>
      <c r="V213" s="306">
        <f t="shared" ca="1" si="90"/>
        <v>1.0878866377602143</v>
      </c>
      <c r="W213" s="304">
        <f t="shared" ca="1" si="91"/>
        <v>1.0529476908121682</v>
      </c>
      <c r="Y213" s="314" t="str">
        <f t="shared" ca="1" si="109"/>
        <v/>
      </c>
      <c r="Z213" s="315" t="str">
        <f t="shared" ca="1" si="110"/>
        <v/>
      </c>
      <c r="AA213" s="316" t="str">
        <f t="shared" ca="1" si="111"/>
        <v/>
      </c>
      <c r="AC213" s="310" t="e">
        <f t="shared" ca="1" si="112"/>
        <v>#N/A</v>
      </c>
      <c r="AD213" s="323" t="e">
        <f t="shared" ca="1" si="113"/>
        <v>#N/A</v>
      </c>
      <c r="AE213" s="324" t="e">
        <f t="shared" ca="1" si="92"/>
        <v>#N/A</v>
      </c>
      <c r="AG213" s="306">
        <f t="shared" ca="1" si="114"/>
        <v>4.6396857809160137</v>
      </c>
      <c r="AH213" s="304">
        <f t="shared" ca="1" si="115"/>
        <v>-0.38798594018289018</v>
      </c>
    </row>
    <row r="214" spans="1:34" x14ac:dyDescent="0.2">
      <c r="A214" s="347">
        <f t="shared" ca="1" si="93"/>
        <v>0.1</v>
      </c>
      <c r="B214" s="304">
        <f t="shared" ca="1" si="94"/>
        <v>15.199999999999941</v>
      </c>
      <c r="D214" s="306">
        <f t="shared" ca="1" si="95"/>
        <v>-0.34010090817678224</v>
      </c>
      <c r="E214" s="307">
        <f t="shared" ca="1" si="96"/>
        <v>-9.5887022292332365</v>
      </c>
      <c r="F214" s="304">
        <f t="shared" ca="1" si="97"/>
        <v>9.5947318393295973</v>
      </c>
      <c r="G214" s="306">
        <f t="shared" ca="1" si="98"/>
        <v>18.188722393637139</v>
      </c>
      <c r="H214" s="307">
        <f t="shared" ca="1" si="99"/>
        <v>-12.816086652327243</v>
      </c>
      <c r="I214" s="304">
        <f t="shared" ca="1" si="100"/>
        <v>22.250431442845276</v>
      </c>
      <c r="J214" s="306">
        <f t="shared" ca="1" si="101"/>
        <v>376.535500476788</v>
      </c>
      <c r="K214" s="307">
        <f t="shared" ca="1" si="102"/>
        <v>1184.4133959795777</v>
      </c>
      <c r="L214" s="304">
        <f t="shared" ca="1" si="87"/>
        <v>1242.8250382476131</v>
      </c>
      <c r="M214" s="306">
        <f t="shared" ca="1" si="103"/>
        <v>-0.61381803955657033</v>
      </c>
      <c r="N214" s="304">
        <f t="shared" ca="1" si="104"/>
        <v>-35.169183055585698</v>
      </c>
      <c r="P214" s="310">
        <f t="shared" ca="1" si="105"/>
        <v>23</v>
      </c>
      <c r="Q214" s="304">
        <f t="shared" ca="1" si="106"/>
        <v>0</v>
      </c>
      <c r="R214" s="306">
        <f t="shared" ca="1" si="107"/>
        <v>0</v>
      </c>
      <c r="S214" s="307">
        <f t="shared" ca="1" si="108"/>
        <v>2.5949999999999998</v>
      </c>
      <c r="T214" s="304">
        <f t="shared" ca="1" si="88"/>
        <v>25.456949999999999</v>
      </c>
      <c r="U214" s="311">
        <f t="shared" ca="1" si="89"/>
        <v>0</v>
      </c>
      <c r="V214" s="306">
        <f t="shared" ca="1" si="90"/>
        <v>1.0880213277134843</v>
      </c>
      <c r="W214" s="304">
        <f t="shared" ca="1" si="91"/>
        <v>1.1030295595635111</v>
      </c>
      <c r="Y214" s="314" t="str">
        <f t="shared" ca="1" si="109"/>
        <v/>
      </c>
      <c r="Z214" s="315" t="str">
        <f t="shared" ca="1" si="110"/>
        <v/>
      </c>
      <c r="AA214" s="316" t="str">
        <f t="shared" ca="1" si="111"/>
        <v/>
      </c>
      <c r="AC214" s="310" t="e">
        <f t="shared" ca="1" si="112"/>
        <v>#N/A</v>
      </c>
      <c r="AD214" s="323" t="e">
        <f t="shared" ca="1" si="113"/>
        <v>#N/A</v>
      </c>
      <c r="AE214" s="324" t="e">
        <f t="shared" ca="1" si="92"/>
        <v>#N/A</v>
      </c>
      <c r="AG214" s="306">
        <f t="shared" ca="1" si="114"/>
        <v>4.9445210590938213</v>
      </c>
      <c r="AH214" s="304">
        <f t="shared" ca="1" si="115"/>
        <v>-0.40576018913763712</v>
      </c>
    </row>
    <row r="215" spans="1:34" x14ac:dyDescent="0.2">
      <c r="A215" s="347">
        <f t="shared" ca="1" si="93"/>
        <v>0.1</v>
      </c>
      <c r="B215" s="304">
        <f t="shared" ca="1" si="94"/>
        <v>15.29999999999994</v>
      </c>
      <c r="D215" s="306">
        <f t="shared" ca="1" si="95"/>
        <v>-0.34746698584330704</v>
      </c>
      <c r="E215" s="307">
        <f t="shared" ca="1" si="96"/>
        <v>-9.5651687851946878</v>
      </c>
      <c r="F215" s="304">
        <f t="shared" ca="1" si="97"/>
        <v>9.571477795801119</v>
      </c>
      <c r="G215" s="306">
        <f t="shared" ca="1" si="98"/>
        <v>18.153975695052807</v>
      </c>
      <c r="H215" s="307">
        <f t="shared" ca="1" si="99"/>
        <v>-13.772603530846713</v>
      </c>
      <c r="I215" s="304">
        <f t="shared" ca="1" si="100"/>
        <v>22.787089361181245</v>
      </c>
      <c r="J215" s="306">
        <f t="shared" ca="1" si="101"/>
        <v>378.35263538122251</v>
      </c>
      <c r="K215" s="307">
        <f t="shared" ca="1" si="102"/>
        <v>1183.0839614704189</v>
      </c>
      <c r="L215" s="304">
        <f t="shared" ca="1" si="87"/>
        <v>1242.1104526524427</v>
      </c>
      <c r="M215" s="306">
        <f t="shared" ca="1" si="103"/>
        <v>-0.64901730452665596</v>
      </c>
      <c r="N215" s="304">
        <f t="shared" ca="1" si="104"/>
        <v>-37.185952380334285</v>
      </c>
      <c r="P215" s="310">
        <f t="shared" ca="1" si="105"/>
        <v>23</v>
      </c>
      <c r="Q215" s="304">
        <f t="shared" ca="1" si="106"/>
        <v>0</v>
      </c>
      <c r="R215" s="306">
        <f t="shared" ca="1" si="107"/>
        <v>0</v>
      </c>
      <c r="S215" s="307">
        <f t="shared" ca="1" si="108"/>
        <v>2.5949999999999998</v>
      </c>
      <c r="T215" s="304">
        <f t="shared" ca="1" si="88"/>
        <v>25.456949999999999</v>
      </c>
      <c r="U215" s="311">
        <f t="shared" ca="1" si="89"/>
        <v>0</v>
      </c>
      <c r="V215" s="306">
        <f t="shared" ca="1" si="90"/>
        <v>1.0881664912023827</v>
      </c>
      <c r="W215" s="304">
        <f t="shared" ca="1" si="91"/>
        <v>1.1570334869576826</v>
      </c>
      <c r="Y215" s="314" t="str">
        <f t="shared" ca="1" si="109"/>
        <v/>
      </c>
      <c r="Z215" s="315" t="str">
        <f t="shared" ca="1" si="110"/>
        <v/>
      </c>
      <c r="AA215" s="316" t="str">
        <f t="shared" ca="1" si="111"/>
        <v/>
      </c>
      <c r="AC215" s="310" t="e">
        <f t="shared" ca="1" si="112"/>
        <v>#N/A</v>
      </c>
      <c r="AD215" s="323" t="e">
        <f t="shared" ca="1" si="113"/>
        <v>#N/A</v>
      </c>
      <c r="AE215" s="324" t="e">
        <f t="shared" ca="1" si="92"/>
        <v>#N/A</v>
      </c>
      <c r="AG215" s="306">
        <f t="shared" ca="1" si="114"/>
        <v>5.225429077516587</v>
      </c>
      <c r="AH215" s="304">
        <f t="shared" ca="1" si="115"/>
        <v>-0.42505956052543786</v>
      </c>
    </row>
    <row r="216" spans="1:34" x14ac:dyDescent="0.2">
      <c r="A216" s="347">
        <f t="shared" ca="1" si="93"/>
        <v>0.1</v>
      </c>
      <c r="B216" s="304">
        <f t="shared" ca="1" si="94"/>
        <v>15.39999999999994</v>
      </c>
      <c r="D216" s="306">
        <f t="shared" ca="1" si="95"/>
        <v>-0.35521513388587256</v>
      </c>
      <c r="E216" s="307">
        <f t="shared" ca="1" si="96"/>
        <v>-9.5405142802135661</v>
      </c>
      <c r="F216" s="304">
        <f t="shared" ca="1" si="97"/>
        <v>9.5471247253977225</v>
      </c>
      <c r="G216" s="306">
        <f t="shared" ca="1" si="98"/>
        <v>18.11845418166422</v>
      </c>
      <c r="H216" s="307">
        <f t="shared" ca="1" si="99"/>
        <v>-14.726654958868069</v>
      </c>
      <c r="I216" s="304">
        <f t="shared" ca="1" si="100"/>
        <v>23.348506337892776</v>
      </c>
      <c r="J216" s="306">
        <f t="shared" ca="1" si="101"/>
        <v>380.16625687505837</v>
      </c>
      <c r="K216" s="307">
        <f t="shared" ca="1" si="102"/>
        <v>1181.6589985459332</v>
      </c>
      <c r="L216" s="304">
        <f t="shared" ca="1" si="87"/>
        <v>1241.3075250359882</v>
      </c>
      <c r="M216" s="306">
        <f t="shared" ca="1" si="103"/>
        <v>-0.68249641663342175</v>
      </c>
      <c r="N216" s="304">
        <f t="shared" ca="1" si="104"/>
        <v>-39.104164205897305</v>
      </c>
      <c r="P216" s="310">
        <f t="shared" ca="1" si="105"/>
        <v>23</v>
      </c>
      <c r="Q216" s="304">
        <f t="shared" ca="1" si="106"/>
        <v>0</v>
      </c>
      <c r="R216" s="306">
        <f t="shared" ca="1" si="107"/>
        <v>0</v>
      </c>
      <c r="S216" s="307">
        <f t="shared" ca="1" si="108"/>
        <v>2.5949999999999998</v>
      </c>
      <c r="T216" s="304">
        <f t="shared" ca="1" si="88"/>
        <v>25.456949999999999</v>
      </c>
      <c r="U216" s="311">
        <f t="shared" ca="1" si="89"/>
        <v>0</v>
      </c>
      <c r="V216" s="306">
        <f t="shared" ca="1" si="90"/>
        <v>1.088322105854113</v>
      </c>
      <c r="W216" s="304">
        <f t="shared" ca="1" si="91"/>
        <v>1.2149223619733922</v>
      </c>
      <c r="Y216" s="314" t="str">
        <f t="shared" ca="1" si="109"/>
        <v/>
      </c>
      <c r="Z216" s="315" t="str">
        <f t="shared" ca="1" si="110"/>
        <v/>
      </c>
      <c r="AA216" s="316" t="str">
        <f t="shared" ca="1" si="111"/>
        <v/>
      </c>
      <c r="AC216" s="310" t="e">
        <f t="shared" ca="1" si="112"/>
        <v>#N/A</v>
      </c>
      <c r="AD216" s="323" t="e">
        <f t="shared" ca="1" si="113"/>
        <v>#N/A</v>
      </c>
      <c r="AE216" s="324" t="e">
        <f t="shared" ca="1" si="92"/>
        <v>#N/A</v>
      </c>
      <c r="AG216" s="306">
        <f t="shared" ca="1" si="114"/>
        <v>5.4833310114428171</v>
      </c>
      <c r="AH216" s="304">
        <f t="shared" ca="1" si="115"/>
        <v>-0.44587032252704534</v>
      </c>
    </row>
    <row r="217" spans="1:34" x14ac:dyDescent="0.2">
      <c r="A217" s="347">
        <f t="shared" ca="1" si="93"/>
        <v>0.1</v>
      </c>
      <c r="B217" s="304">
        <f t="shared" ca="1" si="94"/>
        <v>15.49999999999994</v>
      </c>
      <c r="D217" s="306">
        <f t="shared" ca="1" si="95"/>
        <v>-0.36330652911202799</v>
      </c>
      <c r="E217" s="307">
        <f t="shared" ca="1" si="96"/>
        <v>-9.5147049464103155</v>
      </c>
      <c r="F217" s="304">
        <f t="shared" ca="1" si="97"/>
        <v>9.5216386116750069</v>
      </c>
      <c r="G217" s="306">
        <f t="shared" ca="1" si="98"/>
        <v>18.082123528753016</v>
      </c>
      <c r="H217" s="307">
        <f t="shared" ca="1" si="99"/>
        <v>-15.6781254535091</v>
      </c>
      <c r="I217" s="304">
        <f t="shared" ca="1" si="100"/>
        <v>23.932547065556005</v>
      </c>
      <c r="J217" s="306">
        <f t="shared" ca="1" si="101"/>
        <v>381.97628576057923</v>
      </c>
      <c r="K217" s="307">
        <f t="shared" ca="1" si="102"/>
        <v>1180.1387595253143</v>
      </c>
      <c r="L217" s="304">
        <f t="shared" ca="1" si="87"/>
        <v>1240.4166133269077</v>
      </c>
      <c r="M217" s="306">
        <f t="shared" ca="1" si="103"/>
        <v>-0.71431020493673103</v>
      </c>
      <c r="N217" s="304">
        <f t="shared" ca="1" si="104"/>
        <v>-40.926960005999589</v>
      </c>
      <c r="P217" s="310">
        <f t="shared" ca="1" si="105"/>
        <v>23</v>
      </c>
      <c r="Q217" s="304">
        <f t="shared" ca="1" si="106"/>
        <v>0</v>
      </c>
      <c r="R217" s="306">
        <f t="shared" ca="1" si="107"/>
        <v>0</v>
      </c>
      <c r="S217" s="307">
        <f t="shared" ca="1" si="108"/>
        <v>2.5949999999999998</v>
      </c>
      <c r="T217" s="304">
        <f t="shared" ca="1" si="88"/>
        <v>25.456949999999999</v>
      </c>
      <c r="U217" s="311">
        <f t="shared" ca="1" si="89"/>
        <v>0</v>
      </c>
      <c r="V217" s="306">
        <f t="shared" ca="1" si="90"/>
        <v>1.0884881483230746</v>
      </c>
      <c r="W217" s="304">
        <f t="shared" ca="1" si="91"/>
        <v>1.2766575486160299</v>
      </c>
      <c r="Y217" s="314" t="str">
        <f t="shared" ca="1" si="109"/>
        <v/>
      </c>
      <c r="Z217" s="315" t="str">
        <f t="shared" ca="1" si="110"/>
        <v/>
      </c>
      <c r="AA217" s="316" t="str">
        <f t="shared" ca="1" si="111"/>
        <v/>
      </c>
      <c r="AC217" s="310" t="e">
        <f t="shared" ca="1" si="112"/>
        <v>#N/A</v>
      </c>
      <c r="AD217" s="323" t="e">
        <f t="shared" ca="1" si="113"/>
        <v>#N/A</v>
      </c>
      <c r="AE217" s="324" t="e">
        <f t="shared" ca="1" si="92"/>
        <v>#N/A</v>
      </c>
      <c r="AG217" s="306">
        <f t="shared" ca="1" si="114"/>
        <v>5.7193047875137069</v>
      </c>
      <c r="AH217" s="304">
        <f t="shared" ca="1" si="115"/>
        <v>-0.4681781741708641</v>
      </c>
    </row>
    <row r="218" spans="1:34" x14ac:dyDescent="0.2">
      <c r="A218" s="347">
        <f t="shared" ca="1" si="93"/>
        <v>0.1</v>
      </c>
      <c r="B218" s="304">
        <f t="shared" ca="1" si="94"/>
        <v>15.599999999999939</v>
      </c>
      <c r="D218" s="306">
        <f t="shared" ca="1" si="95"/>
        <v>-0.37170428309781262</v>
      </c>
      <c r="E218" s="307">
        <f t="shared" ca="1" si="96"/>
        <v>-9.4877133851150042</v>
      </c>
      <c r="F218" s="304">
        <f t="shared" ca="1" si="97"/>
        <v>9.4949918036912315</v>
      </c>
      <c r="G218" s="306">
        <f t="shared" ca="1" si="98"/>
        <v>18.044953100443234</v>
      </c>
      <c r="H218" s="307">
        <f t="shared" ca="1" si="99"/>
        <v>-16.626896792020602</v>
      </c>
      <c r="I218" s="304">
        <f t="shared" ca="1" si="100"/>
        <v>24.537196851508952</v>
      </c>
      <c r="J218" s="306">
        <f t="shared" ca="1" si="101"/>
        <v>383.78263959203906</v>
      </c>
      <c r="K218" s="307">
        <f t="shared" ca="1" si="102"/>
        <v>1178.5235084130379</v>
      </c>
      <c r="L218" s="304">
        <f t="shared" ca="1" si="87"/>
        <v>1239.4380881409159</v>
      </c>
      <c r="M218" s="306">
        <f t="shared" ca="1" si="103"/>
        <v>-0.74452159011246</v>
      </c>
      <c r="N218" s="304">
        <f t="shared" ca="1" si="104"/>
        <v>-42.657944869812958</v>
      </c>
      <c r="P218" s="310">
        <f t="shared" ca="1" si="105"/>
        <v>23</v>
      </c>
      <c r="Q218" s="304">
        <f t="shared" ca="1" si="106"/>
        <v>0</v>
      </c>
      <c r="R218" s="306">
        <f t="shared" ca="1" si="107"/>
        <v>0</v>
      </c>
      <c r="S218" s="307">
        <f t="shared" ca="1" si="108"/>
        <v>2.5949999999999998</v>
      </c>
      <c r="T218" s="304">
        <f t="shared" ca="1" si="88"/>
        <v>25.456949999999999</v>
      </c>
      <c r="U218" s="311">
        <f t="shared" ca="1" si="89"/>
        <v>0</v>
      </c>
      <c r="V218" s="306">
        <f t="shared" ca="1" si="90"/>
        <v>1.0886645942544133</v>
      </c>
      <c r="W218" s="304">
        <f t="shared" ca="1" si="91"/>
        <v>1.3421988505075513</v>
      </c>
      <c r="Y218" s="314" t="str">
        <f t="shared" ca="1" si="109"/>
        <v/>
      </c>
      <c r="Z218" s="315" t="str">
        <f t="shared" ca="1" si="110"/>
        <v/>
      </c>
      <c r="AA218" s="316" t="str">
        <f t="shared" ca="1" si="111"/>
        <v/>
      </c>
      <c r="AC218" s="310" t="e">
        <f t="shared" ca="1" si="112"/>
        <v>#N/A</v>
      </c>
      <c r="AD218" s="323" t="e">
        <f t="shared" ca="1" si="113"/>
        <v>#N/A</v>
      </c>
      <c r="AE218" s="324" t="e">
        <f t="shared" ca="1" si="92"/>
        <v>#N/A</v>
      </c>
      <c r="AG218" s="306">
        <f t="shared" ca="1" si="114"/>
        <v>5.9345274686637151</v>
      </c>
      <c r="AH218" s="304">
        <f t="shared" ca="1" si="115"/>
        <v>-0.49196822682698649</v>
      </c>
    </row>
    <row r="219" spans="1:34" x14ac:dyDescent="0.2">
      <c r="A219" s="347">
        <f t="shared" ca="1" si="93"/>
        <v>0.1</v>
      </c>
      <c r="B219" s="304">
        <f t="shared" ca="1" si="94"/>
        <v>15.699999999999939</v>
      </c>
      <c r="D219" s="306">
        <f t="shared" ca="1" si="95"/>
        <v>-0.38037355096202385</v>
      </c>
      <c r="E219" s="307">
        <f t="shared" ca="1" si="96"/>
        <v>-9.4595179710882924</v>
      </c>
      <c r="F219" s="304">
        <f t="shared" ca="1" si="97"/>
        <v>9.4671624198391058</v>
      </c>
      <c r="G219" s="306">
        <f t="shared" ca="1" si="98"/>
        <v>18.00691574534703</v>
      </c>
      <c r="H219" s="307">
        <f t="shared" ca="1" si="99"/>
        <v>-17.572848589129432</v>
      </c>
      <c r="I219" s="304">
        <f t="shared" ca="1" si="100"/>
        <v>25.160564822684229</v>
      </c>
      <c r="J219" s="306">
        <f t="shared" ca="1" si="101"/>
        <v>385.58523303432855</v>
      </c>
      <c r="K219" s="307">
        <f t="shared" ca="1" si="102"/>
        <v>1176.8135211439803</v>
      </c>
      <c r="L219" s="304">
        <f t="shared" ca="1" si="87"/>
        <v>1238.3723331379101</v>
      </c>
      <c r="M219" s="306">
        <f t="shared" ca="1" si="103"/>
        <v>-0.77319893635553005</v>
      </c>
      <c r="N219" s="304">
        <f t="shared" ca="1" si="104"/>
        <v>-44.301035777176224</v>
      </c>
      <c r="P219" s="310">
        <f t="shared" ca="1" si="105"/>
        <v>23</v>
      </c>
      <c r="Q219" s="304">
        <f t="shared" ca="1" si="106"/>
        <v>0</v>
      </c>
      <c r="R219" s="306">
        <f t="shared" ca="1" si="107"/>
        <v>0</v>
      </c>
      <c r="S219" s="307">
        <f t="shared" ca="1" si="108"/>
        <v>2.5949999999999998</v>
      </c>
      <c r="T219" s="304">
        <f t="shared" ca="1" si="88"/>
        <v>25.456949999999999</v>
      </c>
      <c r="U219" s="311">
        <f t="shared" ca="1" si="89"/>
        <v>0</v>
      </c>
      <c r="V219" s="306">
        <f t="shared" ca="1" si="90"/>
        <v>1.0888514182540245</v>
      </c>
      <c r="W219" s="304">
        <f t="shared" ca="1" si="91"/>
        <v>1.4115044869693498</v>
      </c>
      <c r="Y219" s="314" t="str">
        <f t="shared" ca="1" si="109"/>
        <v/>
      </c>
      <c r="Z219" s="315" t="str">
        <f t="shared" ca="1" si="110"/>
        <v/>
      </c>
      <c r="AA219" s="316" t="str">
        <f t="shared" ca="1" si="111"/>
        <v/>
      </c>
      <c r="AC219" s="310" t="e">
        <f t="shared" ca="1" si="112"/>
        <v>#N/A</v>
      </c>
      <c r="AD219" s="323" t="e">
        <f t="shared" ca="1" si="113"/>
        <v>#N/A</v>
      </c>
      <c r="AE219" s="324" t="e">
        <f t="shared" ca="1" si="92"/>
        <v>#N/A</v>
      </c>
      <c r="AG219" s="306">
        <f t="shared" ca="1" si="114"/>
        <v>6.1302277937481735</v>
      </c>
      <c r="AH219" s="304">
        <f t="shared" ca="1" si="115"/>
        <v>-0.51722499056167681</v>
      </c>
    </row>
    <row r="220" spans="1:34" x14ac:dyDescent="0.2">
      <c r="A220" s="347">
        <f t="shared" ca="1" si="93"/>
        <v>0.1</v>
      </c>
      <c r="B220" s="304">
        <f t="shared" ca="1" si="94"/>
        <v>15.799999999999939</v>
      </c>
      <c r="D220" s="306">
        <f t="shared" ca="1" si="95"/>
        <v>-0.38928157357837906</v>
      </c>
      <c r="E220" s="307">
        <f t="shared" ca="1" si="96"/>
        <v>-9.4301022847125537</v>
      </c>
      <c r="F220" s="304">
        <f t="shared" ca="1" si="97"/>
        <v>9.4381337797081777</v>
      </c>
      <c r="G220" s="306">
        <f t="shared" ca="1" si="98"/>
        <v>17.967987587989192</v>
      </c>
      <c r="H220" s="307">
        <f t="shared" ca="1" si="99"/>
        <v>-18.515858817600687</v>
      </c>
      <c r="I220" s="304">
        <f t="shared" ca="1" si="100"/>
        <v>25.800883816556649</v>
      </c>
      <c r="J220" s="306">
        <f t="shared" ca="1" si="101"/>
        <v>387.38397820099539</v>
      </c>
      <c r="K220" s="307">
        <f t="shared" ca="1" si="102"/>
        <v>1175.0090857736438</v>
      </c>
      <c r="L220" s="304">
        <f t="shared" ca="1" si="87"/>
        <v>1237.2197453231352</v>
      </c>
      <c r="M220" s="306">
        <f t="shared" ca="1" si="103"/>
        <v>-0.80041385134233844</v>
      </c>
      <c r="N220" s="304">
        <f t="shared" ca="1" si="104"/>
        <v>-45.860335545727672</v>
      </c>
      <c r="P220" s="310">
        <f t="shared" ca="1" si="105"/>
        <v>23</v>
      </c>
      <c r="Q220" s="304">
        <f t="shared" ca="1" si="106"/>
        <v>0</v>
      </c>
      <c r="R220" s="306">
        <f t="shared" ca="1" si="107"/>
        <v>0</v>
      </c>
      <c r="S220" s="307">
        <f t="shared" ca="1" si="108"/>
        <v>2.5949999999999998</v>
      </c>
      <c r="T220" s="304">
        <f t="shared" ca="1" si="88"/>
        <v>25.456949999999999</v>
      </c>
      <c r="U220" s="311">
        <f t="shared" ca="1" si="89"/>
        <v>0</v>
      </c>
      <c r="V220" s="306">
        <f t="shared" ca="1" si="90"/>
        <v>1.0890485938643815</v>
      </c>
      <c r="W220" s="304">
        <f t="shared" ca="1" si="91"/>
        <v>1.4845310795177777</v>
      </c>
      <c r="Y220" s="314" t="str">
        <f t="shared" ca="1" si="109"/>
        <v/>
      </c>
      <c r="Z220" s="315" t="str">
        <f t="shared" ca="1" si="110"/>
        <v/>
      </c>
      <c r="AA220" s="316" t="str">
        <f t="shared" ca="1" si="111"/>
        <v/>
      </c>
      <c r="AC220" s="310" t="e">
        <f t="shared" ca="1" si="112"/>
        <v>#N/A</v>
      </c>
      <c r="AD220" s="323" t="e">
        <f t="shared" ca="1" si="113"/>
        <v>#N/A</v>
      </c>
      <c r="AE220" s="324" t="e">
        <f t="shared" ca="1" si="92"/>
        <v>#N/A</v>
      </c>
      <c r="AG220" s="306">
        <f t="shared" ca="1" si="114"/>
        <v>6.3076485067430239</v>
      </c>
      <c r="AH220" s="304">
        <f t="shared" ca="1" si="115"/>
        <v>-0.54393236492075148</v>
      </c>
    </row>
    <row r="221" spans="1:34" x14ac:dyDescent="0.2">
      <c r="A221" s="347">
        <f t="shared" ca="1" si="93"/>
        <v>0.1</v>
      </c>
      <c r="B221" s="304">
        <f t="shared" ca="1" si="94"/>
        <v>15.899999999999938</v>
      </c>
      <c r="D221" s="306">
        <f t="shared" ca="1" si="95"/>
        <v>-0.39839766820701933</v>
      </c>
      <c r="E221" s="307">
        <f t="shared" ca="1" si="96"/>
        <v>-9.3994545818412369</v>
      </c>
      <c r="F221" s="304">
        <f t="shared" ca="1" si="97"/>
        <v>9.4078938736642339</v>
      </c>
      <c r="G221" s="306">
        <f t="shared" ca="1" si="98"/>
        <v>17.928147821168491</v>
      </c>
      <c r="H221" s="307">
        <f t="shared" ca="1" si="99"/>
        <v>-19.455804275784811</v>
      </c>
      <c r="I221" s="304">
        <f t="shared" ca="1" si="100"/>
        <v>26.456507787599538</v>
      </c>
      <c r="J221" s="306">
        <f t="shared" ca="1" si="101"/>
        <v>389.1787849714533</v>
      </c>
      <c r="K221" s="307">
        <f t="shared" ca="1" si="102"/>
        <v>1173.1105026189746</v>
      </c>
      <c r="L221" s="304">
        <f t="shared" ca="1" si="87"/>
        <v>1235.9807352976015</v>
      </c>
      <c r="M221" s="306">
        <f t="shared" ca="1" si="103"/>
        <v>-0.82623940392957229</v>
      </c>
      <c r="N221" s="304">
        <f t="shared" ca="1" si="104"/>
        <v>-47.340030712569337</v>
      </c>
      <c r="P221" s="310">
        <f t="shared" ca="1" si="105"/>
        <v>23</v>
      </c>
      <c r="Q221" s="304">
        <f t="shared" ca="1" si="106"/>
        <v>0</v>
      </c>
      <c r="R221" s="306">
        <f t="shared" ca="1" si="107"/>
        <v>0</v>
      </c>
      <c r="S221" s="307">
        <f t="shared" ca="1" si="108"/>
        <v>2.5949999999999998</v>
      </c>
      <c r="T221" s="304">
        <f t="shared" ca="1" si="88"/>
        <v>25.456949999999999</v>
      </c>
      <c r="U221" s="311">
        <f t="shared" ca="1" si="89"/>
        <v>0</v>
      </c>
      <c r="V221" s="306">
        <f t="shared" ca="1" si="90"/>
        <v>1.0892560935455857</v>
      </c>
      <c r="W221" s="304">
        <f t="shared" ca="1" si="91"/>
        <v>1.5612336477517559</v>
      </c>
      <c r="Y221" s="314" t="str">
        <f t="shared" ca="1" si="109"/>
        <v/>
      </c>
      <c r="Z221" s="315" t="str">
        <f t="shared" ca="1" si="110"/>
        <v/>
      </c>
      <c r="AA221" s="316" t="str">
        <f t="shared" ca="1" si="111"/>
        <v/>
      </c>
      <c r="AC221" s="310" t="e">
        <f t="shared" ca="1" si="112"/>
        <v>#N/A</v>
      </c>
      <c r="AD221" s="323" t="e">
        <f t="shared" ca="1" si="113"/>
        <v>#N/A</v>
      </c>
      <c r="AE221" s="324" t="e">
        <f t="shared" ca="1" si="92"/>
        <v>#N/A</v>
      </c>
      <c r="AG221" s="306">
        <f t="shared" ca="1" si="114"/>
        <v>6.4680175620691722</v>
      </c>
      <c r="AH221" s="304">
        <f t="shared" ca="1" si="115"/>
        <v>-0.57207363372554065</v>
      </c>
    </row>
    <row r="222" spans="1:34" x14ac:dyDescent="0.2">
      <c r="A222" s="347">
        <f t="shared" ca="1" si="93"/>
        <v>0.1</v>
      </c>
      <c r="B222" s="304">
        <f t="shared" ca="1" si="94"/>
        <v>15.999999999999938</v>
      </c>
      <c r="D222" s="306">
        <f t="shared" ca="1" si="95"/>
        <v>-0.40769318074311828</v>
      </c>
      <c r="E222" s="307">
        <f t="shared" ca="1" si="96"/>
        <v>-9.3675673065488319</v>
      </c>
      <c r="F222" s="304">
        <f t="shared" ca="1" si="97"/>
        <v>9.3764348753855788</v>
      </c>
      <c r="G222" s="306">
        <f t="shared" ca="1" si="98"/>
        <v>17.88737850309418</v>
      </c>
      <c r="H222" s="307">
        <f t="shared" ca="1" si="99"/>
        <v>-20.392561006439692</v>
      </c>
      <c r="I222" s="304">
        <f t="shared" ca="1" si="100"/>
        <v>27.125907433933346</v>
      </c>
      <c r="J222" s="306">
        <f t="shared" ca="1" si="101"/>
        <v>390.96956128766641</v>
      </c>
      <c r="K222" s="307">
        <f t="shared" ca="1" si="102"/>
        <v>1171.1180843548634</v>
      </c>
      <c r="L222" s="304">
        <f t="shared" ca="1" si="87"/>
        <v>1234.6557274627107</v>
      </c>
      <c r="M222" s="306">
        <f t="shared" ca="1" si="103"/>
        <v>-0.85074871592502865</v>
      </c>
      <c r="N222" s="304">
        <f t="shared" ca="1" si="104"/>
        <v>-48.744310848678353</v>
      </c>
      <c r="P222" s="310">
        <f t="shared" ca="1" si="105"/>
        <v>23</v>
      </c>
      <c r="Q222" s="304">
        <f t="shared" ca="1" si="106"/>
        <v>0</v>
      </c>
      <c r="R222" s="306">
        <f t="shared" ca="1" si="107"/>
        <v>0</v>
      </c>
      <c r="S222" s="307">
        <f t="shared" ca="1" si="108"/>
        <v>2.5949999999999998</v>
      </c>
      <c r="T222" s="304">
        <f t="shared" ca="1" si="88"/>
        <v>25.456949999999999</v>
      </c>
      <c r="U222" s="311">
        <f t="shared" ca="1" si="89"/>
        <v>0</v>
      </c>
      <c r="V222" s="306">
        <f t="shared" ca="1" si="90"/>
        <v>1.0894738886610935</v>
      </c>
      <c r="W222" s="304">
        <f t="shared" ca="1" si="91"/>
        <v>1.6415656136833874</v>
      </c>
      <c r="Y222" s="314" t="str">
        <f t="shared" ca="1" si="109"/>
        <v/>
      </c>
      <c r="Z222" s="315" t="str">
        <f t="shared" ca="1" si="110"/>
        <v/>
      </c>
      <c r="AA222" s="316" t="str">
        <f t="shared" ca="1" si="111"/>
        <v/>
      </c>
      <c r="AC222" s="310">
        <f t="shared" ca="1" si="112"/>
        <v>15.999999999999938</v>
      </c>
      <c r="AD222" s="323">
        <f t="shared" ca="1" si="113"/>
        <v>390.96956128766641</v>
      </c>
      <c r="AE222" s="324" t="e">
        <f t="shared" ca="1" si="92"/>
        <v>#N/A</v>
      </c>
      <c r="AG222" s="306">
        <f t="shared" ca="1" si="114"/>
        <v>6.6125270141816745</v>
      </c>
      <c r="AH222" s="304">
        <f t="shared" ca="1" si="115"/>
        <v>-0.60163146348815266</v>
      </c>
    </row>
    <row r="223" spans="1:34" x14ac:dyDescent="0.2">
      <c r="A223" s="347">
        <f t="shared" ca="1" si="93"/>
        <v>0.1</v>
      </c>
      <c r="B223" s="304">
        <f t="shared" ca="1" si="94"/>
        <v>16.099999999999937</v>
      </c>
      <c r="D223" s="306">
        <f t="shared" ca="1" si="95"/>
        <v>-0.41714141074210837</v>
      </c>
      <c r="E223" s="307">
        <f t="shared" ca="1" si="96"/>
        <v>-9.3344366487018053</v>
      </c>
      <c r="F223" s="304">
        <f t="shared" ca="1" si="97"/>
        <v>9.3437526992736331</v>
      </c>
      <c r="G223" s="306">
        <f t="shared" ca="1" si="98"/>
        <v>17.845664362019967</v>
      </c>
      <c r="H223" s="307">
        <f t="shared" ca="1" si="99"/>
        <v>-21.326004671309871</v>
      </c>
      <c r="I223" s="304">
        <f t="shared" ca="1" si="100"/>
        <v>27.807664622592817</v>
      </c>
      <c r="J223" s="306">
        <f t="shared" ca="1" si="101"/>
        <v>392.75621343092212</v>
      </c>
      <c r="K223" s="307">
        <f t="shared" ca="1" si="102"/>
        <v>1169.032156070976</v>
      </c>
      <c r="L223" s="304">
        <f t="shared" ca="1" si="87"/>
        <v>1233.2451601837126</v>
      </c>
      <c r="M223" s="306">
        <f t="shared" ca="1" si="103"/>
        <v>-0.87401387845819056</v>
      </c>
      <c r="N223" s="304">
        <f t="shared" ca="1" si="104"/>
        <v>-50.077306471514419</v>
      </c>
      <c r="P223" s="310">
        <f t="shared" ca="1" si="105"/>
        <v>23</v>
      </c>
      <c r="Q223" s="304">
        <f t="shared" ca="1" si="106"/>
        <v>0</v>
      </c>
      <c r="R223" s="306">
        <f t="shared" ca="1" si="107"/>
        <v>0</v>
      </c>
      <c r="S223" s="307">
        <f t="shared" ca="1" si="108"/>
        <v>2.5949999999999998</v>
      </c>
      <c r="T223" s="304">
        <f t="shared" ca="1" si="88"/>
        <v>25.456949999999999</v>
      </c>
      <c r="U223" s="311">
        <f t="shared" ca="1" si="89"/>
        <v>0</v>
      </c>
      <c r="V223" s="306">
        <f t="shared" ca="1" si="90"/>
        <v>1.0897019494676097</v>
      </c>
      <c r="W223" s="304">
        <f t="shared" ca="1" si="91"/>
        <v>1.7254788136392405</v>
      </c>
      <c r="Y223" s="314" t="str">
        <f t="shared" ca="1" si="109"/>
        <v/>
      </c>
      <c r="Z223" s="315" t="str">
        <f t="shared" ca="1" si="110"/>
        <v/>
      </c>
      <c r="AA223" s="316" t="str">
        <f t="shared" ca="1" si="111"/>
        <v/>
      </c>
      <c r="AC223" s="310" t="e">
        <f t="shared" ca="1" si="112"/>
        <v>#N/A</v>
      </c>
      <c r="AD223" s="323" t="e">
        <f t="shared" ca="1" si="113"/>
        <v>#N/A</v>
      </c>
      <c r="AE223" s="324" t="e">
        <f t="shared" ca="1" si="92"/>
        <v>#N/A</v>
      </c>
      <c r="AG223" s="306">
        <f t="shared" ca="1" si="114"/>
        <v>6.7423183154916266</v>
      </c>
      <c r="AH223" s="304">
        <f t="shared" ca="1" si="115"/>
        <v>-0.63258790508030349</v>
      </c>
    </row>
    <row r="224" spans="1:34" x14ac:dyDescent="0.2">
      <c r="A224" s="347">
        <f t="shared" ca="1" si="93"/>
        <v>0.1</v>
      </c>
      <c r="B224" s="304">
        <f t="shared" ca="1" si="94"/>
        <v>16.199999999999939</v>
      </c>
      <c r="D224" s="306">
        <f t="shared" ca="1" si="95"/>
        <v>-0.42671751833802218</v>
      </c>
      <c r="E224" s="307">
        <f t="shared" ca="1" si="96"/>
        <v>-9.3000621459196626</v>
      </c>
      <c r="F224" s="304">
        <f t="shared" ca="1" si="97"/>
        <v>9.3098466023036277</v>
      </c>
      <c r="G224" s="306">
        <f t="shared" ca="1" si="98"/>
        <v>17.802992610186166</v>
      </c>
      <c r="H224" s="307">
        <f t="shared" ca="1" si="99"/>
        <v>-22.256010885901837</v>
      </c>
      <c r="I224" s="304">
        <f t="shared" ca="1" si="100"/>
        <v>28.500466073938586</v>
      </c>
      <c r="J224" s="306">
        <f t="shared" ca="1" si="101"/>
        <v>394.53864627953243</v>
      </c>
      <c r="K224" s="307">
        <f t="shared" ca="1" si="102"/>
        <v>1166.8530552931154</v>
      </c>
      <c r="L224" s="304">
        <f t="shared" ca="1" si="87"/>
        <v>1231.7494859162573</v>
      </c>
      <c r="M224" s="306">
        <f t="shared" ca="1" si="103"/>
        <v>-0.89610514286996257</v>
      </c>
      <c r="N224" s="304">
        <f t="shared" ca="1" si="104"/>
        <v>-51.34304268641651</v>
      </c>
      <c r="P224" s="310">
        <f t="shared" ca="1" si="105"/>
        <v>23</v>
      </c>
      <c r="Q224" s="304">
        <f t="shared" ca="1" si="106"/>
        <v>0</v>
      </c>
      <c r="R224" s="306">
        <f t="shared" ca="1" si="107"/>
        <v>0</v>
      </c>
      <c r="S224" s="307">
        <f t="shared" ca="1" si="108"/>
        <v>2.5949999999999998</v>
      </c>
      <c r="T224" s="304">
        <f t="shared" ca="1" si="88"/>
        <v>25.456949999999999</v>
      </c>
      <c r="U224" s="311">
        <f t="shared" ca="1" si="89"/>
        <v>0</v>
      </c>
      <c r="V224" s="306">
        <f t="shared" ca="1" si="90"/>
        <v>1.0899402451086964</v>
      </c>
      <c r="W224" s="304">
        <f t="shared" ca="1" si="91"/>
        <v>1.8129235169373514</v>
      </c>
      <c r="Y224" s="314" t="str">
        <f t="shared" ca="1" si="109"/>
        <v/>
      </c>
      <c r="Z224" s="315" t="str">
        <f t="shared" ca="1" si="110"/>
        <v/>
      </c>
      <c r="AA224" s="316" t="str">
        <f t="shared" ca="1" si="111"/>
        <v/>
      </c>
      <c r="AC224" s="310" t="e">
        <f t="shared" ca="1" si="112"/>
        <v>#N/A</v>
      </c>
      <c r="AD224" s="323" t="e">
        <f t="shared" ca="1" si="113"/>
        <v>#N/A</v>
      </c>
      <c r="AE224" s="324" t="e">
        <f t="shared" ca="1" si="92"/>
        <v>#N/A</v>
      </c>
      <c r="AG224" s="306">
        <f t="shared" ca="1" si="114"/>
        <v>6.8584727896476485</v>
      </c>
      <c r="AH224" s="304">
        <f t="shared" ca="1" si="115"/>
        <v>-0.66492439831955319</v>
      </c>
    </row>
    <row r="225" spans="1:34" x14ac:dyDescent="0.2">
      <c r="A225" s="347">
        <f t="shared" ca="1" si="93"/>
        <v>0.1</v>
      </c>
      <c r="B225" s="304">
        <f t="shared" ca="1" si="94"/>
        <v>16.29999999999994</v>
      </c>
      <c r="D225" s="306">
        <f t="shared" ca="1" si="95"/>
        <v>-0.43639842027676251</v>
      </c>
      <c r="E225" s="307">
        <f t="shared" ca="1" si="96"/>
        <v>-9.2644463279329301</v>
      </c>
      <c r="F225" s="304">
        <f t="shared" ca="1" si="97"/>
        <v>9.2747188283187327</v>
      </c>
      <c r="G225" s="306">
        <f t="shared" ca="1" si="98"/>
        <v>17.75935276815849</v>
      </c>
      <c r="H225" s="307">
        <f t="shared" ca="1" si="99"/>
        <v>-23.182455518695129</v>
      </c>
      <c r="I225" s="304">
        <f t="shared" ca="1" si="100"/>
        <v>29.203096661487407</v>
      </c>
      <c r="J225" s="306">
        <f t="shared" ca="1" si="101"/>
        <v>396.31676354844967</v>
      </c>
      <c r="K225" s="307">
        <f t="shared" ca="1" si="102"/>
        <v>1164.5811319728855</v>
      </c>
      <c r="L225" s="304">
        <f t="shared" ca="1" si="87"/>
        <v>1230.1691712999334</v>
      </c>
      <c r="M225" s="306">
        <f t="shared" ca="1" si="103"/>
        <v>-0.91709033872985457</v>
      </c>
      <c r="N225" s="304">
        <f t="shared" ca="1" si="104"/>
        <v>-52.545405841443731</v>
      </c>
      <c r="P225" s="310">
        <f t="shared" ca="1" si="105"/>
        <v>23</v>
      </c>
      <c r="Q225" s="304">
        <f t="shared" ca="1" si="106"/>
        <v>0</v>
      </c>
      <c r="R225" s="306">
        <f t="shared" ca="1" si="107"/>
        <v>0</v>
      </c>
      <c r="S225" s="307">
        <f t="shared" ca="1" si="108"/>
        <v>2.5949999999999998</v>
      </c>
      <c r="T225" s="304">
        <f t="shared" ca="1" si="88"/>
        <v>25.456949999999999</v>
      </c>
      <c r="U225" s="311">
        <f t="shared" ca="1" si="89"/>
        <v>0</v>
      </c>
      <c r="V225" s="306">
        <f t="shared" ca="1" si="90"/>
        <v>1.0901887436116908</v>
      </c>
      <c r="W225" s="304">
        <f t="shared" ca="1" si="91"/>
        <v>1.9038484506198372</v>
      </c>
      <c r="Y225" s="314" t="str">
        <f t="shared" ca="1" si="109"/>
        <v/>
      </c>
      <c r="Z225" s="315" t="str">
        <f t="shared" ca="1" si="110"/>
        <v/>
      </c>
      <c r="AA225" s="316" t="str">
        <f t="shared" ca="1" si="111"/>
        <v/>
      </c>
      <c r="AC225" s="310" t="e">
        <f t="shared" ca="1" si="112"/>
        <v>#N/A</v>
      </c>
      <c r="AD225" s="323" t="e">
        <f t="shared" ca="1" si="113"/>
        <v>#N/A</v>
      </c>
      <c r="AE225" s="324" t="e">
        <f t="shared" ca="1" si="92"/>
        <v>#N/A</v>
      </c>
      <c r="AG225" s="306">
        <f t="shared" ca="1" si="114"/>
        <v>6.962006163698641</v>
      </c>
      <c r="AH225" s="304">
        <f t="shared" ca="1" si="115"/>
        <v>-0.6986217791666095</v>
      </c>
    </row>
    <row r="226" spans="1:34" x14ac:dyDescent="0.2">
      <c r="A226" s="347">
        <f t="shared" ca="1" si="93"/>
        <v>0.1</v>
      </c>
      <c r="B226" s="304">
        <f t="shared" ca="1" si="94"/>
        <v>16.399999999999942</v>
      </c>
      <c r="D226" s="306">
        <f t="shared" ca="1" si="95"/>
        <v>-0.44616268061985781</v>
      </c>
      <c r="E226" s="307">
        <f t="shared" ca="1" si="96"/>
        <v>-9.2275944003929968</v>
      </c>
      <c r="F226" s="304">
        <f t="shared" ca="1" si="97"/>
        <v>9.2383742918189942</v>
      </c>
      <c r="G226" s="306">
        <f t="shared" ca="1" si="98"/>
        <v>17.714736500096503</v>
      </c>
      <c r="H226" s="307">
        <f t="shared" ca="1" si="99"/>
        <v>-24.105214958734429</v>
      </c>
      <c r="I226" s="304">
        <f t="shared" ca="1" si="100"/>
        <v>29.914432594897157</v>
      </c>
      <c r="J226" s="306">
        <f t="shared" ca="1" si="101"/>
        <v>398.09046801186241</v>
      </c>
      <c r="K226" s="307">
        <f t="shared" ca="1" si="102"/>
        <v>1162.2167484490139</v>
      </c>
      <c r="L226" s="304">
        <f t="shared" ca="1" si="87"/>
        <v>1228.5046972223192</v>
      </c>
      <c r="M226" s="306">
        <f t="shared" ca="1" si="103"/>
        <v>-0.93703447613526991</v>
      </c>
      <c r="N226" s="304">
        <f t="shared" ca="1" si="104"/>
        <v>-53.688120740803022</v>
      </c>
      <c r="P226" s="310">
        <f t="shared" ca="1" si="105"/>
        <v>23</v>
      </c>
      <c r="Q226" s="304">
        <f t="shared" ca="1" si="106"/>
        <v>0</v>
      </c>
      <c r="R226" s="306">
        <f t="shared" ca="1" si="107"/>
        <v>0</v>
      </c>
      <c r="S226" s="307">
        <f t="shared" ca="1" si="108"/>
        <v>2.5949999999999998</v>
      </c>
      <c r="T226" s="304">
        <f t="shared" ca="1" si="88"/>
        <v>25.456949999999999</v>
      </c>
      <c r="U226" s="311">
        <f t="shared" ca="1" si="89"/>
        <v>0</v>
      </c>
      <c r="V226" s="306">
        <f t="shared" ca="1" si="90"/>
        <v>1.0904474118875676</v>
      </c>
      <c r="W226" s="304">
        <f t="shared" ca="1" si="91"/>
        <v>1.9982008295912528</v>
      </c>
      <c r="Y226" s="314" t="str">
        <f t="shared" ca="1" si="109"/>
        <v/>
      </c>
      <c r="Z226" s="315" t="str">
        <f t="shared" ca="1" si="110"/>
        <v/>
      </c>
      <c r="AA226" s="316" t="str">
        <f t="shared" ca="1" si="111"/>
        <v/>
      </c>
      <c r="AC226" s="310" t="e">
        <f t="shared" ca="1" si="112"/>
        <v>#N/A</v>
      </c>
      <c r="AD226" s="323" t="e">
        <f t="shared" ca="1" si="113"/>
        <v>#N/A</v>
      </c>
      <c r="AE226" s="324" t="e">
        <f t="shared" ca="1" si="92"/>
        <v>#N/A</v>
      </c>
      <c r="AG226" s="306">
        <f t="shared" ca="1" si="114"/>
        <v>7.0538661937936986</v>
      </c>
      <c r="AH226" s="304">
        <f t="shared" ca="1" si="115"/>
        <v>-0.73366028925619942</v>
      </c>
    </row>
    <row r="227" spans="1:34" x14ac:dyDescent="0.2">
      <c r="A227" s="347">
        <f t="shared" ca="1" si="93"/>
        <v>0.1</v>
      </c>
      <c r="B227" s="304">
        <f t="shared" ca="1" si="94"/>
        <v>16.499999999999943</v>
      </c>
      <c r="D227" s="306">
        <f t="shared" ca="1" si="95"/>
        <v>-0.45599040026581122</v>
      </c>
      <c r="E227" s="307">
        <f t="shared" ca="1" si="96"/>
        <v>-9.1895139646888424</v>
      </c>
      <c r="F227" s="304">
        <f t="shared" ca="1" si="97"/>
        <v>9.2008202977965947</v>
      </c>
      <c r="G227" s="306">
        <f t="shared" ca="1" si="98"/>
        <v>17.669137460069923</v>
      </c>
      <c r="H227" s="307">
        <f t="shared" ca="1" si="99"/>
        <v>-25.024166355203313</v>
      </c>
      <c r="I227" s="304">
        <f t="shared" ca="1" si="100"/>
        <v>30.633434681010481</v>
      </c>
      <c r="J227" s="306">
        <f t="shared" ca="1" si="101"/>
        <v>399.85966170987075</v>
      </c>
      <c r="K227" s="307">
        <f t="shared" ca="1" si="102"/>
        <v>1159.7602793833171</v>
      </c>
      <c r="L227" s="304">
        <f t="shared" ca="1" si="87"/>
        <v>1226.7565588567286</v>
      </c>
      <c r="M227" s="306">
        <f t="shared" ca="1" si="103"/>
        <v>-0.95599949483021196</v>
      </c>
      <c r="N227" s="304">
        <f t="shared" ca="1" si="104"/>
        <v>-54.77473627040991</v>
      </c>
      <c r="P227" s="310">
        <f t="shared" ca="1" si="105"/>
        <v>23</v>
      </c>
      <c r="Q227" s="304">
        <f t="shared" ca="1" si="106"/>
        <v>0</v>
      </c>
      <c r="R227" s="306">
        <f t="shared" ca="1" si="107"/>
        <v>0</v>
      </c>
      <c r="S227" s="307">
        <f t="shared" ca="1" si="108"/>
        <v>2.5949999999999998</v>
      </c>
      <c r="T227" s="304">
        <f t="shared" ca="1" si="88"/>
        <v>25.456949999999999</v>
      </c>
      <c r="U227" s="311">
        <f t="shared" ca="1" si="89"/>
        <v>0</v>
      </c>
      <c r="V227" s="306">
        <f t="shared" ca="1" si="90"/>
        <v>1.0907162157334263</v>
      </c>
      <c r="W227" s="304">
        <f t="shared" ca="1" si="91"/>
        <v>2.0959263915774811</v>
      </c>
      <c r="Y227" s="314" t="str">
        <f t="shared" ca="1" si="109"/>
        <v/>
      </c>
      <c r="Z227" s="315" t="str">
        <f t="shared" ca="1" si="110"/>
        <v/>
      </c>
      <c r="AA227" s="316" t="str">
        <f t="shared" ca="1" si="111"/>
        <v/>
      </c>
      <c r="AC227" s="310" t="e">
        <f t="shared" ca="1" si="112"/>
        <v>#N/A</v>
      </c>
      <c r="AD227" s="323" t="e">
        <f t="shared" ca="1" si="113"/>
        <v>#N/A</v>
      </c>
      <c r="AE227" s="324" t="e">
        <f t="shared" ca="1" si="92"/>
        <v>#N/A</v>
      </c>
      <c r="AG227" s="306">
        <f t="shared" ca="1" si="114"/>
        <v>7.1349325788062075</v>
      </c>
      <c r="AH227" s="304">
        <f t="shared" ca="1" si="115"/>
        <v>-0.77001958751108013</v>
      </c>
    </row>
    <row r="228" spans="1:34" x14ac:dyDescent="0.2">
      <c r="A228" s="347">
        <f t="shared" ca="1" si="93"/>
        <v>0.1</v>
      </c>
      <c r="B228" s="304">
        <f t="shared" ca="1" si="94"/>
        <v>16.599999999999945</v>
      </c>
      <c r="D228" s="306">
        <f t="shared" ca="1" si="95"/>
        <v>-0.46586310828265776</v>
      </c>
      <c r="E228" s="307">
        <f t="shared" ca="1" si="96"/>
        <v>-9.150214770145821</v>
      </c>
      <c r="F228" s="304">
        <f t="shared" ca="1" si="97"/>
        <v>9.1620662939892288</v>
      </c>
      <c r="G228" s="306">
        <f t="shared" ca="1" si="98"/>
        <v>17.622551149241659</v>
      </c>
      <c r="H228" s="307">
        <f t="shared" ca="1" si="99"/>
        <v>-25.939187832217897</v>
      </c>
      <c r="I228" s="304">
        <f t="shared" ca="1" si="100"/>
        <v>31.359141799525055</v>
      </c>
      <c r="J228" s="306">
        <f t="shared" ca="1" si="101"/>
        <v>401.62424614033631</v>
      </c>
      <c r="K228" s="307">
        <f t="shared" ca="1" si="102"/>
        <v>1157.2121116739461</v>
      </c>
      <c r="L228" s="304">
        <f t="shared" ca="1" si="87"/>
        <v>1224.9252656765093</v>
      </c>
      <c r="M228" s="306">
        <f t="shared" ca="1" si="103"/>
        <v>-0.97404412822100672</v>
      </c>
      <c r="N228" s="304">
        <f t="shared" ca="1" si="104"/>
        <v>-55.808617606563288</v>
      </c>
      <c r="P228" s="310">
        <f t="shared" ca="1" si="105"/>
        <v>23</v>
      </c>
      <c r="Q228" s="304">
        <f t="shared" ca="1" si="106"/>
        <v>0</v>
      </c>
      <c r="R228" s="306">
        <f t="shared" ca="1" si="107"/>
        <v>0</v>
      </c>
      <c r="S228" s="307">
        <f t="shared" ca="1" si="108"/>
        <v>2.5949999999999998</v>
      </c>
      <c r="T228" s="304">
        <f t="shared" ca="1" si="88"/>
        <v>25.456949999999999</v>
      </c>
      <c r="U228" s="311">
        <f t="shared" ca="1" si="89"/>
        <v>0</v>
      </c>
      <c r="V228" s="306">
        <f t="shared" ca="1" si="90"/>
        <v>1.0909951198373249</v>
      </c>
      <c r="W228" s="304">
        <f t="shared" ca="1" si="91"/>
        <v>2.1969694363784007</v>
      </c>
      <c r="Y228" s="314" t="str">
        <f t="shared" ca="1" si="109"/>
        <v/>
      </c>
      <c r="Z228" s="315" t="str">
        <f t="shared" ca="1" si="110"/>
        <v/>
      </c>
      <c r="AA228" s="316" t="str">
        <f t="shared" ca="1" si="111"/>
        <v/>
      </c>
      <c r="AC228" s="310" t="e">
        <f t="shared" ca="1" si="112"/>
        <v>#N/A</v>
      </c>
      <c r="AD228" s="323" t="e">
        <f t="shared" ca="1" si="113"/>
        <v>#N/A</v>
      </c>
      <c r="AE228" s="324" t="e">
        <f t="shared" ca="1" si="92"/>
        <v>#N/A</v>
      </c>
      <c r="AG228" s="306">
        <f t="shared" ca="1" si="114"/>
        <v>7.2060185086912441</v>
      </c>
      <c r="AH228" s="304">
        <f t="shared" ca="1" si="115"/>
        <v>-0.80767876361367297</v>
      </c>
    </row>
    <row r="229" spans="1:34" x14ac:dyDescent="0.2">
      <c r="A229" s="347">
        <f t="shared" ca="1" si="93"/>
        <v>0.1</v>
      </c>
      <c r="B229" s="304">
        <f t="shared" ca="1" si="94"/>
        <v>16.699999999999946</v>
      </c>
      <c r="D229" s="306">
        <f t="shared" ca="1" si="95"/>
        <v>-0.47576365712549307</v>
      </c>
      <c r="E229" s="307">
        <f t="shared" ca="1" si="96"/>
        <v>-9.1097084950182072</v>
      </c>
      <c r="F229" s="304">
        <f t="shared" ca="1" si="97"/>
        <v>9.1221236519600151</v>
      </c>
      <c r="G229" s="306">
        <f t="shared" ca="1" si="98"/>
        <v>17.574974783529111</v>
      </c>
      <c r="H229" s="307">
        <f t="shared" ca="1" si="99"/>
        <v>-26.850158681719719</v>
      </c>
      <c r="I229" s="304">
        <f t="shared" ca="1" si="100"/>
        <v>32.090664684222617</v>
      </c>
      <c r="J229" s="306">
        <f t="shared" ca="1" si="101"/>
        <v>403.38412243697485</v>
      </c>
      <c r="K229" s="307">
        <f t="shared" ca="1" si="102"/>
        <v>1154.5726443482492</v>
      </c>
      <c r="L229" s="304">
        <f t="shared" ca="1" si="87"/>
        <v>1223.0113414484581</v>
      </c>
      <c r="M229" s="306">
        <f t="shared" ca="1" si="103"/>
        <v>-0.99122385564704552</v>
      </c>
      <c r="N229" s="304">
        <f t="shared" ca="1" si="104"/>
        <v>-56.792943481260458</v>
      </c>
      <c r="P229" s="310">
        <f t="shared" ca="1" si="105"/>
        <v>23</v>
      </c>
      <c r="Q229" s="304">
        <f t="shared" ca="1" si="106"/>
        <v>0</v>
      </c>
      <c r="R229" s="306">
        <f t="shared" ca="1" si="107"/>
        <v>0</v>
      </c>
      <c r="S229" s="307">
        <f t="shared" ca="1" si="108"/>
        <v>2.5949999999999998</v>
      </c>
      <c r="T229" s="304">
        <f t="shared" ca="1" si="88"/>
        <v>25.456949999999999</v>
      </c>
      <c r="U229" s="311">
        <f t="shared" ca="1" si="89"/>
        <v>0</v>
      </c>
      <c r="V229" s="306">
        <f t="shared" ca="1" si="90"/>
        <v>1.0912840877852035</v>
      </c>
      <c r="W229" s="304">
        <f t="shared" ca="1" si="91"/>
        <v>2.3012728689398534</v>
      </c>
      <c r="Y229" s="314" t="str">
        <f t="shared" ca="1" si="109"/>
        <v/>
      </c>
      <c r="Z229" s="315" t="str">
        <f t="shared" ca="1" si="110"/>
        <v/>
      </c>
      <c r="AA229" s="316" t="str">
        <f t="shared" ca="1" si="111"/>
        <v/>
      </c>
      <c r="AC229" s="310" t="e">
        <f t="shared" ca="1" si="112"/>
        <v>#N/A</v>
      </c>
      <c r="AD229" s="323" t="e">
        <f t="shared" ca="1" si="113"/>
        <v>#N/A</v>
      </c>
      <c r="AE229" s="324" t="e">
        <f t="shared" ca="1" si="92"/>
        <v>#N/A</v>
      </c>
      <c r="AG229" s="306">
        <f t="shared" ca="1" si="114"/>
        <v>7.2678733309543535</v>
      </c>
      <c r="AH229" s="304">
        <f t="shared" ca="1" si="115"/>
        <v>-0.84661635313233174</v>
      </c>
    </row>
    <row r="230" spans="1:34" x14ac:dyDescent="0.2">
      <c r="A230" s="347">
        <f t="shared" ca="1" si="93"/>
        <v>0.1</v>
      </c>
      <c r="B230" s="304">
        <f t="shared" ca="1" si="94"/>
        <v>16.799999999999947</v>
      </c>
      <c r="D230" s="306">
        <f t="shared" ca="1" si="95"/>
        <v>-0.48567612309643887</v>
      </c>
      <c r="E230" s="307">
        <f t="shared" ca="1" si="96"/>
        <v>-9.0680085528610217</v>
      </c>
      <c r="F230" s="304">
        <f t="shared" ca="1" si="97"/>
        <v>9.0810054735864263</v>
      </c>
      <c r="G230" s="306">
        <f t="shared" ca="1" si="98"/>
        <v>17.526407171219468</v>
      </c>
      <c r="H230" s="307">
        <f t="shared" ca="1" si="99"/>
        <v>-27.756959537005823</v>
      </c>
      <c r="I230" s="304">
        <f t="shared" ca="1" si="100"/>
        <v>32.827180065767934</v>
      </c>
      <c r="J230" s="306">
        <f t="shared" ca="1" si="101"/>
        <v>405.13919153471227</v>
      </c>
      <c r="K230" s="307">
        <f t="shared" ca="1" si="102"/>
        <v>1151.8422884373131</v>
      </c>
      <c r="L230" s="304">
        <f t="shared" ca="1" si="87"/>
        <v>1221.0153242076474</v>
      </c>
      <c r="M230" s="306">
        <f t="shared" ca="1" si="103"/>
        <v>-1.0075909210551612</v>
      </c>
      <c r="N230" s="304">
        <f t="shared" ca="1" si="104"/>
        <v>-57.730707252160059</v>
      </c>
      <c r="P230" s="310">
        <f t="shared" ca="1" si="105"/>
        <v>23</v>
      </c>
      <c r="Q230" s="304">
        <f t="shared" ca="1" si="106"/>
        <v>0</v>
      </c>
      <c r="R230" s="306">
        <f t="shared" ca="1" si="107"/>
        <v>0</v>
      </c>
      <c r="S230" s="307">
        <f t="shared" ca="1" si="108"/>
        <v>2.5949999999999998</v>
      </c>
      <c r="T230" s="304">
        <f t="shared" ca="1" si="88"/>
        <v>25.456949999999999</v>
      </c>
      <c r="U230" s="311">
        <f t="shared" ca="1" si="89"/>
        <v>0</v>
      </c>
      <c r="V230" s="306">
        <f t="shared" ca="1" si="90"/>
        <v>1.0915830820696844</v>
      </c>
      <c r="W230" s="304">
        <f t="shared" ca="1" si="91"/>
        <v>2.4087782458168134</v>
      </c>
      <c r="Y230" s="314" t="str">
        <f t="shared" ca="1" si="109"/>
        <v/>
      </c>
      <c r="Z230" s="315" t="str">
        <f t="shared" ca="1" si="110"/>
        <v/>
      </c>
      <c r="AA230" s="316" t="str">
        <f t="shared" ca="1" si="111"/>
        <v/>
      </c>
      <c r="AC230" s="310" t="e">
        <f t="shared" ca="1" si="112"/>
        <v>#N/A</v>
      </c>
      <c r="AD230" s="323" t="e">
        <f t="shared" ca="1" si="113"/>
        <v>#N/A</v>
      </c>
      <c r="AE230" s="324" t="e">
        <f t="shared" ca="1" si="92"/>
        <v>#N/A</v>
      </c>
      <c r="AG230" s="306">
        <f t="shared" ca="1" si="114"/>
        <v>7.3211859357539897</v>
      </c>
      <c r="AH230" s="304">
        <f t="shared" ca="1" si="115"/>
        <v>-0.88681035411940412</v>
      </c>
    </row>
    <row r="231" spans="1:34" x14ac:dyDescent="0.2">
      <c r="A231" s="347">
        <f t="shared" ca="1" si="93"/>
        <v>0.1</v>
      </c>
      <c r="B231" s="304">
        <f t="shared" ca="1" si="94"/>
        <v>16.899999999999949</v>
      </c>
      <c r="D231" s="306">
        <f t="shared" ca="1" si="95"/>
        <v>-0.49558571285918951</v>
      </c>
      <c r="E231" s="307">
        <f t="shared" ca="1" si="96"/>
        <v>-9.025129921120417</v>
      </c>
      <c r="F231" s="304">
        <f t="shared" ca="1" si="97"/>
        <v>9.0387264197946138</v>
      </c>
      <c r="G231" s="306">
        <f t="shared" ca="1" si="98"/>
        <v>17.47684859993355</v>
      </c>
      <c r="H231" s="307">
        <f t="shared" ca="1" si="99"/>
        <v>-28.659472529117863</v>
      </c>
      <c r="I231" s="304">
        <f t="shared" ca="1" si="100"/>
        <v>33.567925205950111</v>
      </c>
      <c r="J231" s="306">
        <f t="shared" ca="1" si="101"/>
        <v>406.88935432326991</v>
      </c>
      <c r="K231" s="307">
        <f t="shared" ca="1" si="102"/>
        <v>1149.0214668340068</v>
      </c>
      <c r="L231" s="304">
        <f t="shared" ca="1" si="87"/>
        <v>1218.9377662157244</v>
      </c>
      <c r="M231" s="306">
        <f t="shared" ca="1" si="103"/>
        <v>-1.023194400424851</v>
      </c>
      <c r="N231" s="304">
        <f t="shared" ca="1" si="104"/>
        <v>-58.624720765762731</v>
      </c>
      <c r="P231" s="310">
        <f t="shared" ca="1" si="105"/>
        <v>23</v>
      </c>
      <c r="Q231" s="304">
        <f t="shared" ca="1" si="106"/>
        <v>0</v>
      </c>
      <c r="R231" s="306">
        <f t="shared" ca="1" si="107"/>
        <v>0</v>
      </c>
      <c r="S231" s="307">
        <f t="shared" ca="1" si="108"/>
        <v>2.5949999999999998</v>
      </c>
      <c r="T231" s="304">
        <f t="shared" ca="1" si="88"/>
        <v>25.456949999999999</v>
      </c>
      <c r="U231" s="311">
        <f t="shared" ca="1" si="89"/>
        <v>0</v>
      </c>
      <c r="V231" s="306">
        <f t="shared" ca="1" si="90"/>
        <v>1.0918920641005558</v>
      </c>
      <c r="W231" s="304">
        <f t="shared" ca="1" si="91"/>
        <v>2.5194258246404342</v>
      </c>
      <c r="Y231" s="314" t="str">
        <f t="shared" ca="1" si="109"/>
        <v/>
      </c>
      <c r="Z231" s="315" t="str">
        <f t="shared" ca="1" si="110"/>
        <v/>
      </c>
      <c r="AA231" s="316" t="str">
        <f t="shared" ca="1" si="111"/>
        <v/>
      </c>
      <c r="AC231" s="310" t="e">
        <f t="shared" ca="1" si="112"/>
        <v>#N/A</v>
      </c>
      <c r="AD231" s="323" t="e">
        <f t="shared" ca="1" si="113"/>
        <v>#N/A</v>
      </c>
      <c r="AE231" s="324" t="e">
        <f t="shared" ca="1" si="92"/>
        <v>#N/A</v>
      </c>
      <c r="AG231" s="306">
        <f t="shared" ca="1" si="114"/>
        <v>7.3665885574230101</v>
      </c>
      <c r="AH231" s="304">
        <f t="shared" ca="1" si="115"/>
        <v>-0.92823824501611318</v>
      </c>
    </row>
    <row r="232" spans="1:34" x14ac:dyDescent="0.2">
      <c r="A232" s="347">
        <f t="shared" ca="1" si="93"/>
        <v>0.1</v>
      </c>
      <c r="B232" s="304">
        <f t="shared" ca="1" si="94"/>
        <v>16.99999999999995</v>
      </c>
      <c r="D232" s="306">
        <f t="shared" ca="1" si="95"/>
        <v>-0.50547867641448951</v>
      </c>
      <c r="E232" s="307">
        <f t="shared" ca="1" si="96"/>
        <v>-8.9810889890748964</v>
      </c>
      <c r="F232" s="304">
        <f t="shared" ca="1" si="97"/>
        <v>8.9953025586687243</v>
      </c>
      <c r="G232" s="306">
        <f t="shared" ca="1" si="98"/>
        <v>17.426300732292102</v>
      </c>
      <c r="H232" s="307">
        <f t="shared" ca="1" si="99"/>
        <v>-29.557581428025355</v>
      </c>
      <c r="I232" s="304">
        <f t="shared" ca="1" si="100"/>
        <v>34.312192834131622</v>
      </c>
      <c r="J232" s="306">
        <f t="shared" ca="1" si="101"/>
        <v>408.63451178988117</v>
      </c>
      <c r="K232" s="307">
        <f t="shared" ca="1" si="102"/>
        <v>1146.1106141361497</v>
      </c>
      <c r="L232" s="304">
        <f t="shared" ca="1" si="87"/>
        <v>1216.7792339045307</v>
      </c>
      <c r="M232" s="306">
        <f t="shared" ca="1" si="103"/>
        <v>-1.0380803038778632</v>
      </c>
      <c r="N232" s="304">
        <f t="shared" ca="1" si="104"/>
        <v>-59.477620207859545</v>
      </c>
      <c r="P232" s="310">
        <f t="shared" ca="1" si="105"/>
        <v>23</v>
      </c>
      <c r="Q232" s="304">
        <f t="shared" ca="1" si="106"/>
        <v>0</v>
      </c>
      <c r="R232" s="306">
        <f t="shared" ca="1" si="107"/>
        <v>0</v>
      </c>
      <c r="S232" s="307">
        <f t="shared" ca="1" si="108"/>
        <v>2.5949999999999998</v>
      </c>
      <c r="T232" s="304">
        <f t="shared" ca="1" si="88"/>
        <v>25.456949999999999</v>
      </c>
      <c r="U232" s="311">
        <f t="shared" ca="1" si="89"/>
        <v>0</v>
      </c>
      <c r="V232" s="306">
        <f t="shared" ca="1" si="90"/>
        <v>1.0922109942167597</v>
      </c>
      <c r="W232" s="304">
        <f t="shared" ca="1" si="91"/>
        <v>2.6331546162374537</v>
      </c>
      <c r="Y232" s="314" t="str">
        <f t="shared" ca="1" si="109"/>
        <v/>
      </c>
      <c r="Z232" s="315" t="str">
        <f t="shared" ca="1" si="110"/>
        <v/>
      </c>
      <c r="AA232" s="316" t="str">
        <f t="shared" ca="1" si="111"/>
        <v/>
      </c>
      <c r="AC232" s="310">
        <f t="shared" ca="1" si="112"/>
        <v>16.99999999999995</v>
      </c>
      <c r="AD232" s="323">
        <f t="shared" ca="1" si="113"/>
        <v>408.63451178988117</v>
      </c>
      <c r="AE232" s="324" t="e">
        <f t="shared" ca="1" si="92"/>
        <v>#N/A</v>
      </c>
      <c r="AG232" s="306">
        <f t="shared" ca="1" si="114"/>
        <v>7.4046607688968979</v>
      </c>
      <c r="AH232" s="304">
        <f t="shared" ca="1" si="115"/>
        <v>-0.97087700371500363</v>
      </c>
    </row>
    <row r="233" spans="1:34" x14ac:dyDescent="0.2">
      <c r="A233" s="347">
        <f t="shared" ca="1" si="93"/>
        <v>0.1</v>
      </c>
      <c r="B233" s="304">
        <f t="shared" ca="1" si="94"/>
        <v>17.099999999999952</v>
      </c>
      <c r="D233" s="306">
        <f t="shared" ca="1" si="95"/>
        <v>-0.5153422266483888</v>
      </c>
      <c r="E233" s="307">
        <f t="shared" ca="1" si="96"/>
        <v>-8.9359034225644223</v>
      </c>
      <c r="F233" s="304">
        <f t="shared" ca="1" si="97"/>
        <v>8.9507512303697432</v>
      </c>
      <c r="G233" s="306">
        <f t="shared" ca="1" si="98"/>
        <v>17.374766509627264</v>
      </c>
      <c r="H233" s="307">
        <f t="shared" ca="1" si="99"/>
        <v>-30.451171770281796</v>
      </c>
      <c r="I233" s="304">
        <f t="shared" ca="1" si="100"/>
        <v>35.059326483081108</v>
      </c>
      <c r="J233" s="306">
        <f t="shared" ca="1" si="101"/>
        <v>410.37456515197715</v>
      </c>
      <c r="K233" s="307">
        <f t="shared" ca="1" si="102"/>
        <v>1143.1101764762343</v>
      </c>
      <c r="L233" s="304">
        <f t="shared" ca="1" si="87"/>
        <v>1214.5403078067034</v>
      </c>
      <c r="M233" s="306">
        <f t="shared" ca="1" si="103"/>
        <v>-1.0522917014082618</v>
      </c>
      <c r="N233" s="304">
        <f t="shared" ca="1" si="104"/>
        <v>-60.291873307334029</v>
      </c>
      <c r="P233" s="310">
        <f t="shared" ca="1" si="105"/>
        <v>23</v>
      </c>
      <c r="Q233" s="304">
        <f t="shared" ca="1" si="106"/>
        <v>0</v>
      </c>
      <c r="R233" s="306">
        <f t="shared" ca="1" si="107"/>
        <v>0</v>
      </c>
      <c r="S233" s="307">
        <f t="shared" ca="1" si="108"/>
        <v>2.5949999999999998</v>
      </c>
      <c r="T233" s="304">
        <f t="shared" ca="1" si="88"/>
        <v>25.456949999999999</v>
      </c>
      <c r="U233" s="311">
        <f t="shared" ca="1" si="89"/>
        <v>0</v>
      </c>
      <c r="V233" s="306">
        <f t="shared" ca="1" si="90"/>
        <v>1.0925398316997497</v>
      </c>
      <c r="W233" s="304">
        <f t="shared" ca="1" si="91"/>
        <v>2.7499024390817488</v>
      </c>
      <c r="Y233" s="314" t="str">
        <f t="shared" ca="1" si="109"/>
        <v/>
      </c>
      <c r="Z233" s="315" t="str">
        <f t="shared" ca="1" si="110"/>
        <v/>
      </c>
      <c r="AA233" s="316" t="str">
        <f t="shared" ca="1" si="111"/>
        <v/>
      </c>
      <c r="AC233" s="310" t="e">
        <f t="shared" ca="1" si="112"/>
        <v>#N/A</v>
      </c>
      <c r="AD233" s="323" t="e">
        <f t="shared" ca="1" si="113"/>
        <v>#N/A</v>
      </c>
      <c r="AE233" s="324" t="e">
        <f t="shared" ca="1" si="92"/>
        <v>#N/A</v>
      </c>
      <c r="AG233" s="306">
        <f t="shared" ca="1" si="114"/>
        <v>7.4359335078693647</v>
      </c>
      <c r="AH233" s="304">
        <f t="shared" ca="1" si="115"/>
        <v>-1.0147031276444909</v>
      </c>
    </row>
    <row r="234" spans="1:34" x14ac:dyDescent="0.2">
      <c r="A234" s="347">
        <f t="shared" ca="1" si="93"/>
        <v>0.1</v>
      </c>
      <c r="B234" s="304">
        <f t="shared" ca="1" si="94"/>
        <v>17.199999999999953</v>
      </c>
      <c r="D234" s="306">
        <f t="shared" ca="1" si="95"/>
        <v>-0.52516446535760841</v>
      </c>
      <c r="E234" s="307">
        <f t="shared" ca="1" si="96"/>
        <v>-8.8895920432431872</v>
      </c>
      <c r="F234" s="304">
        <f t="shared" ca="1" si="97"/>
        <v>8.9050909265973761</v>
      </c>
      <c r="G234" s="306">
        <f t="shared" ca="1" si="98"/>
        <v>17.322250063091502</v>
      </c>
      <c r="H234" s="307">
        <f t="shared" ca="1" si="99"/>
        <v>-31.340130974606115</v>
      </c>
      <c r="I234" s="304">
        <f t="shared" ca="1" si="100"/>
        <v>35.808716212030546</v>
      </c>
      <c r="J234" s="306">
        <f t="shared" ca="1" si="101"/>
        <v>412.10941598061311</v>
      </c>
      <c r="K234" s="307">
        <f t="shared" ca="1" si="102"/>
        <v>1140.02061133899</v>
      </c>
      <c r="L234" s="304">
        <f t="shared" ca="1" si="87"/>
        <v>1212.221582474758</v>
      </c>
      <c r="M234" s="306">
        <f t="shared" ca="1" si="103"/>
        <v>-1.0658688636427245</v>
      </c>
      <c r="N234" s="304">
        <f t="shared" ca="1" si="104"/>
        <v>-61.069787401133148</v>
      </c>
      <c r="P234" s="310">
        <f t="shared" ca="1" si="105"/>
        <v>23</v>
      </c>
      <c r="Q234" s="304">
        <f t="shared" ca="1" si="106"/>
        <v>0</v>
      </c>
      <c r="R234" s="306">
        <f t="shared" ca="1" si="107"/>
        <v>0</v>
      </c>
      <c r="S234" s="307">
        <f t="shared" ca="1" si="108"/>
        <v>2.5949999999999998</v>
      </c>
      <c r="T234" s="304">
        <f t="shared" ca="1" si="88"/>
        <v>25.456949999999999</v>
      </c>
      <c r="U234" s="311">
        <f t="shared" ca="1" si="89"/>
        <v>0</v>
      </c>
      <c r="V234" s="306">
        <f t="shared" ca="1" si="90"/>
        <v>1.0928785347880692</v>
      </c>
      <c r="W234" s="304">
        <f t="shared" ca="1" si="91"/>
        <v>2.8696059757850803</v>
      </c>
      <c r="Y234" s="314" t="str">
        <f t="shared" ca="1" si="109"/>
        <v/>
      </c>
      <c r="Z234" s="315" t="str">
        <f t="shared" ca="1" si="110"/>
        <v/>
      </c>
      <c r="AA234" s="316" t="str">
        <f t="shared" ca="1" si="111"/>
        <v/>
      </c>
      <c r="AC234" s="310" t="e">
        <f t="shared" ca="1" si="112"/>
        <v>#N/A</v>
      </c>
      <c r="AD234" s="323" t="e">
        <f t="shared" ca="1" si="113"/>
        <v>#N/A</v>
      </c>
      <c r="AE234" s="324" t="e">
        <f t="shared" ca="1" si="92"/>
        <v>#N/A</v>
      </c>
      <c r="AG234" s="306">
        <f t="shared" ca="1" si="114"/>
        <v>7.4608930219471556</v>
      </c>
      <c r="AH234" s="304">
        <f t="shared" ca="1" si="115"/>
        <v>-1.059692654752119</v>
      </c>
    </row>
    <row r="235" spans="1:34" x14ac:dyDescent="0.2">
      <c r="A235" s="347">
        <f t="shared" ca="1" si="93"/>
        <v>0.1</v>
      </c>
      <c r="B235" s="304">
        <f t="shared" ca="1" si="94"/>
        <v>17.299999999999955</v>
      </c>
      <c r="D235" s="306">
        <f t="shared" ca="1" si="95"/>
        <v>-0.53493431551557769</v>
      </c>
      <c r="E235" s="307">
        <f t="shared" ca="1" si="96"/>
        <v>-8.8421747203736274</v>
      </c>
      <c r="F235" s="304">
        <f t="shared" ca="1" si="97"/>
        <v>8.8583411826103511</v>
      </c>
      <c r="G235" s="306">
        <f t="shared" ca="1" si="98"/>
        <v>17.268756631539944</v>
      </c>
      <c r="H235" s="307">
        <f t="shared" ca="1" si="99"/>
        <v>-32.224348446643475</v>
      </c>
      <c r="I235" s="304">
        <f t="shared" ca="1" si="100"/>
        <v>36.559794698685721</v>
      </c>
      <c r="J235" s="306">
        <f t="shared" ca="1" si="101"/>
        <v>413.83896631534469</v>
      </c>
      <c r="K235" s="307">
        <f t="shared" ca="1" si="102"/>
        <v>1136.8423873679276</v>
      </c>
      <c r="L235" s="304">
        <f t="shared" ca="1" si="87"/>
        <v>1209.8236663900084</v>
      </c>
      <c r="M235" s="306">
        <f t="shared" ca="1" si="103"/>
        <v>-1.0788494110514057</v>
      </c>
      <c r="N235" s="304">
        <f t="shared" ca="1" si="104"/>
        <v>-61.813517983420063</v>
      </c>
      <c r="P235" s="310">
        <f t="shared" ca="1" si="105"/>
        <v>23</v>
      </c>
      <c r="Q235" s="304">
        <f t="shared" ca="1" si="106"/>
        <v>0</v>
      </c>
      <c r="R235" s="306">
        <f t="shared" ca="1" si="107"/>
        <v>0</v>
      </c>
      <c r="S235" s="307">
        <f t="shared" ca="1" si="108"/>
        <v>2.5949999999999998</v>
      </c>
      <c r="T235" s="304">
        <f t="shared" ca="1" si="88"/>
        <v>25.456949999999999</v>
      </c>
      <c r="U235" s="311">
        <f t="shared" ca="1" si="89"/>
        <v>0</v>
      </c>
      <c r="V235" s="306">
        <f t="shared" ca="1" si="90"/>
        <v>1.0932270606930397</v>
      </c>
      <c r="W235" s="304">
        <f t="shared" ca="1" si="91"/>
        <v>2.9922008313580255</v>
      </c>
      <c r="Y235" s="314" t="str">
        <f t="shared" ca="1" si="109"/>
        <v/>
      </c>
      <c r="Z235" s="315" t="str">
        <f t="shared" ca="1" si="110"/>
        <v/>
      </c>
      <c r="AA235" s="316" t="str">
        <f t="shared" ca="1" si="111"/>
        <v/>
      </c>
      <c r="AC235" s="310" t="e">
        <f t="shared" ca="1" si="112"/>
        <v>#N/A</v>
      </c>
      <c r="AD235" s="323" t="e">
        <f t="shared" ca="1" si="113"/>
        <v>#N/A</v>
      </c>
      <c r="AE235" s="324" t="e">
        <f t="shared" ca="1" si="92"/>
        <v>#N/A</v>
      </c>
      <c r="AG235" s="306">
        <f t="shared" ca="1" si="114"/>
        <v>7.479984657092591</v>
      </c>
      <c r="AH235" s="304">
        <f t="shared" ca="1" si="115"/>
        <v>-1.1058211852736342</v>
      </c>
    </row>
    <row r="236" spans="1:34" x14ac:dyDescent="0.2">
      <c r="A236" s="347">
        <f t="shared" ca="1" si="93"/>
        <v>0.1</v>
      </c>
      <c r="B236" s="304">
        <f t="shared" ca="1" si="94"/>
        <v>17.399999999999956</v>
      </c>
      <c r="D236" s="306">
        <f t="shared" ca="1" si="95"/>
        <v>-0.54464145945234843</v>
      </c>
      <c r="E236" s="307">
        <f t="shared" ca="1" si="96"/>
        <v>-8.7936722734382631</v>
      </c>
      <c r="F236" s="304">
        <f t="shared" ca="1" si="97"/>
        <v>8.8105224800797863</v>
      </c>
      <c r="G236" s="306">
        <f t="shared" ca="1" si="98"/>
        <v>17.214292485594708</v>
      </c>
      <c r="H236" s="307">
        <f t="shared" ca="1" si="99"/>
        <v>-33.103715673987303</v>
      </c>
      <c r="I236" s="304">
        <f t="shared" ca="1" si="100"/>
        <v>37.312033678208898</v>
      </c>
      <c r="J236" s="306">
        <f t="shared" ca="1" si="101"/>
        <v>415.5631187712014</v>
      </c>
      <c r="K236" s="307">
        <f t="shared" ca="1" si="102"/>
        <v>1133.575984161896</v>
      </c>
      <c r="L236" s="304">
        <f t="shared" ca="1" si="87"/>
        <v>1207.3471818625571</v>
      </c>
      <c r="M236" s="306">
        <f t="shared" ca="1" si="103"/>
        <v>-1.0912684666450014</v>
      </c>
      <c r="N236" s="304">
        <f t="shared" ca="1" si="104"/>
        <v>-62.525077454471436</v>
      </c>
      <c r="P236" s="310">
        <f t="shared" ca="1" si="105"/>
        <v>23</v>
      </c>
      <c r="Q236" s="304">
        <f t="shared" ca="1" si="106"/>
        <v>0</v>
      </c>
      <c r="R236" s="306">
        <f t="shared" ca="1" si="107"/>
        <v>0</v>
      </c>
      <c r="S236" s="307">
        <f t="shared" ca="1" si="108"/>
        <v>2.5949999999999998</v>
      </c>
      <c r="T236" s="304">
        <f t="shared" ca="1" si="88"/>
        <v>25.456949999999999</v>
      </c>
      <c r="U236" s="311">
        <f t="shared" ca="1" si="89"/>
        <v>0</v>
      </c>
      <c r="V236" s="306">
        <f t="shared" ca="1" si="90"/>
        <v>1.0935853656154546</v>
      </c>
      <c r="W236" s="304">
        <f t="shared" ca="1" si="91"/>
        <v>3.1176215929929225</v>
      </c>
      <c r="Y236" s="314" t="str">
        <f t="shared" ca="1" si="109"/>
        <v/>
      </c>
      <c r="Z236" s="315" t="str">
        <f t="shared" ca="1" si="110"/>
        <v/>
      </c>
      <c r="AA236" s="316" t="str">
        <f t="shared" ca="1" si="111"/>
        <v/>
      </c>
      <c r="AC236" s="310" t="e">
        <f t="shared" ca="1" si="112"/>
        <v>#N/A</v>
      </c>
      <c r="AD236" s="323" t="e">
        <f t="shared" ca="1" si="113"/>
        <v>#N/A</v>
      </c>
      <c r="AE236" s="324" t="e">
        <f t="shared" ca="1" si="92"/>
        <v>#N/A</v>
      </c>
      <c r="AG236" s="306">
        <f t="shared" ca="1" si="114"/>
        <v>7.4936164414506807</v>
      </c>
      <c r="AH236" s="304">
        <f t="shared" ca="1" si="115"/>
        <v>-1.1530639041842103</v>
      </c>
    </row>
    <row r="237" spans="1:34" x14ac:dyDescent="0.2">
      <c r="A237" s="347">
        <f t="shared" ca="1" si="93"/>
        <v>0.1</v>
      </c>
      <c r="B237" s="304">
        <f t="shared" ca="1" si="94"/>
        <v>17.499999999999957</v>
      </c>
      <c r="D237" s="306">
        <f t="shared" ca="1" si="95"/>
        <v>-0.55427628256853523</v>
      </c>
      <c r="E237" s="307">
        <f t="shared" ca="1" si="96"/>
        <v>-8.7441063840795117</v>
      </c>
      <c r="F237" s="304">
        <f t="shared" ca="1" si="97"/>
        <v>8.7616561592839322</v>
      </c>
      <c r="G237" s="306">
        <f t="shared" ca="1" si="98"/>
        <v>17.158864857337853</v>
      </c>
      <c r="H237" s="307">
        <f t="shared" ca="1" si="99"/>
        <v>-33.978126312395254</v>
      </c>
      <c r="I237" s="304">
        <f t="shared" ca="1" si="100"/>
        <v>38.064940705240446</v>
      </c>
      <c r="J237" s="306">
        <f t="shared" ca="1" si="101"/>
        <v>417.28177663834805</v>
      </c>
      <c r="K237" s="307">
        <f t="shared" ca="1" si="102"/>
        <v>1130.2218920625769</v>
      </c>
      <c r="L237" s="304">
        <f t="shared" ca="1" si="87"/>
        <v>1204.7927649234816</v>
      </c>
      <c r="M237" s="306">
        <f t="shared" ca="1" si="103"/>
        <v>-1.1031588084779413</v>
      </c>
      <c r="N237" s="304">
        <f t="shared" ca="1" si="104"/>
        <v>-63.206343858466738</v>
      </c>
      <c r="P237" s="310">
        <f t="shared" ca="1" si="105"/>
        <v>23</v>
      </c>
      <c r="Q237" s="304">
        <f t="shared" ca="1" si="106"/>
        <v>0</v>
      </c>
      <c r="R237" s="306">
        <f t="shared" ca="1" si="107"/>
        <v>0</v>
      </c>
      <c r="S237" s="307">
        <f t="shared" ca="1" si="108"/>
        <v>2.5949999999999998</v>
      </c>
      <c r="T237" s="304">
        <f t="shared" ca="1" si="88"/>
        <v>25.456949999999999</v>
      </c>
      <c r="U237" s="311">
        <f t="shared" ca="1" si="89"/>
        <v>0</v>
      </c>
      <c r="V237" s="306">
        <f t="shared" ca="1" si="90"/>
        <v>1.09395340476318</v>
      </c>
      <c r="W237" s="304">
        <f t="shared" ca="1" si="91"/>
        <v>3.2458018911389601</v>
      </c>
      <c r="Y237" s="314" t="str">
        <f t="shared" ca="1" si="109"/>
        <v/>
      </c>
      <c r="Z237" s="315" t="str">
        <f t="shared" ca="1" si="110"/>
        <v/>
      </c>
      <c r="AA237" s="316" t="str">
        <f t="shared" ca="1" si="111"/>
        <v/>
      </c>
      <c r="AC237" s="310" t="e">
        <f t="shared" ca="1" si="112"/>
        <v>#N/A</v>
      </c>
      <c r="AD237" s="323" t="e">
        <f t="shared" ca="1" si="113"/>
        <v>#N/A</v>
      </c>
      <c r="AE237" s="324" t="e">
        <f t="shared" ca="1" si="92"/>
        <v>#N/A</v>
      </c>
      <c r="AG237" s="306">
        <f t="shared" ca="1" si="114"/>
        <v>7.502162437186664</v>
      </c>
      <c r="AH237" s="304">
        <f t="shared" ca="1" si="115"/>
        <v>-1.2013956042361937</v>
      </c>
    </row>
    <row r="238" spans="1:34" x14ac:dyDescent="0.2">
      <c r="A238" s="347">
        <f t="shared" ca="1" si="93"/>
        <v>0.1</v>
      </c>
      <c r="B238" s="304">
        <f t="shared" ca="1" si="94"/>
        <v>17.599999999999959</v>
      </c>
      <c r="D238" s="306">
        <f t="shared" ca="1" si="95"/>
        <v>-0.56382982217754984</v>
      </c>
      <c r="E238" s="307">
        <f t="shared" ca="1" si="96"/>
        <v>-8.6934995160853301</v>
      </c>
      <c r="F238" s="304">
        <f t="shared" ca="1" si="97"/>
        <v>8.711764339360462</v>
      </c>
      <c r="G238" s="306">
        <f t="shared" ca="1" si="98"/>
        <v>17.102481875120098</v>
      </c>
      <c r="H238" s="307">
        <f t="shared" ca="1" si="99"/>
        <v>-34.847476264003788</v>
      </c>
      <c r="I238" s="304">
        <f t="shared" ca="1" si="100"/>
        <v>38.818056214333026</v>
      </c>
      <c r="J238" s="306">
        <f t="shared" ca="1" si="101"/>
        <v>418.99484397497093</v>
      </c>
      <c r="K238" s="307">
        <f t="shared" ca="1" si="102"/>
        <v>1126.780611933757</v>
      </c>
      <c r="L238" s="304">
        <f t="shared" ca="1" si="87"/>
        <v>1202.1610652102413</v>
      </c>
      <c r="M238" s="306">
        <f t="shared" ca="1" si="103"/>
        <v>-1.1145510192889172</v>
      </c>
      <c r="N238" s="304">
        <f t="shared" ca="1" si="104"/>
        <v>-63.859069457258961</v>
      </c>
      <c r="P238" s="310">
        <f t="shared" ca="1" si="105"/>
        <v>23</v>
      </c>
      <c r="Q238" s="304">
        <f t="shared" ca="1" si="106"/>
        <v>0</v>
      </c>
      <c r="R238" s="306">
        <f t="shared" ca="1" si="107"/>
        <v>0</v>
      </c>
      <c r="S238" s="307">
        <f t="shared" ca="1" si="108"/>
        <v>2.5949999999999998</v>
      </c>
      <c r="T238" s="304">
        <f t="shared" ca="1" si="88"/>
        <v>25.456949999999999</v>
      </c>
      <c r="U238" s="311">
        <f t="shared" ca="1" si="89"/>
        <v>0</v>
      </c>
      <c r="V238" s="306">
        <f t="shared" ca="1" si="90"/>
        <v>1.0943311323695795</v>
      </c>
      <c r="W238" s="304">
        <f t="shared" ca="1" si="91"/>
        <v>3.3766744616557216</v>
      </c>
      <c r="Y238" s="314" t="str">
        <f t="shared" ca="1" si="109"/>
        <v/>
      </c>
      <c r="Z238" s="315" t="str">
        <f t="shared" ca="1" si="110"/>
        <v/>
      </c>
      <c r="AA238" s="316" t="str">
        <f t="shared" ca="1" si="111"/>
        <v/>
      </c>
      <c r="AC238" s="310" t="e">
        <f t="shared" ca="1" si="112"/>
        <v>#N/A</v>
      </c>
      <c r="AD238" s="323" t="e">
        <f t="shared" ca="1" si="113"/>
        <v>#N/A</v>
      </c>
      <c r="AE238" s="324" t="e">
        <f t="shared" ca="1" si="92"/>
        <v>#N/A</v>
      </c>
      <c r="AG238" s="306">
        <f t="shared" ca="1" si="114"/>
        <v>7.5059658478248581</v>
      </c>
      <c r="AH238" s="304">
        <f t="shared" ca="1" si="115"/>
        <v>-1.2507907094947825</v>
      </c>
    </row>
    <row r="239" spans="1:34" x14ac:dyDescent="0.2">
      <c r="A239" s="347">
        <f t="shared" ca="1" si="93"/>
        <v>0.1</v>
      </c>
      <c r="B239" s="304">
        <f t="shared" ca="1" si="94"/>
        <v>17.69999999999996</v>
      </c>
      <c r="D239" s="306">
        <f t="shared" ca="1" si="95"/>
        <v>-0.57329372106381049</v>
      </c>
      <c r="E239" s="307">
        <f t="shared" ca="1" si="96"/>
        <v>-8.6418748423211973</v>
      </c>
      <c r="F239" s="304">
        <f t="shared" ca="1" si="97"/>
        <v>8.6608698455152417</v>
      </c>
      <c r="G239" s="306">
        <f t="shared" ca="1" si="98"/>
        <v>17.045152503013718</v>
      </c>
      <c r="H239" s="307">
        <f t="shared" ca="1" si="99"/>
        <v>-35.711663748235907</v>
      </c>
      <c r="I239" s="304">
        <f t="shared" ca="1" si="100"/>
        <v>39.570950854358571</v>
      </c>
      <c r="J239" s="306">
        <f t="shared" ca="1" si="101"/>
        <v>420.70222569387761</v>
      </c>
      <c r="K239" s="307">
        <f t="shared" ca="1" si="102"/>
        <v>1123.2526549331451</v>
      </c>
      <c r="L239" s="304">
        <f t="shared" ca="1" si="87"/>
        <v>1199.4527458462637</v>
      </c>
      <c r="M239" s="306">
        <f t="shared" ca="1" si="103"/>
        <v>-1.125473631398773</v>
      </c>
      <c r="N239" s="304">
        <f t="shared" ca="1" si="104"/>
        <v>-64.484889032412184</v>
      </c>
      <c r="P239" s="310">
        <f t="shared" ca="1" si="105"/>
        <v>23</v>
      </c>
      <c r="Q239" s="304">
        <f t="shared" ca="1" si="106"/>
        <v>0</v>
      </c>
      <c r="R239" s="306">
        <f t="shared" ca="1" si="107"/>
        <v>0</v>
      </c>
      <c r="S239" s="307">
        <f t="shared" ca="1" si="108"/>
        <v>2.5949999999999998</v>
      </c>
      <c r="T239" s="304">
        <f t="shared" ca="1" si="88"/>
        <v>25.456949999999999</v>
      </c>
      <c r="U239" s="311">
        <f t="shared" ca="1" si="89"/>
        <v>0</v>
      </c>
      <c r="V239" s="306">
        <f t="shared" ca="1" si="90"/>
        <v>1.0947185017126846</v>
      </c>
      <c r="W239" s="304">
        <f t="shared" ca="1" si="91"/>
        <v>3.5101712088457129</v>
      </c>
      <c r="Y239" s="314" t="str">
        <f t="shared" ca="1" si="109"/>
        <v/>
      </c>
      <c r="Z239" s="315" t="str">
        <f t="shared" ca="1" si="110"/>
        <v/>
      </c>
      <c r="AA239" s="316" t="str">
        <f t="shared" ca="1" si="111"/>
        <v/>
      </c>
      <c r="AC239" s="310" t="e">
        <f t="shared" ca="1" si="112"/>
        <v>#N/A</v>
      </c>
      <c r="AD239" s="323" t="e">
        <f t="shared" ca="1" si="113"/>
        <v>#N/A</v>
      </c>
      <c r="AE239" s="324" t="e">
        <f t="shared" ca="1" si="92"/>
        <v>#N/A</v>
      </c>
      <c r="AG239" s="306">
        <f t="shared" ca="1" si="114"/>
        <v>7.5053418790993227</v>
      </c>
      <c r="AH239" s="304">
        <f t="shared" ca="1" si="115"/>
        <v>-1.3012232992892956</v>
      </c>
    </row>
    <row r="240" spans="1:34" x14ac:dyDescent="0.2">
      <c r="A240" s="347">
        <f t="shared" ca="1" si="93"/>
        <v>0.1</v>
      </c>
      <c r="B240" s="304">
        <f t="shared" ca="1" si="94"/>
        <v>17.799999999999962</v>
      </c>
      <c r="D240" s="306">
        <f t="shared" ca="1" si="95"/>
        <v>-0.58266018535137476</v>
      </c>
      <c r="E240" s="307">
        <f t="shared" ca="1" si="96"/>
        <v>-8.5892561776684531</v>
      </c>
      <c r="F240" s="304">
        <f t="shared" ca="1" si="97"/>
        <v>8.6089961422461663</v>
      </c>
      <c r="G240" s="306">
        <f t="shared" ca="1" si="98"/>
        <v>16.986886484478582</v>
      </c>
      <c r="H240" s="307">
        <f t="shared" ca="1" si="99"/>
        <v>-36.57058936600275</v>
      </c>
      <c r="I240" s="304">
        <f t="shared" ca="1" si="100"/>
        <v>40.32322307322859</v>
      </c>
      <c r="J240" s="306">
        <f t="shared" ca="1" si="101"/>
        <v>422.40382764325221</v>
      </c>
      <c r="K240" s="307">
        <f t="shared" ca="1" si="102"/>
        <v>1119.6385422774331</v>
      </c>
      <c r="L240" s="304">
        <f t="shared" ca="1" si="87"/>
        <v>1196.668483315578</v>
      </c>
      <c r="M240" s="306">
        <f t="shared" ca="1" si="103"/>
        <v>-1.1359532655952365</v>
      </c>
      <c r="N240" s="304">
        <f t="shared" ca="1" si="104"/>
        <v>-65.085327842710512</v>
      </c>
      <c r="P240" s="310">
        <f t="shared" ca="1" si="105"/>
        <v>23</v>
      </c>
      <c r="Q240" s="304">
        <f t="shared" ca="1" si="106"/>
        <v>0</v>
      </c>
      <c r="R240" s="306">
        <f t="shared" ca="1" si="107"/>
        <v>0</v>
      </c>
      <c r="S240" s="307">
        <f t="shared" ca="1" si="108"/>
        <v>2.5949999999999998</v>
      </c>
      <c r="T240" s="304">
        <f t="shared" ca="1" si="88"/>
        <v>25.456949999999999</v>
      </c>
      <c r="U240" s="311">
        <f t="shared" ca="1" si="89"/>
        <v>0</v>
      </c>
      <c r="V240" s="306">
        <f t="shared" ca="1" si="90"/>
        <v>1.0951154651350437</v>
      </c>
      <c r="W240" s="304">
        <f t="shared" ca="1" si="91"/>
        <v>3.6462232691791274</v>
      </c>
      <c r="Y240" s="314" t="str">
        <f t="shared" ca="1" si="109"/>
        <v/>
      </c>
      <c r="Z240" s="315" t="str">
        <f t="shared" ca="1" si="110"/>
        <v/>
      </c>
      <c r="AA240" s="316" t="str">
        <f t="shared" ca="1" si="111"/>
        <v/>
      </c>
      <c r="AC240" s="310" t="e">
        <f t="shared" ca="1" si="112"/>
        <v>#N/A</v>
      </c>
      <c r="AD240" s="323" t="e">
        <f t="shared" ca="1" si="113"/>
        <v>#N/A</v>
      </c>
      <c r="AE240" s="324" t="e">
        <f t="shared" ca="1" si="92"/>
        <v>#N/A</v>
      </c>
      <c r="AG240" s="306">
        <f t="shared" ca="1" si="114"/>
        <v>7.5005803585564736</v>
      </c>
      <c r="AH240" s="304">
        <f t="shared" ca="1" si="115"/>
        <v>-1.3526671325031649</v>
      </c>
    </row>
    <row r="241" spans="1:34" x14ac:dyDescent="0.2">
      <c r="A241" s="347">
        <f t="shared" ca="1" si="93"/>
        <v>0.1</v>
      </c>
      <c r="B241" s="304">
        <f t="shared" ca="1" si="94"/>
        <v>17.899999999999963</v>
      </c>
      <c r="D241" s="306">
        <f t="shared" ca="1" si="95"/>
        <v>-0.59192194629309447</v>
      </c>
      <c r="E241" s="307">
        <f t="shared" ca="1" si="96"/>
        <v>-8.5356679171672027</v>
      </c>
      <c r="F241" s="304">
        <f t="shared" ca="1" si="97"/>
        <v>8.5561672717789303</v>
      </c>
      <c r="G241" s="306">
        <f t="shared" ca="1" si="98"/>
        <v>16.927694289849274</v>
      </c>
      <c r="H241" s="307">
        <f t="shared" ca="1" si="99"/>
        <v>-37.424156157719473</v>
      </c>
      <c r="I241" s="304">
        <f t="shared" ca="1" si="100"/>
        <v>41.07449693043079</v>
      </c>
      <c r="J241" s="306">
        <f t="shared" ca="1" si="101"/>
        <v>424.09955668196858</v>
      </c>
      <c r="K241" s="307">
        <f t="shared" ca="1" si="102"/>
        <v>1115.9388050012469</v>
      </c>
      <c r="L241" s="304">
        <f t="shared" ca="1" si="87"/>
        <v>1193.8089673333222</v>
      </c>
      <c r="M241" s="306">
        <f t="shared" ca="1" si="103"/>
        <v>-1.1460147632000444</v>
      </c>
      <c r="N241" s="304">
        <f t="shared" ca="1" si="104"/>
        <v>-65.661809191046984</v>
      </c>
      <c r="P241" s="310">
        <f t="shared" ca="1" si="105"/>
        <v>23</v>
      </c>
      <c r="Q241" s="304">
        <f t="shared" ca="1" si="106"/>
        <v>0</v>
      </c>
      <c r="R241" s="306">
        <f t="shared" ca="1" si="107"/>
        <v>0</v>
      </c>
      <c r="S241" s="307">
        <f t="shared" ca="1" si="108"/>
        <v>2.5949999999999998</v>
      </c>
      <c r="T241" s="304">
        <f t="shared" ca="1" si="88"/>
        <v>25.456949999999999</v>
      </c>
      <c r="U241" s="311">
        <f t="shared" ca="1" si="89"/>
        <v>0</v>
      </c>
      <c r="V241" s="306">
        <f t="shared" ca="1" si="90"/>
        <v>1.0955219740641842</v>
      </c>
      <c r="W241" s="304">
        <f t="shared" ca="1" si="91"/>
        <v>3.7847610755355032</v>
      </c>
      <c r="Y241" s="314" t="str">
        <f t="shared" ca="1" si="109"/>
        <v/>
      </c>
      <c r="Z241" s="315" t="str">
        <f t="shared" ca="1" si="110"/>
        <v/>
      </c>
      <c r="AA241" s="316" t="str">
        <f t="shared" ca="1" si="111"/>
        <v/>
      </c>
      <c r="AC241" s="310" t="e">
        <f t="shared" ca="1" si="112"/>
        <v>#N/A</v>
      </c>
      <c r="AD241" s="323" t="e">
        <f t="shared" ca="1" si="113"/>
        <v>#N/A</v>
      </c>
      <c r="AE241" s="324" t="e">
        <f t="shared" ca="1" si="92"/>
        <v>#N/A</v>
      </c>
      <c r="AG241" s="306">
        <f t="shared" ca="1" si="114"/>
        <v>7.491948123921258</v>
      </c>
      <c r="AH241" s="304">
        <f t="shared" ca="1" si="115"/>
        <v>-1.4050956721306851</v>
      </c>
    </row>
    <row r="242" spans="1:34" x14ac:dyDescent="0.2">
      <c r="A242" s="347">
        <f t="shared" ca="1" si="93"/>
        <v>0.1</v>
      </c>
      <c r="B242" s="304">
        <f t="shared" ca="1" si="94"/>
        <v>17.999999999999964</v>
      </c>
      <c r="D242" s="306">
        <f t="shared" ca="1" si="95"/>
        <v>-0.60107222561162943</v>
      </c>
      <c r="E242" s="307">
        <f t="shared" ca="1" si="96"/>
        <v>-8.4811349786812631</v>
      </c>
      <c r="F242" s="304">
        <f t="shared" ca="1" si="97"/>
        <v>8.5024077970309406</v>
      </c>
      <c r="G242" s="306">
        <f t="shared" ca="1" si="98"/>
        <v>16.86758706728811</v>
      </c>
      <c r="H242" s="307">
        <f t="shared" ca="1" si="99"/>
        <v>-38.2722696555876</v>
      </c>
      <c r="I242" s="304">
        <f t="shared" ca="1" si="100"/>
        <v>41.824420116273657</v>
      </c>
      <c r="J242" s="306">
        <f t="shared" ca="1" si="101"/>
        <v>425.78932074982544</v>
      </c>
      <c r="K242" s="307">
        <f t="shared" ca="1" si="102"/>
        <v>1112.1539837105815</v>
      </c>
      <c r="L242" s="304">
        <f t="shared" ca="1" si="87"/>
        <v>1190.8749007128811</v>
      </c>
      <c r="M242" s="306">
        <f t="shared" ca="1" si="103"/>
        <v>-1.1556813108663919</v>
      </c>
      <c r="N242" s="304">
        <f t="shared" ca="1" si="104"/>
        <v>-66.215661574790744</v>
      </c>
      <c r="P242" s="310">
        <f t="shared" ca="1" si="105"/>
        <v>23</v>
      </c>
      <c r="Q242" s="304">
        <f t="shared" ca="1" si="106"/>
        <v>0</v>
      </c>
      <c r="R242" s="306">
        <f t="shared" ca="1" si="107"/>
        <v>0</v>
      </c>
      <c r="S242" s="307">
        <f t="shared" ca="1" si="108"/>
        <v>2.5949999999999998</v>
      </c>
      <c r="T242" s="304">
        <f t="shared" ca="1" si="88"/>
        <v>25.456949999999999</v>
      </c>
      <c r="U242" s="311">
        <f t="shared" ca="1" si="89"/>
        <v>0</v>
      </c>
      <c r="V242" s="306">
        <f t="shared" ca="1" si="90"/>
        <v>1.0959379790336283</v>
      </c>
      <c r="W242" s="304">
        <f t="shared" ca="1" si="91"/>
        <v>3.9257144217971605</v>
      </c>
      <c r="Y242" s="314" t="str">
        <f t="shared" ca="1" si="109"/>
        <v/>
      </c>
      <c r="Z242" s="315" t="str">
        <f t="shared" ca="1" si="110"/>
        <v/>
      </c>
      <c r="AA242" s="316" t="str">
        <f t="shared" ca="1" si="111"/>
        <v/>
      </c>
      <c r="AC242" s="310">
        <f t="shared" ca="1" si="112"/>
        <v>17.999999999999964</v>
      </c>
      <c r="AD242" s="323">
        <f t="shared" ca="1" si="113"/>
        <v>425.78932074982544</v>
      </c>
      <c r="AE242" s="324" t="e">
        <f t="shared" ca="1" si="92"/>
        <v>#N/A</v>
      </c>
      <c r="AG242" s="306">
        <f t="shared" ca="1" si="114"/>
        <v>7.4796911931982448</v>
      </c>
      <c r="AH242" s="304">
        <f t="shared" ca="1" si="115"/>
        <v>-1.4584821100329493</v>
      </c>
    </row>
    <row r="243" spans="1:34" x14ac:dyDescent="0.2">
      <c r="A243" s="347">
        <f t="shared" ca="1" si="93"/>
        <v>0.1</v>
      </c>
      <c r="B243" s="304">
        <f t="shared" ca="1" si="94"/>
        <v>18.099999999999966</v>
      </c>
      <c r="D243" s="306">
        <f t="shared" ca="1" si="95"/>
        <v>-0.61010470404808825</v>
      </c>
      <c r="E243" s="307">
        <f t="shared" ca="1" si="96"/>
        <v>-8.4256827495051425</v>
      </c>
      <c r="F243" s="304">
        <f t="shared" ca="1" si="97"/>
        <v>8.4477427485222432</v>
      </c>
      <c r="G243" s="306">
        <f t="shared" ca="1" si="98"/>
        <v>16.8065765968833</v>
      </c>
      <c r="H243" s="307">
        <f t="shared" ca="1" si="99"/>
        <v>-39.114837930538116</v>
      </c>
      <c r="I243" s="304">
        <f t="shared" ca="1" si="100"/>
        <v>42.572662158234465</v>
      </c>
      <c r="J243" s="306">
        <f t="shared" ca="1" si="101"/>
        <v>427.47302893303402</v>
      </c>
      <c r="K243" s="307">
        <f t="shared" ca="1" si="102"/>
        <v>1108.2846283312751</v>
      </c>
      <c r="L243" s="304">
        <f t="shared" ca="1" si="87"/>
        <v>1187.8669992303746</v>
      </c>
      <c r="M243" s="306">
        <f t="shared" ca="1" si="103"/>
        <v>-1.1649745579175221</v>
      </c>
      <c r="N243" s="304">
        <f t="shared" ca="1" si="104"/>
        <v>-66.748125408792902</v>
      </c>
      <c r="P243" s="310">
        <f t="shared" ca="1" si="105"/>
        <v>23</v>
      </c>
      <c r="Q243" s="304">
        <f t="shared" ca="1" si="106"/>
        <v>0</v>
      </c>
      <c r="R243" s="306">
        <f t="shared" ca="1" si="107"/>
        <v>0</v>
      </c>
      <c r="S243" s="307">
        <f t="shared" ca="1" si="108"/>
        <v>2.5949999999999998</v>
      </c>
      <c r="T243" s="304">
        <f t="shared" ca="1" si="88"/>
        <v>25.456949999999999</v>
      </c>
      <c r="U243" s="311">
        <f t="shared" ca="1" si="89"/>
        <v>0</v>
      </c>
      <c r="V243" s="306">
        <f t="shared" ca="1" si="90"/>
        <v>1.0963634297044116</v>
      </c>
      <c r="W243" s="304">
        <f t="shared" ca="1" si="91"/>
        <v>4.0690125276387228</v>
      </c>
      <c r="Y243" s="314" t="str">
        <f t="shared" ca="1" si="109"/>
        <v/>
      </c>
      <c r="Z243" s="315" t="str">
        <f t="shared" ca="1" si="110"/>
        <v/>
      </c>
      <c r="AA243" s="316" t="str">
        <f t="shared" ca="1" si="111"/>
        <v/>
      </c>
      <c r="AC243" s="310" t="e">
        <f t="shared" ca="1" si="112"/>
        <v>#N/A</v>
      </c>
      <c r="AD243" s="323" t="e">
        <f t="shared" ca="1" si="113"/>
        <v>#N/A</v>
      </c>
      <c r="AE243" s="324" t="e">
        <f t="shared" ca="1" si="92"/>
        <v>#N/A</v>
      </c>
      <c r="AG243" s="306">
        <f t="shared" ca="1" si="114"/>
        <v>7.464036731123338</v>
      </c>
      <c r="AH243" s="304">
        <f t="shared" ca="1" si="115"/>
        <v>-1.512799391829349</v>
      </c>
    </row>
    <row r="244" spans="1:34" x14ac:dyDescent="0.2">
      <c r="A244" s="347">
        <f t="shared" ca="1" si="93"/>
        <v>0.1</v>
      </c>
      <c r="B244" s="304">
        <f t="shared" ca="1" si="94"/>
        <v>18.199999999999967</v>
      </c>
      <c r="D244" s="306">
        <f t="shared" ca="1" si="95"/>
        <v>-0.61901349279996098</v>
      </c>
      <c r="E244" s="307">
        <f t="shared" ca="1" si="96"/>
        <v>-8.3693370364207968</v>
      </c>
      <c r="F244" s="304">
        <f t="shared" ca="1" si="97"/>
        <v>8.3921975747400772</v>
      </c>
      <c r="G244" s="306">
        <f t="shared" ca="1" si="98"/>
        <v>16.744675247603304</v>
      </c>
      <c r="H244" s="307">
        <f t="shared" ca="1" si="99"/>
        <v>-39.951771634180197</v>
      </c>
      <c r="I244" s="304">
        <f t="shared" ca="1" si="100"/>
        <v>43.318912796345479</v>
      </c>
      <c r="J244" s="306">
        <f t="shared" ca="1" si="101"/>
        <v>429.15059152525833</v>
      </c>
      <c r="K244" s="307">
        <f t="shared" ca="1" si="102"/>
        <v>1104.3312978530391</v>
      </c>
      <c r="L244" s="304">
        <f t="shared" ca="1" si="87"/>
        <v>1184.7859914871785</v>
      </c>
      <c r="M244" s="306">
        <f t="shared" ca="1" si="103"/>
        <v>-1.1739147262301819</v>
      </c>
      <c r="N244" s="304">
        <f t="shared" ca="1" si="104"/>
        <v>-67.260359321244906</v>
      </c>
      <c r="P244" s="310">
        <f t="shared" ca="1" si="105"/>
        <v>23</v>
      </c>
      <c r="Q244" s="304">
        <f t="shared" ca="1" si="106"/>
        <v>0</v>
      </c>
      <c r="R244" s="306">
        <f t="shared" ca="1" si="107"/>
        <v>0</v>
      </c>
      <c r="S244" s="307">
        <f t="shared" ca="1" si="108"/>
        <v>2.5949999999999998</v>
      </c>
      <c r="T244" s="304">
        <f t="shared" ca="1" si="88"/>
        <v>25.456949999999999</v>
      </c>
      <c r="U244" s="311">
        <f t="shared" ca="1" si="89"/>
        <v>0</v>
      </c>
      <c r="V244" s="306">
        <f t="shared" ca="1" si="90"/>
        <v>1.0967982748870519</v>
      </c>
      <c r="W244" s="304">
        <f t="shared" ca="1" si="91"/>
        <v>4.2145841033655289</v>
      </c>
      <c r="Y244" s="314" t="str">
        <f t="shared" ca="1" si="109"/>
        <v/>
      </c>
      <c r="Z244" s="315" t="str">
        <f t="shared" ca="1" si="110"/>
        <v/>
      </c>
      <c r="AA244" s="316" t="str">
        <f t="shared" ca="1" si="111"/>
        <v/>
      </c>
      <c r="AC244" s="310" t="e">
        <f t="shared" ca="1" si="112"/>
        <v>#N/A</v>
      </c>
      <c r="AD244" s="323" t="e">
        <f t="shared" ca="1" si="113"/>
        <v>#N/A</v>
      </c>
      <c r="AE244" s="324" t="e">
        <f t="shared" ca="1" si="92"/>
        <v>#N/A</v>
      </c>
      <c r="AG244" s="306">
        <f t="shared" ca="1" si="114"/>
        <v>7.4451948272888453</v>
      </c>
      <c r="AH244" s="304">
        <f t="shared" ca="1" si="115"/>
        <v>-1.5680202418646332</v>
      </c>
    </row>
    <row r="245" spans="1:34" x14ac:dyDescent="0.2">
      <c r="A245" s="347">
        <f t="shared" ca="1" si="93"/>
        <v>0.1</v>
      </c>
      <c r="B245" s="304">
        <f t="shared" ca="1" si="94"/>
        <v>18.299999999999969</v>
      </c>
      <c r="D245" s="306">
        <f t="shared" ca="1" si="95"/>
        <v>-0.62779310755617523</v>
      </c>
      <c r="E245" s="307">
        <f t="shared" ca="1" si="96"/>
        <v>-8.3121240187870118</v>
      </c>
      <c r="F245" s="304">
        <f t="shared" ca="1" si="97"/>
        <v>8.3357980955389621</v>
      </c>
      <c r="G245" s="306">
        <f t="shared" ca="1" si="98"/>
        <v>16.681895936847688</v>
      </c>
      <c r="H245" s="307">
        <f t="shared" ca="1" si="99"/>
        <v>-40.782984036058899</v>
      </c>
      <c r="I245" s="304">
        <f t="shared" ca="1" si="100"/>
        <v>44.062880511074745</v>
      </c>
      <c r="J245" s="306">
        <f t="shared" ca="1" si="101"/>
        <v>430.82192008448089</v>
      </c>
      <c r="K245" s="307">
        <f t="shared" ca="1" si="102"/>
        <v>1100.2945600695273</v>
      </c>
      <c r="L245" s="304">
        <f t="shared" ca="1" si="87"/>
        <v>1181.6326187711109</v>
      </c>
      <c r="M245" s="306">
        <f t="shared" ca="1" si="103"/>
        <v>-1.1825207128052757</v>
      </c>
      <c r="N245" s="304">
        <f t="shared" ca="1" si="104"/>
        <v>-67.753446030544026</v>
      </c>
      <c r="P245" s="310">
        <f t="shared" ca="1" si="105"/>
        <v>23</v>
      </c>
      <c r="Q245" s="304">
        <f t="shared" ca="1" si="106"/>
        <v>0</v>
      </c>
      <c r="R245" s="306">
        <f t="shared" ca="1" si="107"/>
        <v>0</v>
      </c>
      <c r="S245" s="307">
        <f t="shared" ca="1" si="108"/>
        <v>2.5949999999999998</v>
      </c>
      <c r="T245" s="304">
        <f t="shared" ca="1" si="88"/>
        <v>25.456949999999999</v>
      </c>
      <c r="U245" s="311">
        <f t="shared" ca="1" si="89"/>
        <v>0</v>
      </c>
      <c r="V245" s="306">
        <f t="shared" ca="1" si="90"/>
        <v>1.0972424625639228</v>
      </c>
      <c r="W245" s="304">
        <f t="shared" ca="1" si="91"/>
        <v>4.3623574146617603</v>
      </c>
      <c r="Y245" s="314" t="str">
        <f t="shared" ca="1" si="109"/>
        <v/>
      </c>
      <c r="Z245" s="315" t="str">
        <f t="shared" ca="1" si="110"/>
        <v/>
      </c>
      <c r="AA245" s="316" t="str">
        <f t="shared" ca="1" si="111"/>
        <v/>
      </c>
      <c r="AC245" s="310" t="e">
        <f t="shared" ca="1" si="112"/>
        <v>#N/A</v>
      </c>
      <c r="AD245" s="323" t="e">
        <f t="shared" ca="1" si="113"/>
        <v>#N/A</v>
      </c>
      <c r="AE245" s="324" t="e">
        <f t="shared" ca="1" si="92"/>
        <v>#N/A</v>
      </c>
      <c r="AG245" s="306">
        <f t="shared" ca="1" si="114"/>
        <v>7.423360101317682</v>
      </c>
      <c r="AH245" s="304">
        <f t="shared" ca="1" si="115"/>
        <v>-1.6241171881948089</v>
      </c>
    </row>
    <row r="246" spans="1:34" x14ac:dyDescent="0.2">
      <c r="A246" s="347">
        <f t="shared" ca="1" si="93"/>
        <v>0.1</v>
      </c>
      <c r="B246" s="304">
        <f t="shared" ca="1" si="94"/>
        <v>18.39999999999997</v>
      </c>
      <c r="D246" s="306">
        <f t="shared" ca="1" si="95"/>
        <v>-0.63643844486273704</v>
      </c>
      <c r="E246" s="307">
        <f t="shared" ca="1" si="96"/>
        <v>-8.2540702043082099</v>
      </c>
      <c r="F246" s="304">
        <f t="shared" ca="1" si="97"/>
        <v>8.2785704582221129</v>
      </c>
      <c r="G246" s="306">
        <f t="shared" ca="1" si="98"/>
        <v>16.618252092361413</v>
      </c>
      <c r="H246" s="307">
        <f t="shared" ca="1" si="99"/>
        <v>-41.608391056489722</v>
      </c>
      <c r="I246" s="304">
        <f t="shared" ca="1" si="100"/>
        <v>44.804291188624426</v>
      </c>
      <c r="J246" s="306">
        <f t="shared" ca="1" si="101"/>
        <v>432.48692748594135</v>
      </c>
      <c r="K246" s="307">
        <f t="shared" ca="1" si="102"/>
        <v>1096.1749913148999</v>
      </c>
      <c r="L246" s="304">
        <f t="shared" ca="1" si="87"/>
        <v>1178.4076349169038</v>
      </c>
      <c r="M246" s="306">
        <f t="shared" ca="1" si="103"/>
        <v>-1.1908101852647948</v>
      </c>
      <c r="N246" s="304">
        <f t="shared" ca="1" si="104"/>
        <v>-68.228397816864387</v>
      </c>
      <c r="P246" s="310">
        <f t="shared" ca="1" si="105"/>
        <v>23</v>
      </c>
      <c r="Q246" s="304">
        <f t="shared" ca="1" si="106"/>
        <v>0</v>
      </c>
      <c r="R246" s="306">
        <f t="shared" ca="1" si="107"/>
        <v>0</v>
      </c>
      <c r="S246" s="307">
        <f t="shared" ca="1" si="108"/>
        <v>2.5949999999999998</v>
      </c>
      <c r="T246" s="304">
        <f t="shared" ca="1" si="88"/>
        <v>25.456949999999999</v>
      </c>
      <c r="U246" s="311">
        <f t="shared" ca="1" si="89"/>
        <v>0</v>
      </c>
      <c r="V246" s="306">
        <f t="shared" ca="1" si="90"/>
        <v>1.097695939911991</v>
      </c>
      <c r="W246" s="304">
        <f t="shared" ca="1" si="91"/>
        <v>4.5122603471164551</v>
      </c>
      <c r="Y246" s="314" t="str">
        <f t="shared" ca="1" si="109"/>
        <v/>
      </c>
      <c r="Z246" s="315" t="str">
        <f t="shared" ca="1" si="110"/>
        <v/>
      </c>
      <c r="AA246" s="316" t="str">
        <f t="shared" ca="1" si="111"/>
        <v/>
      </c>
      <c r="AC246" s="310" t="e">
        <f t="shared" ca="1" si="112"/>
        <v>#N/A</v>
      </c>
      <c r="AD246" s="323" t="e">
        <f t="shared" ca="1" si="113"/>
        <v>#N/A</v>
      </c>
      <c r="AE246" s="324" t="e">
        <f t="shared" ca="1" si="92"/>
        <v>#N/A</v>
      </c>
      <c r="AG246" s="306">
        <f t="shared" ca="1" si="114"/>
        <v>7.3987131500734025</v>
      </c>
      <c r="AH246" s="304">
        <f t="shared" ca="1" si="115"/>
        <v>-1.6810625875382508</v>
      </c>
    </row>
    <row r="247" spans="1:34" x14ac:dyDescent="0.2">
      <c r="A247" s="347">
        <f t="shared" ca="1" si="93"/>
        <v>0.1</v>
      </c>
      <c r="B247" s="304">
        <f t="shared" ca="1" si="94"/>
        <v>18.499999999999972</v>
      </c>
      <c r="D247" s="306">
        <f t="shared" ca="1" si="95"/>
        <v>-0.64494476057694794</v>
      </c>
      <c r="E247" s="307">
        <f t="shared" ca="1" si="96"/>
        <v>-8.195202387183997</v>
      </c>
      <c r="F247" s="304">
        <f t="shared" ca="1" si="97"/>
        <v>8.2205410960046876</v>
      </c>
      <c r="G247" s="306">
        <f t="shared" ca="1" si="98"/>
        <v>16.553757616303717</v>
      </c>
      <c r="H247" s="307">
        <f t="shared" ca="1" si="99"/>
        <v>-42.427911295208119</v>
      </c>
      <c r="I247" s="304">
        <f t="shared" ca="1" si="100"/>
        <v>45.542886909959734</v>
      </c>
      <c r="J247" s="306">
        <f t="shared" ca="1" si="101"/>
        <v>434.14552797137463</v>
      </c>
      <c r="K247" s="307">
        <f t="shared" ca="1" si="102"/>
        <v>1091.9731761973151</v>
      </c>
      <c r="L247" s="304">
        <f t="shared" ca="1" si="87"/>
        <v>1175.1118061665434</v>
      </c>
      <c r="M247" s="306">
        <f t="shared" ca="1" si="103"/>
        <v>-1.198799670578836</v>
      </c>
      <c r="N247" s="304">
        <f t="shared" ca="1" si="104"/>
        <v>-68.686161605840709</v>
      </c>
      <c r="P247" s="310">
        <f t="shared" ca="1" si="105"/>
        <v>23</v>
      </c>
      <c r="Q247" s="304">
        <f t="shared" ca="1" si="106"/>
        <v>0</v>
      </c>
      <c r="R247" s="306">
        <f t="shared" ca="1" si="107"/>
        <v>0</v>
      </c>
      <c r="S247" s="307">
        <f t="shared" ca="1" si="108"/>
        <v>2.5949999999999998</v>
      </c>
      <c r="T247" s="304">
        <f t="shared" ca="1" si="88"/>
        <v>25.456949999999999</v>
      </c>
      <c r="U247" s="311">
        <f t="shared" ca="1" si="89"/>
        <v>0</v>
      </c>
      <c r="V247" s="306">
        <f t="shared" ca="1" si="90"/>
        <v>1.0981586533258734</v>
      </c>
      <c r="W247" s="304">
        <f t="shared" ca="1" si="91"/>
        <v>4.6642204704026042</v>
      </c>
      <c r="Y247" s="314" t="str">
        <f t="shared" ca="1" si="109"/>
        <v/>
      </c>
      <c r="Z247" s="315" t="str">
        <f t="shared" ca="1" si="110"/>
        <v/>
      </c>
      <c r="AA247" s="316" t="str">
        <f t="shared" ca="1" si="111"/>
        <v/>
      </c>
      <c r="AC247" s="310" t="e">
        <f t="shared" ca="1" si="112"/>
        <v>#N/A</v>
      </c>
      <c r="AD247" s="323" t="e">
        <f t="shared" ca="1" si="113"/>
        <v>#N/A</v>
      </c>
      <c r="AE247" s="324" t="e">
        <f t="shared" ca="1" si="92"/>
        <v>#N/A</v>
      </c>
      <c r="AG247" s="306">
        <f t="shared" ca="1" si="114"/>
        <v>7.3714218512169767</v>
      </c>
      <c r="AH247" s="304">
        <f t="shared" ca="1" si="115"/>
        <v>-1.738828650141216</v>
      </c>
    </row>
    <row r="248" spans="1:34" x14ac:dyDescent="0.2">
      <c r="A248" s="347">
        <f t="shared" ca="1" si="93"/>
        <v>0.1</v>
      </c>
      <c r="B248" s="304">
        <f t="shared" ca="1" si="94"/>
        <v>18.599999999999973</v>
      </c>
      <c r="D248" s="306">
        <f t="shared" ca="1" si="95"/>
        <v>-0.6533076501913424</v>
      </c>
      <c r="E248" s="307">
        <f t="shared" ca="1" si="96"/>
        <v>-8.135547608387153</v>
      </c>
      <c r="F248" s="304">
        <f t="shared" ca="1" si="97"/>
        <v>8.161736688605707</v>
      </c>
      <c r="G248" s="306">
        <f t="shared" ca="1" si="98"/>
        <v>16.488426851284583</v>
      </c>
      <c r="H248" s="307">
        <f t="shared" ca="1" si="99"/>
        <v>-43.241466056046832</v>
      </c>
      <c r="I248" s="304">
        <f t="shared" ca="1" si="100"/>
        <v>46.278424851181057</v>
      </c>
      <c r="J248" s="306">
        <f t="shared" ca="1" si="101"/>
        <v>435.79763719475403</v>
      </c>
      <c r="K248" s="307">
        <f t="shared" ca="1" si="102"/>
        <v>1087.6897073297523</v>
      </c>
      <c r="L248" s="304">
        <f t="shared" ca="1" si="87"/>
        <v>1171.7459110300376</v>
      </c>
      <c r="M248" s="306">
        <f t="shared" ca="1" si="103"/>
        <v>-1.2065046373670267</v>
      </c>
      <c r="N248" s="304">
        <f t="shared" ca="1" si="104"/>
        <v>-69.127623684092512</v>
      </c>
      <c r="P248" s="310">
        <f t="shared" ca="1" si="105"/>
        <v>23</v>
      </c>
      <c r="Q248" s="304">
        <f t="shared" ca="1" si="106"/>
        <v>0</v>
      </c>
      <c r="R248" s="306">
        <f t="shared" ca="1" si="107"/>
        <v>0</v>
      </c>
      <c r="S248" s="307">
        <f t="shared" ca="1" si="108"/>
        <v>2.5949999999999998</v>
      </c>
      <c r="T248" s="304">
        <f t="shared" ca="1" si="88"/>
        <v>25.456949999999999</v>
      </c>
      <c r="U248" s="311">
        <f t="shared" ca="1" si="89"/>
        <v>0</v>
      </c>
      <c r="V248" s="306">
        <f t="shared" ca="1" si="90"/>
        <v>1.0986305484411774</v>
      </c>
      <c r="W248" s="304">
        <f t="shared" ca="1" si="91"/>
        <v>4.8181651019910632</v>
      </c>
      <c r="Y248" s="314" t="str">
        <f t="shared" ca="1" si="109"/>
        <v/>
      </c>
      <c r="Z248" s="315" t="str">
        <f t="shared" ca="1" si="110"/>
        <v/>
      </c>
      <c r="AA248" s="316" t="str">
        <f t="shared" ca="1" si="111"/>
        <v/>
      </c>
      <c r="AC248" s="310" t="e">
        <f t="shared" ca="1" si="112"/>
        <v>#N/A</v>
      </c>
      <c r="AD248" s="323" t="e">
        <f t="shared" ca="1" si="113"/>
        <v>#N/A</v>
      </c>
      <c r="AE248" s="324" t="e">
        <f t="shared" ca="1" si="92"/>
        <v>#N/A</v>
      </c>
      <c r="AG248" s="306">
        <f t="shared" ca="1" si="114"/>
        <v>7.3416425365719959</v>
      </c>
      <c r="AH248" s="304">
        <f t="shared" ca="1" si="115"/>
        <v>-1.7973874645096743</v>
      </c>
    </row>
    <row r="249" spans="1:34" x14ac:dyDescent="0.2">
      <c r="A249" s="347">
        <f t="shared" ca="1" si="93"/>
        <v>0.1</v>
      </c>
      <c r="B249" s="304">
        <f t="shared" ca="1" si="94"/>
        <v>18.699999999999974</v>
      </c>
      <c r="D249" s="306">
        <f t="shared" ca="1" si="95"/>
        <v>-0.66152303083001129</v>
      </c>
      <c r="E249" s="307">
        <f t="shared" ca="1" si="96"/>
        <v>-8.0751331178571135</v>
      </c>
      <c r="F249" s="304">
        <f t="shared" ca="1" si="97"/>
        <v>8.1021841247549578</v>
      </c>
      <c r="G249" s="306">
        <f t="shared" ca="1" si="98"/>
        <v>16.422274548201582</v>
      </c>
      <c r="H249" s="307">
        <f t="shared" ca="1" si="99"/>
        <v>-44.048979367832544</v>
      </c>
      <c r="I249" s="304">
        <f t="shared" ca="1" si="100"/>
        <v>47.010676284055378</v>
      </c>
      <c r="J249" s="306">
        <f t="shared" ca="1" si="101"/>
        <v>437.44317226472833</v>
      </c>
      <c r="K249" s="307">
        <f t="shared" ca="1" si="102"/>
        <v>1083.3251850585584</v>
      </c>
      <c r="L249" s="304">
        <f t="shared" ca="1" si="87"/>
        <v>1168.3107401471532</v>
      </c>
      <c r="M249" s="306">
        <f t="shared" ca="1" si="103"/>
        <v>-1.2139395721409734</v>
      </c>
      <c r="N249" s="304">
        <f t="shared" ca="1" si="104"/>
        <v>-69.553614067594708</v>
      </c>
      <c r="P249" s="310">
        <f t="shared" ca="1" si="105"/>
        <v>23</v>
      </c>
      <c r="Q249" s="304">
        <f t="shared" ca="1" si="106"/>
        <v>0</v>
      </c>
      <c r="R249" s="306">
        <f t="shared" ca="1" si="107"/>
        <v>0</v>
      </c>
      <c r="S249" s="307">
        <f t="shared" ca="1" si="108"/>
        <v>2.5949999999999998</v>
      </c>
      <c r="T249" s="304">
        <f t="shared" ca="1" si="88"/>
        <v>25.456949999999999</v>
      </c>
      <c r="U249" s="311">
        <f t="shared" ca="1" si="89"/>
        <v>0</v>
      </c>
      <c r="V249" s="306">
        <f t="shared" ca="1" si="90"/>
        <v>1.0991115701580876</v>
      </c>
      <c r="W249" s="304">
        <f t="shared" ca="1" si="91"/>
        <v>4.9740213702873524</v>
      </c>
      <c r="Y249" s="314" t="str">
        <f t="shared" ca="1" si="109"/>
        <v/>
      </c>
      <c r="Z249" s="315" t="str">
        <f t="shared" ca="1" si="110"/>
        <v/>
      </c>
      <c r="AA249" s="316" t="str">
        <f t="shared" ca="1" si="111"/>
        <v/>
      </c>
      <c r="AC249" s="310" t="e">
        <f t="shared" ca="1" si="112"/>
        <v>#N/A</v>
      </c>
      <c r="AD249" s="323" t="e">
        <f t="shared" ca="1" si="113"/>
        <v>#N/A</v>
      </c>
      <c r="AE249" s="324" t="e">
        <f t="shared" ca="1" si="92"/>
        <v>#N/A</v>
      </c>
      <c r="AG249" s="306">
        <f t="shared" ca="1" si="114"/>
        <v>7.3095210478185546</v>
      </c>
      <c r="AH249" s="304">
        <f t="shared" ca="1" si="115"/>
        <v>-1.8567110219618743</v>
      </c>
    </row>
    <row r="250" spans="1:34" x14ac:dyDescent="0.2">
      <c r="A250" s="347">
        <f t="shared" ca="1" si="93"/>
        <v>0.1</v>
      </c>
      <c r="B250" s="304">
        <f t="shared" ca="1" si="94"/>
        <v>18.799999999999976</v>
      </c>
      <c r="D250" s="306">
        <f t="shared" ca="1" si="95"/>
        <v>-0.66958712473987803</v>
      </c>
      <c r="E250" s="307">
        <f t="shared" ca="1" si="96"/>
        <v>-8.0139863384293992</v>
      </c>
      <c r="F250" s="304">
        <f t="shared" ca="1" si="97"/>
        <v>8.0419104664346062</v>
      </c>
      <c r="G250" s="306">
        <f t="shared" ca="1" si="98"/>
        <v>16.355315835727595</v>
      </c>
      <c r="H250" s="307">
        <f t="shared" ca="1" si="99"/>
        <v>-44.850378001675487</v>
      </c>
      <c r="I250" s="304">
        <f t="shared" ca="1" si="100"/>
        <v>47.739425666628819</v>
      </c>
      <c r="J250" s="306">
        <f t="shared" ca="1" si="101"/>
        <v>439.08205178392478</v>
      </c>
      <c r="K250" s="307">
        <f t="shared" ca="1" si="102"/>
        <v>1078.8802171900829</v>
      </c>
      <c r="L250" s="304">
        <f t="shared" ca="1" si="87"/>
        <v>1164.8070961506467</v>
      </c>
      <c r="M250" s="306">
        <f t="shared" ca="1" si="103"/>
        <v>-1.221118049863201</v>
      </c>
      <c r="N250" s="304">
        <f t="shared" ca="1" si="104"/>
        <v>-69.964910544407033</v>
      </c>
      <c r="P250" s="310">
        <f t="shared" ca="1" si="105"/>
        <v>23</v>
      </c>
      <c r="Q250" s="304">
        <f t="shared" ca="1" si="106"/>
        <v>0</v>
      </c>
      <c r="R250" s="306">
        <f t="shared" ca="1" si="107"/>
        <v>0</v>
      </c>
      <c r="S250" s="307">
        <f t="shared" ca="1" si="108"/>
        <v>2.5949999999999998</v>
      </c>
      <c r="T250" s="304">
        <f t="shared" ca="1" si="88"/>
        <v>25.456949999999999</v>
      </c>
      <c r="U250" s="311">
        <f t="shared" ca="1" si="89"/>
        <v>0</v>
      </c>
      <c r="V250" s="306">
        <f t="shared" ca="1" si="90"/>
        <v>1.0996016626651688</v>
      </c>
      <c r="W250" s="304">
        <f t="shared" ca="1" si="91"/>
        <v>5.1317162770854763</v>
      </c>
      <c r="Y250" s="314" t="str">
        <f t="shared" ca="1" si="109"/>
        <v/>
      </c>
      <c r="Z250" s="315" t="str">
        <f t="shared" ca="1" si="110"/>
        <v/>
      </c>
      <c r="AA250" s="316" t="str">
        <f t="shared" ca="1" si="111"/>
        <v/>
      </c>
      <c r="AC250" s="310" t="e">
        <f t="shared" ca="1" si="112"/>
        <v>#N/A</v>
      </c>
      <c r="AD250" s="323" t="e">
        <f t="shared" ca="1" si="113"/>
        <v>#N/A</v>
      </c>
      <c r="AE250" s="324" t="e">
        <f t="shared" ca="1" si="92"/>
        <v>#N/A</v>
      </c>
      <c r="AG250" s="306">
        <f t="shared" ca="1" si="114"/>
        <v>7.2751936860595539</v>
      </c>
      <c r="AH250" s="304">
        <f t="shared" ca="1" si="115"/>
        <v>-1.9167712409585174</v>
      </c>
    </row>
    <row r="251" spans="1:34" x14ac:dyDescent="0.2">
      <c r="A251" s="347">
        <f t="shared" ca="1" si="93"/>
        <v>0.1</v>
      </c>
      <c r="B251" s="304">
        <f t="shared" ca="1" si="94"/>
        <v>18.899999999999977</v>
      </c>
      <c r="D251" s="306">
        <f t="shared" ca="1" si="95"/>
        <v>-0.67749644411771648</v>
      </c>
      <c r="E251" s="307">
        <f t="shared" ca="1" si="96"/>
        <v>-7.9521348313498459</v>
      </c>
      <c r="F251" s="304">
        <f t="shared" ca="1" si="97"/>
        <v>7.980942914703725</v>
      </c>
      <c r="G251" s="306">
        <f t="shared" ca="1" si="98"/>
        <v>16.287566191315822</v>
      </c>
      <c r="H251" s="307">
        <f t="shared" ca="1" si="99"/>
        <v>-45.645591484810474</v>
      </c>
      <c r="I251" s="304">
        <f t="shared" ca="1" si="100"/>
        <v>48.464469814851959</v>
      </c>
      <c r="J251" s="306">
        <f t="shared" ca="1" si="101"/>
        <v>440.71419588527698</v>
      </c>
      <c r="K251" s="307">
        <f t="shared" ca="1" si="102"/>
        <v>1074.3554187157586</v>
      </c>
      <c r="L251" s="304">
        <f t="shared" ca="1" si="87"/>
        <v>1161.2357935314942</v>
      </c>
      <c r="M251" s="306">
        <f t="shared" ca="1" si="103"/>
        <v>-1.2280527991971064</v>
      </c>
      <c r="N251" s="304">
        <f t="shared" ca="1" si="104"/>
        <v>-70.362242413220969</v>
      </c>
      <c r="P251" s="310">
        <f t="shared" ca="1" si="105"/>
        <v>23</v>
      </c>
      <c r="Q251" s="304">
        <f t="shared" ca="1" si="106"/>
        <v>0</v>
      </c>
      <c r="R251" s="306">
        <f t="shared" ca="1" si="107"/>
        <v>0</v>
      </c>
      <c r="S251" s="307">
        <f t="shared" ca="1" si="108"/>
        <v>2.5949999999999998</v>
      </c>
      <c r="T251" s="304">
        <f t="shared" ca="1" si="88"/>
        <v>25.456949999999999</v>
      </c>
      <c r="U251" s="311">
        <f t="shared" ca="1" si="89"/>
        <v>0</v>
      </c>
      <c r="V251" s="306">
        <f t="shared" ca="1" si="90"/>
        <v>1.1001007694633442</v>
      </c>
      <c r="W251" s="304">
        <f t="shared" ca="1" si="91"/>
        <v>5.2911767592386907</v>
      </c>
      <c r="Y251" s="314" t="str">
        <f t="shared" ca="1" si="109"/>
        <v/>
      </c>
      <c r="Z251" s="315" t="str">
        <f t="shared" ca="1" si="110"/>
        <v/>
      </c>
      <c r="AA251" s="316" t="str">
        <f t="shared" ca="1" si="111"/>
        <v/>
      </c>
      <c r="AC251" s="310" t="e">
        <f t="shared" ca="1" si="112"/>
        <v>#N/A</v>
      </c>
      <c r="AD251" s="323" t="e">
        <f t="shared" ca="1" si="113"/>
        <v>#N/A</v>
      </c>
      <c r="AE251" s="324" t="e">
        <f t="shared" ca="1" si="92"/>
        <v>#N/A</v>
      </c>
      <c r="AG251" s="306">
        <f t="shared" ca="1" si="114"/>
        <v>7.2387880658306667</v>
      </c>
      <c r="AH251" s="304">
        <f t="shared" ca="1" si="115"/>
        <v>-1.9775399911697407</v>
      </c>
    </row>
    <row r="252" spans="1:34" x14ac:dyDescent="0.2">
      <c r="A252" s="347">
        <f t="shared" ca="1" si="93"/>
        <v>0.1</v>
      </c>
      <c r="B252" s="304">
        <f t="shared" ca="1" si="94"/>
        <v>18.999999999999979</v>
      </c>
      <c r="D252" s="306">
        <f t="shared" ca="1" si="95"/>
        <v>-0.68524777713027685</v>
      </c>
      <c r="E252" s="307">
        <f t="shared" ca="1" si="96"/>
        <v>-7.889606263246371</v>
      </c>
      <c r="F252" s="304">
        <f t="shared" ca="1" si="97"/>
        <v>7.9193087769778465</v>
      </c>
      <c r="G252" s="306">
        <f t="shared" ca="1" si="98"/>
        <v>16.219041413602795</v>
      </c>
      <c r="H252" s="307">
        <f t="shared" ca="1" si="99"/>
        <v>-46.434552111135112</v>
      </c>
      <c r="I252" s="304">
        <f t="shared" ca="1" si="100"/>
        <v>49.18561714706734</v>
      </c>
      <c r="J252" s="306">
        <f t="shared" ca="1" si="101"/>
        <v>442.33952626552292</v>
      </c>
      <c r="K252" s="307">
        <f t="shared" ca="1" si="102"/>
        <v>1069.7514115359613</v>
      </c>
      <c r="L252" s="304">
        <f t="shared" ca="1" si="87"/>
        <v>1157.5976585066112</v>
      </c>
      <c r="M252" s="306">
        <f t="shared" ca="1" si="103"/>
        <v>-1.2347557628144945</v>
      </c>
      <c r="N252" s="304">
        <f t="shared" ca="1" si="104"/>
        <v>-70.74629393872705</v>
      </c>
      <c r="P252" s="310">
        <f t="shared" ca="1" si="105"/>
        <v>23</v>
      </c>
      <c r="Q252" s="304">
        <f t="shared" ca="1" si="106"/>
        <v>0</v>
      </c>
      <c r="R252" s="306">
        <f t="shared" ca="1" si="107"/>
        <v>0</v>
      </c>
      <c r="S252" s="307">
        <f t="shared" ca="1" si="108"/>
        <v>2.5949999999999998</v>
      </c>
      <c r="T252" s="304">
        <f t="shared" ca="1" si="88"/>
        <v>25.456949999999999</v>
      </c>
      <c r="U252" s="311">
        <f t="shared" ca="1" si="89"/>
        <v>0</v>
      </c>
      <c r="V252" s="306">
        <f t="shared" ca="1" si="90"/>
        <v>1.1006088333900259</v>
      </c>
      <c r="W252" s="304">
        <f t="shared" ca="1" si="91"/>
        <v>5.452329749452792</v>
      </c>
      <c r="Y252" s="314" t="str">
        <f t="shared" ca="1" si="109"/>
        <v/>
      </c>
      <c r="Z252" s="315" t="str">
        <f t="shared" ca="1" si="110"/>
        <v/>
      </c>
      <c r="AA252" s="316" t="str">
        <f t="shared" ca="1" si="111"/>
        <v/>
      </c>
      <c r="AC252" s="310">
        <f t="shared" ca="1" si="112"/>
        <v>18.999999999999979</v>
      </c>
      <c r="AD252" s="323">
        <f t="shared" ca="1" si="113"/>
        <v>442.33952626552292</v>
      </c>
      <c r="AE252" s="324" t="e">
        <f t="shared" ca="1" si="92"/>
        <v>#N/A</v>
      </c>
      <c r="AG252" s="306">
        <f t="shared" ca="1" si="114"/>
        <v>7.2004238831834728</v>
      </c>
      <c r="AH252" s="304">
        <f t="shared" ca="1" si="115"/>
        <v>-2.0389891172403436</v>
      </c>
    </row>
    <row r="253" spans="1:34" x14ac:dyDescent="0.2">
      <c r="A253" s="347">
        <f t="shared" ca="1" si="93"/>
        <v>0.1</v>
      </c>
      <c r="B253" s="304">
        <f t="shared" ca="1" si="94"/>
        <v>19.09999999999998</v>
      </c>
      <c r="D253" s="306">
        <f t="shared" ca="1" si="95"/>
        <v>-0.69283817499996947</v>
      </c>
      <c r="E253" s="307">
        <f t="shared" ca="1" si="96"/>
        <v>-7.8264283744514209</v>
      </c>
      <c r="F253" s="304">
        <f t="shared" ca="1" si="97"/>
        <v>7.8570354356560976</v>
      </c>
      <c r="G253" s="306">
        <f t="shared" ca="1" si="98"/>
        <v>16.149757596102798</v>
      </c>
      <c r="H253" s="307">
        <f t="shared" ca="1" si="99"/>
        <v>-47.217194948580257</v>
      </c>
      <c r="I253" s="304">
        <f t="shared" ca="1" si="100"/>
        <v>49.90268699403984</v>
      </c>
      <c r="J253" s="306">
        <f t="shared" ca="1" si="101"/>
        <v>443.95796621600817</v>
      </c>
      <c r="K253" s="307">
        <f t="shared" ca="1" si="102"/>
        <v>1065.0688241829755</v>
      </c>
      <c r="L253" s="304">
        <f t="shared" ca="1" si="87"/>
        <v>1153.893528889542</v>
      </c>
      <c r="M253" s="306">
        <f t="shared" ca="1" si="103"/>
        <v>-1.2412381531145162</v>
      </c>
      <c r="N253" s="304">
        <f t="shared" ca="1" si="104"/>
        <v>-71.117707544074833</v>
      </c>
      <c r="P253" s="310">
        <f t="shared" ca="1" si="105"/>
        <v>23</v>
      </c>
      <c r="Q253" s="304">
        <f t="shared" ca="1" si="106"/>
        <v>0</v>
      </c>
      <c r="R253" s="306">
        <f t="shared" ca="1" si="107"/>
        <v>0</v>
      </c>
      <c r="S253" s="307">
        <f t="shared" ca="1" si="108"/>
        <v>2.5949999999999998</v>
      </c>
      <c r="T253" s="304">
        <f t="shared" ca="1" si="88"/>
        <v>25.456949999999999</v>
      </c>
      <c r="U253" s="311">
        <f t="shared" ca="1" si="89"/>
        <v>0</v>
      </c>
      <c r="V253" s="306">
        <f t="shared" ca="1" si="90"/>
        <v>1.1011257966433683</v>
      </c>
      <c r="W253" s="304">
        <f t="shared" ca="1" si="91"/>
        <v>5.6151022361131107</v>
      </c>
      <c r="Y253" s="314" t="str">
        <f t="shared" ca="1" si="109"/>
        <v/>
      </c>
      <c r="Z253" s="315" t="str">
        <f t="shared" ca="1" si="110"/>
        <v/>
      </c>
      <c r="AA253" s="316" t="str">
        <f t="shared" ca="1" si="111"/>
        <v/>
      </c>
      <c r="AC253" s="310" t="e">
        <f t="shared" ca="1" si="112"/>
        <v>#N/A</v>
      </c>
      <c r="AD253" s="323" t="e">
        <f t="shared" ca="1" si="113"/>
        <v>#N/A</v>
      </c>
      <c r="AE253" s="324" t="e">
        <f t="shared" ca="1" si="92"/>
        <v>#N/A</v>
      </c>
      <c r="AG253" s="306">
        <f t="shared" ca="1" si="114"/>
        <v>7.1602136065762458</v>
      </c>
      <c r="AH253" s="304">
        <f t="shared" ca="1" si="115"/>
        <v>-2.1010904622168756</v>
      </c>
    </row>
    <row r="254" spans="1:34" x14ac:dyDescent="0.2">
      <c r="A254" s="347">
        <f t="shared" ca="1" si="93"/>
        <v>0.1</v>
      </c>
      <c r="B254" s="304">
        <f t="shared" ca="1" si="94"/>
        <v>19.199999999999982</v>
      </c>
      <c r="D254" s="306">
        <f t="shared" ca="1" si="95"/>
        <v>-0.7002649400421469</v>
      </c>
      <c r="E254" s="307">
        <f t="shared" ca="1" si="96"/>
        <v>-7.7626289485852773</v>
      </c>
      <c r="F254" s="304">
        <f t="shared" ca="1" si="97"/>
        <v>7.7941503180055749</v>
      </c>
      <c r="G254" s="306">
        <f t="shared" ca="1" si="98"/>
        <v>16.079731102098584</v>
      </c>
      <c r="H254" s="307">
        <f t="shared" ca="1" si="99"/>
        <v>-47.993457843438783</v>
      </c>
      <c r="I254" s="304">
        <f t="shared" ca="1" si="100"/>
        <v>50.61550896796092</v>
      </c>
      <c r="J254" s="306">
        <f t="shared" ca="1" si="101"/>
        <v>445.56944065091824</v>
      </c>
      <c r="K254" s="307">
        <f t="shared" ca="1" si="102"/>
        <v>1060.3082915433745</v>
      </c>
      <c r="L254" s="304">
        <f t="shared" ca="1" si="87"/>
        <v>1150.1242539645887</v>
      </c>
      <c r="M254" s="306">
        <f t="shared" ca="1" si="103"/>
        <v>-1.2475105036918455</v>
      </c>
      <c r="N254" s="304">
        <f t="shared" ca="1" si="104"/>
        <v>-71.477086759782253</v>
      </c>
      <c r="P254" s="310">
        <f t="shared" ca="1" si="105"/>
        <v>23</v>
      </c>
      <c r="Q254" s="304">
        <f t="shared" ca="1" si="106"/>
        <v>0</v>
      </c>
      <c r="R254" s="306">
        <f t="shared" ca="1" si="107"/>
        <v>0</v>
      </c>
      <c r="S254" s="307">
        <f t="shared" ca="1" si="108"/>
        <v>2.5949999999999998</v>
      </c>
      <c r="T254" s="304">
        <f t="shared" ca="1" si="88"/>
        <v>25.456949999999999</v>
      </c>
      <c r="U254" s="311">
        <f t="shared" ca="1" si="89"/>
        <v>0</v>
      </c>
      <c r="V254" s="306">
        <f t="shared" ca="1" si="90"/>
        <v>1.1016516008066048</v>
      </c>
      <c r="W254" s="304">
        <f t="shared" ca="1" si="91"/>
        <v>5.77942132206159</v>
      </c>
      <c r="Y254" s="314" t="str">
        <f t="shared" ca="1" si="109"/>
        <v/>
      </c>
      <c r="Z254" s="315" t="str">
        <f t="shared" ca="1" si="110"/>
        <v/>
      </c>
      <c r="AA254" s="316" t="str">
        <f t="shared" ca="1" si="111"/>
        <v/>
      </c>
      <c r="AC254" s="310" t="e">
        <f t="shared" ca="1" si="112"/>
        <v>#N/A</v>
      </c>
      <c r="AD254" s="323" t="e">
        <f t="shared" ca="1" si="113"/>
        <v>#N/A</v>
      </c>
      <c r="AE254" s="324" t="e">
        <f t="shared" ca="1" si="92"/>
        <v>#N/A</v>
      </c>
      <c r="AG254" s="306">
        <f t="shared" ca="1" si="114"/>
        <v>7.1182630984688151</v>
      </c>
      <c r="AH254" s="304">
        <f t="shared" ca="1" si="115"/>
        <v>-2.163815890602355</v>
      </c>
    </row>
    <row r="255" spans="1:34" x14ac:dyDescent="0.2">
      <c r="A255" s="347">
        <f t="shared" ca="1" si="93"/>
        <v>0.1</v>
      </c>
      <c r="B255" s="304">
        <f t="shared" ca="1" si="94"/>
        <v>19.299999999999983</v>
      </c>
      <c r="D255" s="306">
        <f t="shared" ca="1" si="95"/>
        <v>-0.70752561455229446</v>
      </c>
      <c r="E255" s="307">
        <f t="shared" ca="1" si="96"/>
        <v>-7.6982357833249502</v>
      </c>
      <c r="F255" s="304">
        <f t="shared" ca="1" si="97"/>
        <v>7.730680867227175</v>
      </c>
      <c r="G255" s="306">
        <f t="shared" ca="1" si="98"/>
        <v>16.008978540643355</v>
      </c>
      <c r="H255" s="307">
        <f t="shared" ca="1" si="99"/>
        <v>-48.763281421771275</v>
      </c>
      <c r="I255" s="304">
        <f t="shared" ca="1" si="100"/>
        <v>51.323922384533738</v>
      </c>
      <c r="J255" s="306">
        <f t="shared" ca="1" si="101"/>
        <v>447.17387613305533</v>
      </c>
      <c r="K255" s="307">
        <f t="shared" ca="1" si="102"/>
        <v>1055.4704545801139</v>
      </c>
      <c r="L255" s="304">
        <f t="shared" ca="1" si="87"/>
        <v>1146.2906943648341</v>
      </c>
      <c r="M255" s="306">
        <f t="shared" ca="1" si="103"/>
        <v>-1.2535827168740239</v>
      </c>
      <c r="N255" s="304">
        <f t="shared" ca="1" si="104"/>
        <v>-71.824998947424774</v>
      </c>
      <c r="P255" s="310">
        <f t="shared" ca="1" si="105"/>
        <v>23</v>
      </c>
      <c r="Q255" s="304">
        <f t="shared" ca="1" si="106"/>
        <v>0</v>
      </c>
      <c r="R255" s="306">
        <f t="shared" ca="1" si="107"/>
        <v>0</v>
      </c>
      <c r="S255" s="307">
        <f t="shared" ca="1" si="108"/>
        <v>2.5949999999999998</v>
      </c>
      <c r="T255" s="304">
        <f t="shared" ca="1" si="88"/>
        <v>25.456949999999999</v>
      </c>
      <c r="U255" s="311">
        <f t="shared" ca="1" si="89"/>
        <v>0</v>
      </c>
      <c r="V255" s="306">
        <f t="shared" ca="1" si="90"/>
        <v>1.1021861868724583</v>
      </c>
      <c r="W255" s="304">
        <f t="shared" ca="1" si="91"/>
        <v>5.9452142822457947</v>
      </c>
      <c r="Y255" s="314" t="str">
        <f t="shared" ca="1" si="109"/>
        <v/>
      </c>
      <c r="Z255" s="315" t="str">
        <f t="shared" ca="1" si="110"/>
        <v/>
      </c>
      <c r="AA255" s="316" t="str">
        <f t="shared" ca="1" si="111"/>
        <v/>
      </c>
      <c r="AC255" s="310" t="e">
        <f t="shared" ca="1" si="112"/>
        <v>#N/A</v>
      </c>
      <c r="AD255" s="323" t="e">
        <f t="shared" ca="1" si="113"/>
        <v>#N/A</v>
      </c>
      <c r="AE255" s="324" t="e">
        <f t="shared" ca="1" si="92"/>
        <v>#N/A</v>
      </c>
      <c r="AG255" s="306">
        <f t="shared" ca="1" si="114"/>
        <v>7.0746721747414618</v>
      </c>
      <c r="AH255" s="304">
        <f t="shared" ca="1" si="115"/>
        <v>-2.2271373110063934</v>
      </c>
    </row>
    <row r="256" spans="1:34" x14ac:dyDescent="0.2">
      <c r="A256" s="347">
        <f t="shared" ca="1" si="93"/>
        <v>0.1</v>
      </c>
      <c r="B256" s="304">
        <f t="shared" ca="1" si="94"/>
        <v>19.399999999999984</v>
      </c>
      <c r="D256" s="306">
        <f t="shared" ca="1" si="95"/>
        <v>-0.71461797045247966</v>
      </c>
      <c r="E256" s="307">
        <f t="shared" ca="1" si="96"/>
        <v>-7.6332766622954775</v>
      </c>
      <c r="F256" s="304">
        <f t="shared" ca="1" si="97"/>
        <v>7.6666545146392506</v>
      </c>
      <c r="G256" s="306">
        <f t="shared" ca="1" si="98"/>
        <v>15.937516743598106</v>
      </c>
      <c r="H256" s="307">
        <f t="shared" ca="1" si="99"/>
        <v>-49.526609088000825</v>
      </c>
      <c r="I256" s="304">
        <f t="shared" ca="1" si="100"/>
        <v>52.027775732853655</v>
      </c>
      <c r="J256" s="306">
        <f t="shared" ca="1" si="101"/>
        <v>448.77120089726742</v>
      </c>
      <c r="K256" s="307">
        <f t="shared" ca="1" si="102"/>
        <v>1050.5559600546253</v>
      </c>
      <c r="L256" s="304">
        <f t="shared" ca="1" si="87"/>
        <v>1142.3937219545069</v>
      </c>
      <c r="M256" s="306">
        <f t="shared" ca="1" si="103"/>
        <v>-1.2594641076289319</v>
      </c>
      <c r="N256" s="304">
        <f t="shared" ca="1" si="104"/>
        <v>-72.161977815348266</v>
      </c>
      <c r="P256" s="310">
        <f t="shared" ca="1" si="105"/>
        <v>23</v>
      </c>
      <c r="Q256" s="304">
        <f t="shared" ca="1" si="106"/>
        <v>0</v>
      </c>
      <c r="R256" s="306">
        <f t="shared" ca="1" si="107"/>
        <v>0</v>
      </c>
      <c r="S256" s="307">
        <f t="shared" ca="1" si="108"/>
        <v>2.5949999999999998</v>
      </c>
      <c r="T256" s="304">
        <f t="shared" ca="1" si="88"/>
        <v>25.456949999999999</v>
      </c>
      <c r="U256" s="311">
        <f t="shared" ca="1" si="89"/>
        <v>0</v>
      </c>
      <c r="V256" s="306">
        <f t="shared" ca="1" si="90"/>
        <v>1.1027294952675846</v>
      </c>
      <c r="W256" s="304">
        <f t="shared" ca="1" si="91"/>
        <v>6.1124086201666898</v>
      </c>
      <c r="Y256" s="314" t="str">
        <f t="shared" ca="1" si="109"/>
        <v/>
      </c>
      <c r="Z256" s="315" t="str">
        <f t="shared" ca="1" si="110"/>
        <v/>
      </c>
      <c r="AA256" s="316" t="str">
        <f t="shared" ca="1" si="111"/>
        <v/>
      </c>
      <c r="AC256" s="310" t="e">
        <f t="shared" ca="1" si="112"/>
        <v>#N/A</v>
      </c>
      <c r="AD256" s="323" t="e">
        <f t="shared" ca="1" si="113"/>
        <v>#N/A</v>
      </c>
      <c r="AE256" s="324" t="e">
        <f t="shared" ca="1" si="92"/>
        <v>#N/A</v>
      </c>
      <c r="AG256" s="306">
        <f t="shared" ca="1" si="114"/>
        <v>7.0295351083443727</v>
      </c>
      <c r="AH256" s="304">
        <f t="shared" ca="1" si="115"/>
        <v>-2.2910266983606147</v>
      </c>
    </row>
    <row r="257" spans="1:34" x14ac:dyDescent="0.2">
      <c r="A257" s="347">
        <f t="shared" ca="1" si="93"/>
        <v>0.1</v>
      </c>
      <c r="B257" s="304">
        <f t="shared" ca="1" si="94"/>
        <v>19.499999999999986</v>
      </c>
      <c r="D257" s="306">
        <f t="shared" ca="1" si="95"/>
        <v>-0.72153999961629378</v>
      </c>
      <c r="E257" s="307">
        <f t="shared" ca="1" si="96"/>
        <v>-7.5677793280307046</v>
      </c>
      <c r="F257" s="304">
        <f t="shared" ca="1" si="97"/>
        <v>7.6020986529257266</v>
      </c>
      <c r="G257" s="306">
        <f t="shared" ca="1" si="98"/>
        <v>15.865362743636476</v>
      </c>
      <c r="H257" s="307">
        <f t="shared" ca="1" si="99"/>
        <v>-50.283387020803893</v>
      </c>
      <c r="I257" s="304">
        <f t="shared" ca="1" si="100"/>
        <v>52.726926188344393</v>
      </c>
      <c r="J257" s="306">
        <f t="shared" ca="1" si="101"/>
        <v>450.36134487162917</v>
      </c>
      <c r="K257" s="307">
        <f t="shared" ca="1" si="102"/>
        <v>1045.565460249185</v>
      </c>
      <c r="L257" s="304">
        <f t="shared" ca="1" si="87"/>
        <v>1138.4342197161295</v>
      </c>
      <c r="M257" s="306">
        <f t="shared" ca="1" si="103"/>
        <v>-1.265163444124014</v>
      </c>
      <c r="N257" s="304">
        <f t="shared" ca="1" si="104"/>
        <v>-72.488525742541356</v>
      </c>
      <c r="P257" s="310">
        <f t="shared" ca="1" si="105"/>
        <v>23</v>
      </c>
      <c r="Q257" s="304">
        <f t="shared" ca="1" si="106"/>
        <v>0</v>
      </c>
      <c r="R257" s="306">
        <f t="shared" ca="1" si="107"/>
        <v>0</v>
      </c>
      <c r="S257" s="307">
        <f t="shared" ca="1" si="108"/>
        <v>2.5949999999999998</v>
      </c>
      <c r="T257" s="304">
        <f t="shared" ca="1" si="88"/>
        <v>25.456949999999999</v>
      </c>
      <c r="U257" s="311">
        <f t="shared" ca="1" si="89"/>
        <v>0</v>
      </c>
      <c r="V257" s="306">
        <f t="shared" ca="1" si="90"/>
        <v>1.1032814658770318</v>
      </c>
      <c r="W257" s="304">
        <f t="shared" ca="1" si="91"/>
        <v>6.2809321230571911</v>
      </c>
      <c r="Y257" s="314" t="str">
        <f t="shared" ca="1" si="109"/>
        <v/>
      </c>
      <c r="Z257" s="315" t="str">
        <f t="shared" ca="1" si="110"/>
        <v/>
      </c>
      <c r="AA257" s="316" t="str">
        <f t="shared" ca="1" si="111"/>
        <v/>
      </c>
      <c r="AC257" s="310" t="e">
        <f t="shared" ca="1" si="112"/>
        <v>#N/A</v>
      </c>
      <c r="AD257" s="323" t="e">
        <f t="shared" ca="1" si="113"/>
        <v>#N/A</v>
      </c>
      <c r="AE257" s="324" t="e">
        <f t="shared" ca="1" si="92"/>
        <v>#N/A</v>
      </c>
      <c r="AG257" s="306">
        <f t="shared" ca="1" si="114"/>
        <v>6.982941082933027</v>
      </c>
      <c r="AH257" s="304">
        <f t="shared" ca="1" si="115"/>
        <v>-2.3554561156711715</v>
      </c>
    </row>
    <row r="258" spans="1:34" x14ac:dyDescent="0.2">
      <c r="A258" s="347">
        <f t="shared" ca="1" si="93"/>
        <v>0.1</v>
      </c>
      <c r="B258" s="304">
        <f t="shared" ca="1" si="94"/>
        <v>19.599999999999987</v>
      </c>
      <c r="D258" s="306">
        <f t="shared" ca="1" si="95"/>
        <v>-0.72828990480041045</v>
      </c>
      <c r="E258" s="307">
        <f t="shared" ca="1" si="96"/>
        <v>-7.501771455959183</v>
      </c>
      <c r="F258" s="304">
        <f t="shared" ca="1" si="97"/>
        <v>7.5370406104039374</v>
      </c>
      <c r="G258" s="306">
        <f t="shared" ca="1" si="98"/>
        <v>15.792533753156436</v>
      </c>
      <c r="H258" s="307">
        <f t="shared" ca="1" si="99"/>
        <v>-51.033564166399813</v>
      </c>
      <c r="I258" s="304">
        <f t="shared" ca="1" si="100"/>
        <v>53.421239164499283</v>
      </c>
      <c r="J258" s="306">
        <f t="shared" ca="1" si="101"/>
        <v>451.9442396964688</v>
      </c>
      <c r="K258" s="307">
        <f t="shared" ca="1" si="102"/>
        <v>1040.4996126898247</v>
      </c>
      <c r="L258" s="304">
        <f t="shared" ca="1" si="87"/>
        <v>1134.4130816428797</v>
      </c>
      <c r="M258" s="306">
        <f t="shared" ca="1" si="103"/>
        <v>-1.2706889851996888</v>
      </c>
      <c r="N258" s="304">
        <f t="shared" ca="1" si="104"/>
        <v>-72.805115925703689</v>
      </c>
      <c r="P258" s="310">
        <f t="shared" ca="1" si="105"/>
        <v>23</v>
      </c>
      <c r="Q258" s="304">
        <f t="shared" ca="1" si="106"/>
        <v>0</v>
      </c>
      <c r="R258" s="306">
        <f t="shared" ca="1" si="107"/>
        <v>0</v>
      </c>
      <c r="S258" s="307">
        <f t="shared" ca="1" si="108"/>
        <v>2.5949999999999998</v>
      </c>
      <c r="T258" s="304">
        <f t="shared" ca="1" si="88"/>
        <v>25.456949999999999</v>
      </c>
      <c r="U258" s="311">
        <f t="shared" ca="1" si="89"/>
        <v>0</v>
      </c>
      <c r="V258" s="306">
        <f t="shared" ca="1" si="90"/>
        <v>1.1038420380686875</v>
      </c>
      <c r="W258" s="304">
        <f t="shared" ca="1" si="91"/>
        <v>6.4507129157284187</v>
      </c>
      <c r="Y258" s="314" t="str">
        <f t="shared" ca="1" si="109"/>
        <v/>
      </c>
      <c r="Z258" s="315" t="str">
        <f t="shared" ca="1" si="110"/>
        <v/>
      </c>
      <c r="AA258" s="316" t="str">
        <f t="shared" ca="1" si="111"/>
        <v/>
      </c>
      <c r="AC258" s="310" t="e">
        <f t="shared" ca="1" si="112"/>
        <v>#N/A</v>
      </c>
      <c r="AD258" s="323" t="e">
        <f t="shared" ca="1" si="113"/>
        <v>#N/A</v>
      </c>
      <c r="AE258" s="324" t="e">
        <f t="shared" ca="1" si="92"/>
        <v>#N/A</v>
      </c>
      <c r="AG258" s="306">
        <f t="shared" ca="1" si="114"/>
        <v>6.9349746016535185</v>
      </c>
      <c r="AH258" s="304">
        <f t="shared" ca="1" si="115"/>
        <v>-2.4203977352821546</v>
      </c>
    </row>
    <row r="259" spans="1:34" x14ac:dyDescent="0.2">
      <c r="A259" s="347">
        <f t="shared" ca="1" si="93"/>
        <v>0.1</v>
      </c>
      <c r="B259" s="304">
        <f t="shared" ca="1" si="94"/>
        <v>19.699999999999989</v>
      </c>
      <c r="D259" s="306">
        <f t="shared" ca="1" si="95"/>
        <v>-0.73486609111881229</v>
      </c>
      <c r="E259" s="307">
        <f t="shared" ca="1" si="96"/>
        <v>-7.435280629377937</v>
      </c>
      <c r="F259" s="304">
        <f t="shared" ca="1" si="97"/>
        <v>7.4715076262745672</v>
      </c>
      <c r="G259" s="306">
        <f t="shared" ca="1" si="98"/>
        <v>15.719047144044554</v>
      </c>
      <c r="H259" s="307">
        <f t="shared" ca="1" si="99"/>
        <v>-51.777092229337605</v>
      </c>
      <c r="I259" s="304">
        <f t="shared" ca="1" si="100"/>
        <v>54.110587899615616</v>
      </c>
      <c r="J259" s="306">
        <f t="shared" ca="1" si="101"/>
        <v>453.51981874132883</v>
      </c>
      <c r="K259" s="307">
        <f t="shared" ca="1" si="102"/>
        <v>1035.3590798700379</v>
      </c>
      <c r="L259" s="304">
        <f t="shared" ca="1" si="87"/>
        <v>1130.3312126365879</v>
      </c>
      <c r="M259" s="306">
        <f t="shared" ca="1" si="103"/>
        <v>-1.2760485150006275</v>
      </c>
      <c r="N259" s="304">
        <f t="shared" ca="1" si="104"/>
        <v>-73.112194363472071</v>
      </c>
      <c r="P259" s="310">
        <f t="shared" ca="1" si="105"/>
        <v>23</v>
      </c>
      <c r="Q259" s="304">
        <f t="shared" ca="1" si="106"/>
        <v>0</v>
      </c>
      <c r="R259" s="306">
        <f t="shared" ca="1" si="107"/>
        <v>0</v>
      </c>
      <c r="S259" s="307">
        <f t="shared" ca="1" si="108"/>
        <v>2.5949999999999998</v>
      </c>
      <c r="T259" s="304">
        <f t="shared" ca="1" si="88"/>
        <v>25.456949999999999</v>
      </c>
      <c r="U259" s="311">
        <f t="shared" ca="1" si="89"/>
        <v>0</v>
      </c>
      <c r="V259" s="306">
        <f t="shared" ca="1" si="90"/>
        <v>1.1044111507176961</v>
      </c>
      <c r="W259" s="304">
        <f t="shared" ca="1" si="91"/>
        <v>6.6216795130255051</v>
      </c>
      <c r="Y259" s="314" t="str">
        <f t="shared" ca="1" si="109"/>
        <v/>
      </c>
      <c r="Z259" s="315" t="str">
        <f t="shared" ca="1" si="110"/>
        <v/>
      </c>
      <c r="AA259" s="316" t="str">
        <f t="shared" ca="1" si="111"/>
        <v/>
      </c>
      <c r="AC259" s="310" t="e">
        <f t="shared" ca="1" si="112"/>
        <v>#N/A</v>
      </c>
      <c r="AD259" s="323" t="e">
        <f t="shared" ca="1" si="113"/>
        <v>#N/A</v>
      </c>
      <c r="AE259" s="324" t="e">
        <f t="shared" ca="1" si="92"/>
        <v>#N/A</v>
      </c>
      <c r="AG259" s="306">
        <f t="shared" ca="1" si="114"/>
        <v>6.8857158557069269</v>
      </c>
      <c r="AH259" s="304">
        <f t="shared" ca="1" si="115"/>
        <v>-2.485823859625595</v>
      </c>
    </row>
    <row r="260" spans="1:34" x14ac:dyDescent="0.2">
      <c r="A260" s="347">
        <f t="shared" ca="1" si="93"/>
        <v>0.1</v>
      </c>
      <c r="B260" s="304">
        <f t="shared" ca="1" si="94"/>
        <v>19.79999999999999</v>
      </c>
      <c r="D260" s="306">
        <f t="shared" ca="1" si="95"/>
        <v>-0.74126715800287202</v>
      </c>
      <c r="E260" s="307">
        <f t="shared" ca="1" si="96"/>
        <v>-7.3683343153827945</v>
      </c>
      <c r="F260" s="304">
        <f t="shared" ca="1" si="97"/>
        <v>7.4055268268220651</v>
      </c>
      <c r="G260" s="306">
        <f t="shared" ca="1" si="98"/>
        <v>15.644920428244266</v>
      </c>
      <c r="H260" s="307">
        <f t="shared" ca="1" si="99"/>
        <v>-52.513925660875884</v>
      </c>
      <c r="I260" s="304">
        <f t="shared" ca="1" si="100"/>
        <v>54.794853075102715</v>
      </c>
      <c r="J260" s="306">
        <f t="shared" ca="1" si="101"/>
        <v>455.08801711994329</v>
      </c>
      <c r="K260" s="307">
        <f t="shared" ca="1" si="102"/>
        <v>1030.1445289755272</v>
      </c>
      <c r="L260" s="304">
        <f t="shared" ref="L260:L323" ca="1" si="116">SQRT(pos_x^2+pos_z^2)</f>
        <v>1126.1895284117913</v>
      </c>
      <c r="M260" s="306">
        <f t="shared" ca="1" si="103"/>
        <v>-1.2812493749905733</v>
      </c>
      <c r="N260" s="304">
        <f t="shared" ca="1" si="104"/>
        <v>-73.410181690734419</v>
      </c>
      <c r="P260" s="310">
        <f t="shared" ca="1" si="105"/>
        <v>23</v>
      </c>
      <c r="Q260" s="304">
        <f t="shared" ca="1" si="106"/>
        <v>0</v>
      </c>
      <c r="R260" s="306">
        <f t="shared" ca="1" si="107"/>
        <v>0</v>
      </c>
      <c r="S260" s="307">
        <f t="shared" ca="1" si="108"/>
        <v>2.5949999999999998</v>
      </c>
      <c r="T260" s="304">
        <f t="shared" ref="T260:T323" ca="1" si="117">m*g</f>
        <v>25.456949999999999</v>
      </c>
      <c r="U260" s="311">
        <f t="shared" ref="U260:U323" ca="1" si="118">IF(pos_xz&lt;L_rampe,Poids*COS(Beta),0)</f>
        <v>0</v>
      </c>
      <c r="V260" s="306">
        <f t="shared" ref="V260:V323" ca="1" si="119">Rho_moyen*(20000-Alt_rampe-pos_z)/(20000+Alt_rampe+pos_z)</f>
        <v>1.1049887422308176</v>
      </c>
      <c r="W260" s="304">
        <f t="shared" ref="W260:W323" ca="1" si="120">1/2*Rho*Sref*Cx*vit_xz^2</f>
        <v>6.7937608708396091</v>
      </c>
      <c r="Y260" s="314" t="str">
        <f t="shared" ca="1" si="109"/>
        <v/>
      </c>
      <c r="Z260" s="315" t="str">
        <f t="shared" ca="1" si="110"/>
        <v/>
      </c>
      <c r="AA260" s="316" t="str">
        <f t="shared" ca="1" si="111"/>
        <v/>
      </c>
      <c r="AC260" s="310" t="e">
        <f t="shared" ca="1" si="112"/>
        <v>#N/A</v>
      </c>
      <c r="AD260" s="323" t="e">
        <f t="shared" ca="1" si="113"/>
        <v>#N/A</v>
      </c>
      <c r="AE260" s="324" t="e">
        <f t="shared" ref="AE260:AE323" ca="1" si="121">IF(t&lt;T_para, pos_z, NA())</f>
        <v>#N/A</v>
      </c>
      <c r="AG260" s="306">
        <f t="shared" ca="1" si="114"/>
        <v>6.8352410568397541</v>
      </c>
      <c r="AH260" s="304">
        <f t="shared" ca="1" si="115"/>
        <v>-2.5517069414356475</v>
      </c>
    </row>
    <row r="261" spans="1:34" x14ac:dyDescent="0.2">
      <c r="A261" s="347">
        <f t="shared" ref="A261:A324" ca="1" si="122">IF(B260+0.01&lt;=T_ini+ROUNDUP(Temps_fin_propu,0), 0.01, IF(K260&gt;0, 0.1, 0.0001))</f>
        <v>0.1</v>
      </c>
      <c r="B261" s="304">
        <f t="shared" ref="B261:B324" ca="1" si="123">B260+pas</f>
        <v>19.899999999999991</v>
      </c>
      <c r="D261" s="306">
        <f t="shared" ref="D261:D324" ca="1" si="124">IF(AND(L260&lt;L_rampe,Poussee&lt;Poids*SIN(M260)),0,(-W260+Poussee)/m*COS(M260)-U260/m*SIN(M260))</f>
        <v>-0.74749189159679086</v>
      </c>
      <c r="E261" s="307">
        <f t="shared" ref="E261:E324" ca="1" si="125">IF(AND(L260&lt;L_rampe,Poussee&lt;Poids*SIN(M260)),0,(-W260+Poussee)/m*SIN(M260)+U260/m*COS(M260)-Poids/m)</f>
        <v>-7.3009598417288615</v>
      </c>
      <c r="F261" s="304">
        <f t="shared" ref="F261:F324" ca="1" si="126">SQRT(acc_x^2+acc_z^2)</f>
        <v>7.3391252025388196</v>
      </c>
      <c r="G261" s="306">
        <f t="shared" ref="G261:G324" ca="1" si="127">G260+acc_x*pas</f>
        <v>15.570171239084587</v>
      </c>
      <c r="H261" s="307">
        <f t="shared" ref="H261:H324" ca="1" si="128">H260+acc_z*pas</f>
        <v>-53.244021645048768</v>
      </c>
      <c r="I261" s="304">
        <f t="shared" ref="I261:I324" ca="1" si="129">SQRT(vit_x^2+vit_z^2)</f>
        <v>55.473922462296088</v>
      </c>
      <c r="J261" s="306">
        <f t="shared" ref="J261:J324" ca="1" si="130">J260+0.5*(vit_x+G260)*pas*(K260&gt;=0)</f>
        <v>456.64877170330971</v>
      </c>
      <c r="K261" s="307">
        <f t="shared" ref="K261:K324" ca="1" si="131">K260+0.5*(vit_z+H260)*pas</f>
        <v>1024.856631610231</v>
      </c>
      <c r="L261" s="304">
        <f t="shared" ca="1" si="116"/>
        <v>1121.9889554062509</v>
      </c>
      <c r="M261" s="306">
        <f t="shared" ref="M261:M324" ca="1" si="132">IF(AND(L260&gt;L_rampe,G261&gt;0),ATAN2(G261,H261),$M$4)</f>
        <v>-1.2862984935591895</v>
      </c>
      <c r="N261" s="304">
        <f t="shared" ref="N261:N324" ca="1" si="133">DEGREES(Beta)</f>
        <v>-73.699474874977255</v>
      </c>
      <c r="P261" s="310">
        <f t="shared" ref="P261:P324" ca="1" si="134">MATCH(t-pas/2-T_ini,CdP_t)</f>
        <v>23</v>
      </c>
      <c r="Q261" s="304">
        <f t="shared" ref="Q261:Q324" ca="1" si="135">(INDEX(CdP,2,i_P+1)-INDEX(CdP,2,i_P+0))/(INDEX(CdP,1,i_P+1)-INDEX(CdP,1,i_P+0))*(t-pas/2-T_ini-INDEX(CdP,1,i_P+0))+INDEX(CdP,2,i_P+0)</f>
        <v>0</v>
      </c>
      <c r="R261" s="306">
        <f t="shared" ref="R261:R324" ca="1" si="136">Poussee/(g*ISP)</f>
        <v>0</v>
      </c>
      <c r="S261" s="307">
        <f t="shared" ref="S261:S324" ca="1" si="137">S260-Débit*pas</f>
        <v>2.5949999999999998</v>
      </c>
      <c r="T261" s="304">
        <f t="shared" ca="1" si="117"/>
        <v>25.456949999999999</v>
      </c>
      <c r="U261" s="311">
        <f t="shared" ca="1" si="118"/>
        <v>0</v>
      </c>
      <c r="V261" s="306">
        <f t="shared" ca="1" si="119"/>
        <v>1.1055747505707125</v>
      </c>
      <c r="W261" s="304">
        <f t="shared" ca="1" si="120"/>
        <v>6.9668864356275026</v>
      </c>
      <c r="Y261" s="314" t="str">
        <f t="shared" ref="Y261:Y324" ca="1" si="138">IF(AND(pos_z&lt;=0,K260&gt;0),"Impact balistique","") &amp; IF(AND(H262&lt;0,vit_z&gt;=0),"Apogée","") &amp; IF(AND(Poussee=0,Q260&gt;0),"Fin de propulsion","") &amp; IF(AND(L262&gt;L_rampe,pos_xz&lt;=L_rampe),"Sortie de rampe","")</f>
        <v/>
      </c>
      <c r="Z261" s="315" t="str">
        <f t="shared" ref="Z261:Z324" ca="1" si="139">IF(ABS(t-T_para)&lt;pas/2,"Para","")</f>
        <v/>
      </c>
      <c r="AA261" s="316" t="str">
        <f t="shared" ref="AA261:AA324" ca="1" si="140">IF(ABS(t-T_satellite)&lt;pas/2,"Satellite","")</f>
        <v/>
      </c>
      <c r="AC261" s="310" t="e">
        <f t="shared" ref="AC261:AC324" ca="1" si="141">IF(ABS(t-ROUND(t,0))&lt;0.001,t,NA())</f>
        <v>#N/A</v>
      </c>
      <c r="AD261" s="323" t="e">
        <f t="shared" ref="AD261:AD324" ca="1" si="142">IF(ABS(t-ROUND(t,0))&lt;0.001,pos_x,NA())</f>
        <v>#N/A</v>
      </c>
      <c r="AE261" s="324" t="e">
        <f t="shared" ca="1" si="121"/>
        <v>#N/A</v>
      </c>
      <c r="AG261" s="306">
        <f t="shared" ref="AG261:AG324" ca="1" si="143">IF(AND(L260&lt;L_rampe,Poussee&lt;Poids*SIN(M260)),0,(-W260+Poussee)/m-Poids*SIN(M260)/m)</f>
        <v>6.7836227374737472</v>
      </c>
      <c r="AH261" s="304">
        <f t="shared" ref="AH261:AH324" ca="1" si="144">IF(AND(L260&lt;L_rampe,Poussee&lt;Poids*SIN(M260)), g*SIN(M260), (-W260+Poussee)/m)</f>
        <v>-2.6180196034064007</v>
      </c>
    </row>
    <row r="262" spans="1:34" x14ac:dyDescent="0.2">
      <c r="A262" s="347">
        <f t="shared" ca="1" si="122"/>
        <v>0.1</v>
      </c>
      <c r="B262" s="304">
        <f t="shared" ca="1" si="123"/>
        <v>19.999999999999993</v>
      </c>
      <c r="D262" s="306">
        <f t="shared" ca="1" si="124"/>
        <v>-0.75353925754360485</v>
      </c>
      <c r="E262" s="307">
        <f t="shared" ca="1" si="125"/>
        <v>-7.2331843745987916</v>
      </c>
      <c r="F262" s="304">
        <f t="shared" ca="1" si="126"/>
        <v>7.2723295861504713</v>
      </c>
      <c r="G262" s="306">
        <f t="shared" ca="1" si="127"/>
        <v>15.494817313330227</v>
      </c>
      <c r="H262" s="307">
        <f t="shared" ca="1" si="128"/>
        <v>-53.967340082508649</v>
      </c>
      <c r="I262" s="304">
        <f t="shared" ca="1" si="129"/>
        <v>56.147690595024677</v>
      </c>
      <c r="J262" s="306">
        <f t="shared" ca="1" si="130"/>
        <v>458.20202113093046</v>
      </c>
      <c r="K262" s="307">
        <f t="shared" ca="1" si="131"/>
        <v>1019.4960635238532</v>
      </c>
      <c r="L262" s="304">
        <f t="shared" ca="1" si="116"/>
        <v>1117.7304306983424</v>
      </c>
      <c r="M262" s="306">
        <f t="shared" ca="1" si="132"/>
        <v>-1.2912024134132223</v>
      </c>
      <c r="N262" s="304">
        <f t="shared" ca="1" si="133"/>
        <v>-73.980448785683748</v>
      </c>
      <c r="P262" s="310">
        <f t="shared" ca="1" si="134"/>
        <v>23</v>
      </c>
      <c r="Q262" s="304">
        <f t="shared" ca="1" si="135"/>
        <v>0</v>
      </c>
      <c r="R262" s="306">
        <f t="shared" ca="1" si="136"/>
        <v>0</v>
      </c>
      <c r="S262" s="307">
        <f t="shared" ca="1" si="137"/>
        <v>2.5949999999999998</v>
      </c>
      <c r="T262" s="304">
        <f t="shared" ca="1" si="117"/>
        <v>25.456949999999999</v>
      </c>
      <c r="U262" s="311">
        <f t="shared" ca="1" si="118"/>
        <v>0</v>
      </c>
      <c r="V262" s="306">
        <f t="shared" ca="1" si="119"/>
        <v>1.1061691132801261</v>
      </c>
      <c r="W262" s="304">
        <f t="shared" ca="1" si="120"/>
        <v>7.1409861923947213</v>
      </c>
      <c r="Y262" s="314" t="str">
        <f t="shared" ca="1" si="138"/>
        <v/>
      </c>
      <c r="Z262" s="315" t="str">
        <f t="shared" ca="1" si="139"/>
        <v/>
      </c>
      <c r="AA262" s="316" t="str">
        <f t="shared" ca="1" si="140"/>
        <v/>
      </c>
      <c r="AC262" s="310">
        <f t="shared" ca="1" si="141"/>
        <v>19.999999999999993</v>
      </c>
      <c r="AD262" s="323">
        <f t="shared" ca="1" si="142"/>
        <v>458.20202113093046</v>
      </c>
      <c r="AE262" s="324" t="e">
        <f t="shared" ca="1" si="121"/>
        <v>#N/A</v>
      </c>
      <c r="AG262" s="306">
        <f t="shared" ca="1" si="143"/>
        <v>6.7309300217993844</v>
      </c>
      <c r="AH262" s="304">
        <f t="shared" ca="1" si="144"/>
        <v>-2.6847346572745678</v>
      </c>
    </row>
    <row r="263" spans="1:34" x14ac:dyDescent="0.2">
      <c r="A263" s="347">
        <f t="shared" ca="1" si="122"/>
        <v>0.1</v>
      </c>
      <c r="B263" s="304">
        <f t="shared" ca="1" si="123"/>
        <v>20.099999999999994</v>
      </c>
      <c r="D263" s="306">
        <f t="shared" ca="1" si="124"/>
        <v>-0.75940839412201921</v>
      </c>
      <c r="E263" s="307">
        <f t="shared" ca="1" si="125"/>
        <v>-7.1650348972596944</v>
      </c>
      <c r="F263" s="304">
        <f t="shared" ca="1" si="126"/>
        <v>7.2051666315229808</v>
      </c>
      <c r="G263" s="306">
        <f t="shared" ca="1" si="127"/>
        <v>15.418876473918026</v>
      </c>
      <c r="H263" s="307">
        <f t="shared" ca="1" si="128"/>
        <v>-54.683843572234622</v>
      </c>
      <c r="I263" s="304">
        <f t="shared" ca="1" si="129"/>
        <v>56.816058465459996</v>
      </c>
      <c r="J263" s="306">
        <f t="shared" ca="1" si="130"/>
        <v>459.74770582029288</v>
      </c>
      <c r="K263" s="307">
        <f t="shared" ca="1" si="131"/>
        <v>1014.0635043411161</v>
      </c>
      <c r="L263" s="304">
        <f t="shared" ca="1" si="116"/>
        <v>1113.4149019317135</v>
      </c>
      <c r="M263" s="306">
        <f t="shared" ca="1" si="132"/>
        <v>-1.2959673169290473</v>
      </c>
      <c r="N263" s="304">
        <f t="shared" ca="1" si="133"/>
        <v>-74.253457646927572</v>
      </c>
      <c r="P263" s="310">
        <f t="shared" ca="1" si="134"/>
        <v>23</v>
      </c>
      <c r="Q263" s="304">
        <f t="shared" ca="1" si="135"/>
        <v>0</v>
      </c>
      <c r="R263" s="306">
        <f t="shared" ca="1" si="136"/>
        <v>0</v>
      </c>
      <c r="S263" s="307">
        <f t="shared" ca="1" si="137"/>
        <v>2.5949999999999998</v>
      </c>
      <c r="T263" s="304">
        <f t="shared" ca="1" si="117"/>
        <v>25.456949999999999</v>
      </c>
      <c r="U263" s="311">
        <f t="shared" ca="1" si="118"/>
        <v>0</v>
      </c>
      <c r="V263" s="306">
        <f t="shared" ca="1" si="119"/>
        <v>1.1067717675059614</v>
      </c>
      <c r="W263" s="304">
        <f t="shared" ca="1" si="120"/>
        <v>7.315990711102895</v>
      </c>
      <c r="Y263" s="314" t="str">
        <f t="shared" ca="1" si="138"/>
        <v/>
      </c>
      <c r="Z263" s="315" t="str">
        <f t="shared" ca="1" si="139"/>
        <v/>
      </c>
      <c r="AA263" s="316" t="str">
        <f t="shared" ca="1" si="140"/>
        <v/>
      </c>
      <c r="AC263" s="310" t="e">
        <f t="shared" ca="1" si="141"/>
        <v>#N/A</v>
      </c>
      <c r="AD263" s="323" t="e">
        <f t="shared" ca="1" si="142"/>
        <v>#N/A</v>
      </c>
      <c r="AE263" s="324" t="e">
        <f t="shared" ca="1" si="121"/>
        <v>#N/A</v>
      </c>
      <c r="AG263" s="306">
        <f t="shared" ca="1" si="143"/>
        <v>6.6772288708085803</v>
      </c>
      <c r="AH263" s="304">
        <f t="shared" ca="1" si="144"/>
        <v>-2.7518251223101049</v>
      </c>
    </row>
    <row r="264" spans="1:34" x14ac:dyDescent="0.2">
      <c r="A264" s="347">
        <f t="shared" ca="1" si="122"/>
        <v>0.1</v>
      </c>
      <c r="B264" s="304">
        <f t="shared" ca="1" si="123"/>
        <v>20.199999999999996</v>
      </c>
      <c r="D264" s="306">
        <f t="shared" ca="1" si="124"/>
        <v>-0.76509860569885801</v>
      </c>
      <c r="E264" s="307">
        <f t="shared" ca="1" si="125"/>
        <v>-7.0965381895922457</v>
      </c>
      <c r="F264" s="304">
        <f t="shared" ca="1" si="126"/>
        <v>7.1376627934348038</v>
      </c>
      <c r="G264" s="306">
        <f t="shared" ca="1" si="127"/>
        <v>15.34236661334814</v>
      </c>
      <c r="H264" s="307">
        <f t="shared" ca="1" si="128"/>
        <v>-55.393497391193847</v>
      </c>
      <c r="I264" s="304">
        <f t="shared" ca="1" si="129"/>
        <v>57.478933241028223</v>
      </c>
      <c r="J264" s="306">
        <f t="shared" ca="1" si="130"/>
        <v>461.28576797465621</v>
      </c>
      <c r="K264" s="307">
        <f t="shared" ca="1" si="131"/>
        <v>1008.5596372929447</v>
      </c>
      <c r="L264" s="304">
        <f t="shared" ca="1" si="116"/>
        <v>1109.0433272476077</v>
      </c>
      <c r="M264" s="306">
        <f t="shared" ca="1" si="132"/>
        <v>-1.300599049629461</v>
      </c>
      <c r="N264" s="304">
        <f t="shared" ca="1" si="133"/>
        <v>-74.518836382494015</v>
      </c>
      <c r="P264" s="310">
        <f t="shared" ca="1" si="134"/>
        <v>23</v>
      </c>
      <c r="Q264" s="304">
        <f t="shared" ca="1" si="135"/>
        <v>0</v>
      </c>
      <c r="R264" s="306">
        <f t="shared" ca="1" si="136"/>
        <v>0</v>
      </c>
      <c r="S264" s="307">
        <f t="shared" ca="1" si="137"/>
        <v>2.5949999999999998</v>
      </c>
      <c r="T264" s="304">
        <f t="shared" ca="1" si="117"/>
        <v>25.456949999999999</v>
      </c>
      <c r="U264" s="311">
        <f t="shared" ca="1" si="118"/>
        <v>0</v>
      </c>
      <c r="V264" s="306">
        <f t="shared" ca="1" si="119"/>
        <v>1.107382650023212</v>
      </c>
      <c r="W264" s="304">
        <f t="shared" ca="1" si="120"/>
        <v>7.4918311914662263</v>
      </c>
      <c r="Y264" s="314" t="str">
        <f t="shared" ca="1" si="138"/>
        <v/>
      </c>
      <c r="Z264" s="315" t="str">
        <f t="shared" ca="1" si="139"/>
        <v/>
      </c>
      <c r="AA264" s="316" t="str">
        <f t="shared" ca="1" si="140"/>
        <v/>
      </c>
      <c r="AC264" s="310" t="e">
        <f t="shared" ca="1" si="141"/>
        <v>#N/A</v>
      </c>
      <c r="AD264" s="323" t="e">
        <f t="shared" ca="1" si="142"/>
        <v>#N/A</v>
      </c>
      <c r="AE264" s="324" t="e">
        <f t="shared" ca="1" si="121"/>
        <v>#N/A</v>
      </c>
      <c r="AG264" s="306">
        <f t="shared" ca="1" si="143"/>
        <v>6.6225823039301073</v>
      </c>
      <c r="AH264" s="304">
        <f t="shared" ca="1" si="144"/>
        <v>-2.8192642431995742</v>
      </c>
    </row>
    <row r="265" spans="1:34" x14ac:dyDescent="0.2">
      <c r="A265" s="347">
        <f t="shared" ca="1" si="122"/>
        <v>0.1</v>
      </c>
      <c r="B265" s="304">
        <f t="shared" ca="1" si="123"/>
        <v>20.299999999999997</v>
      </c>
      <c r="D265" s="306">
        <f t="shared" ca="1" si="124"/>
        <v>-0.77060935646595552</v>
      </c>
      <c r="E265" s="307">
        <f t="shared" ca="1" si="125"/>
        <v>-7.0277208084776044</v>
      </c>
      <c r="F265" s="304">
        <f t="shared" ca="1" si="126"/>
        <v>7.0698443081995794</v>
      </c>
      <c r="G265" s="306">
        <f t="shared" ca="1" si="127"/>
        <v>15.265305677701544</v>
      </c>
      <c r="H265" s="307">
        <f t="shared" ca="1" si="128"/>
        <v>-56.096269472041605</v>
      </c>
      <c r="I265" s="304">
        <f t="shared" ca="1" si="129"/>
        <v>58.136228000392094</v>
      </c>
      <c r="J265" s="306">
        <f t="shared" ca="1" si="130"/>
        <v>462.81615158920869</v>
      </c>
      <c r="K265" s="307">
        <f t="shared" ca="1" si="131"/>
        <v>1002.9851489497829</v>
      </c>
      <c r="L265" s="304">
        <f t="shared" ca="1" si="116"/>
        <v>1104.6166752252402</v>
      </c>
      <c r="M265" s="306">
        <f t="shared" ca="1" si="132"/>
        <v>-1.305103141934381</v>
      </c>
      <c r="N265" s="304">
        <f t="shared" ca="1" si="133"/>
        <v>-74.776901862103287</v>
      </c>
      <c r="P265" s="310">
        <f t="shared" ca="1" si="134"/>
        <v>23</v>
      </c>
      <c r="Q265" s="304">
        <f t="shared" ca="1" si="135"/>
        <v>0</v>
      </c>
      <c r="R265" s="306">
        <f t="shared" ca="1" si="136"/>
        <v>0</v>
      </c>
      <c r="S265" s="307">
        <f t="shared" ca="1" si="137"/>
        <v>2.5949999999999998</v>
      </c>
      <c r="T265" s="304">
        <f t="shared" ca="1" si="117"/>
        <v>25.456949999999999</v>
      </c>
      <c r="U265" s="311">
        <f t="shared" ca="1" si="118"/>
        <v>0</v>
      </c>
      <c r="V265" s="306">
        <f t="shared" ca="1" si="119"/>
        <v>1.1080016972587423</v>
      </c>
      <c r="W265" s="304">
        <f t="shared" ca="1" si="120"/>
        <v>7.6684395061065231</v>
      </c>
      <c r="Y265" s="314" t="str">
        <f t="shared" ca="1" si="138"/>
        <v/>
      </c>
      <c r="Z265" s="315" t="str">
        <f t="shared" ca="1" si="139"/>
        <v/>
      </c>
      <c r="AA265" s="316" t="str">
        <f t="shared" ca="1" si="140"/>
        <v/>
      </c>
      <c r="AC265" s="310" t="e">
        <f t="shared" ca="1" si="141"/>
        <v>#N/A</v>
      </c>
      <c r="AD265" s="323" t="e">
        <f t="shared" ca="1" si="142"/>
        <v>#N/A</v>
      </c>
      <c r="AE265" s="324" t="e">
        <f t="shared" ca="1" si="121"/>
        <v>#N/A</v>
      </c>
      <c r="AG265" s="306">
        <f t="shared" ca="1" si="143"/>
        <v>6.5670505996522497</v>
      </c>
      <c r="AH265" s="304">
        <f t="shared" ca="1" si="144"/>
        <v>-2.8870255073087581</v>
      </c>
    </row>
    <row r="266" spans="1:34" x14ac:dyDescent="0.2">
      <c r="A266" s="347">
        <f t="shared" ca="1" si="122"/>
        <v>0.1</v>
      </c>
      <c r="B266" s="304">
        <f t="shared" ca="1" si="123"/>
        <v>20.399999999999999</v>
      </c>
      <c r="D266" s="306">
        <f t="shared" ca="1" si="124"/>
        <v>-0.77594026443391373</v>
      </c>
      <c r="E266" s="307">
        <f t="shared" ca="1" si="125"/>
        <v>-6.9586090690294098</v>
      </c>
      <c r="F266" s="304">
        <f t="shared" ca="1" si="126"/>
        <v>7.001737175126479</v>
      </c>
      <c r="G266" s="306">
        <f t="shared" ca="1" si="127"/>
        <v>15.187711651258153</v>
      </c>
      <c r="H266" s="307">
        <f t="shared" ca="1" si="128"/>
        <v>-56.792130378944549</v>
      </c>
      <c r="I266" s="304">
        <f t="shared" ca="1" si="129"/>
        <v>58.787861486711684</v>
      </c>
      <c r="J266" s="306">
        <f t="shared" ca="1" si="130"/>
        <v>464.33880245565666</v>
      </c>
      <c r="K266" s="307">
        <f t="shared" ca="1" si="131"/>
        <v>997.34072895723364</v>
      </c>
      <c r="L266" s="304">
        <f t="shared" ca="1" si="116"/>
        <v>1100.1359248306092</v>
      </c>
      <c r="M266" s="306">
        <f t="shared" ca="1" si="132"/>
        <v>-1.309484829322886</v>
      </c>
      <c r="N266" s="304">
        <f t="shared" ca="1" si="133"/>
        <v>-75.027954056610312</v>
      </c>
      <c r="P266" s="310">
        <f t="shared" ca="1" si="134"/>
        <v>23</v>
      </c>
      <c r="Q266" s="304">
        <f t="shared" ca="1" si="135"/>
        <v>0</v>
      </c>
      <c r="R266" s="306">
        <f t="shared" ca="1" si="136"/>
        <v>0</v>
      </c>
      <c r="S266" s="307">
        <f t="shared" ca="1" si="137"/>
        <v>2.5949999999999998</v>
      </c>
      <c r="T266" s="304">
        <f t="shared" ca="1" si="117"/>
        <v>25.456949999999999</v>
      </c>
      <c r="U266" s="311">
        <f t="shared" ca="1" si="118"/>
        <v>0</v>
      </c>
      <c r="V266" s="306">
        <f t="shared" ca="1" si="119"/>
        <v>1.1086288453149005</v>
      </c>
      <c r="W266" s="304">
        <f t="shared" ca="1" si="120"/>
        <v>7.8457482420404849</v>
      </c>
      <c r="Y266" s="314" t="str">
        <f t="shared" ca="1" si="138"/>
        <v/>
      </c>
      <c r="Z266" s="315" t="str">
        <f t="shared" ca="1" si="139"/>
        <v/>
      </c>
      <c r="AA266" s="316" t="str">
        <f t="shared" ca="1" si="140"/>
        <v/>
      </c>
      <c r="AC266" s="310" t="e">
        <f t="shared" ca="1" si="141"/>
        <v>#N/A</v>
      </c>
      <c r="AD266" s="323" t="e">
        <f t="shared" ca="1" si="142"/>
        <v>#N/A</v>
      </c>
      <c r="AE266" s="324" t="e">
        <f t="shared" ca="1" si="121"/>
        <v>#N/A</v>
      </c>
      <c r="AG266" s="306">
        <f t="shared" ca="1" si="143"/>
        <v>6.5106914772677253</v>
      </c>
      <c r="AH266" s="304">
        <f t="shared" ca="1" si="144"/>
        <v>-2.9550826613127259</v>
      </c>
    </row>
    <row r="267" spans="1:34" x14ac:dyDescent="0.2">
      <c r="A267" s="347">
        <f t="shared" ca="1" si="122"/>
        <v>0.1</v>
      </c>
      <c r="B267" s="304">
        <f t="shared" ca="1" si="123"/>
        <v>20.5</v>
      </c>
      <c r="D267" s="306">
        <f t="shared" ca="1" si="124"/>
        <v>-0.78109109565836798</v>
      </c>
      <c r="E267" s="307">
        <f t="shared" ca="1" si="125"/>
        <v>-6.8892290266593328</v>
      </c>
      <c r="F267" s="304">
        <f t="shared" ca="1" si="126"/>
        <v>6.933367138806533</v>
      </c>
      <c r="G267" s="306">
        <f t="shared" ca="1" si="127"/>
        <v>15.109602541692317</v>
      </c>
      <c r="H267" s="307">
        <f t="shared" ca="1" si="128"/>
        <v>-57.481053281610485</v>
      </c>
      <c r="I267" s="304">
        <f t="shared" ca="1" si="129"/>
        <v>59.433757876574305</v>
      </c>
      <c r="J267" s="306">
        <f t="shared" ca="1" si="130"/>
        <v>465.85366816530421</v>
      </c>
      <c r="K267" s="307">
        <f t="shared" ca="1" si="131"/>
        <v>991.62706977420589</v>
      </c>
      <c r="L267" s="304">
        <f t="shared" ca="1" si="116"/>
        <v>1095.6020653741243</v>
      </c>
      <c r="M267" s="306">
        <f t="shared" ca="1" si="132"/>
        <v>-1.3137490710327289</v>
      </c>
      <c r="N267" s="304">
        <f t="shared" ca="1" si="133"/>
        <v>-75.272277109407966</v>
      </c>
      <c r="P267" s="310">
        <f t="shared" ca="1" si="134"/>
        <v>23</v>
      </c>
      <c r="Q267" s="304">
        <f t="shared" ca="1" si="135"/>
        <v>0</v>
      </c>
      <c r="R267" s="306">
        <f t="shared" ca="1" si="136"/>
        <v>0</v>
      </c>
      <c r="S267" s="307">
        <f t="shared" ca="1" si="137"/>
        <v>2.5949999999999998</v>
      </c>
      <c r="T267" s="304">
        <f t="shared" ca="1" si="117"/>
        <v>25.456949999999999</v>
      </c>
      <c r="U267" s="311">
        <f t="shared" ca="1" si="118"/>
        <v>0</v>
      </c>
      <c r="V267" s="306">
        <f t="shared" ca="1" si="119"/>
        <v>1.1092640299929386</v>
      </c>
      <c r="W267" s="304">
        <f t="shared" ca="1" si="120"/>
        <v>8.0236907404769742</v>
      </c>
      <c r="Y267" s="314" t="str">
        <f t="shared" ca="1" si="138"/>
        <v/>
      </c>
      <c r="Z267" s="315" t="str">
        <f t="shared" ca="1" si="139"/>
        <v/>
      </c>
      <c r="AA267" s="316" t="str">
        <f t="shared" ca="1" si="140"/>
        <v/>
      </c>
      <c r="AC267" s="310" t="e">
        <f t="shared" ca="1" si="141"/>
        <v>#N/A</v>
      </c>
      <c r="AD267" s="323" t="e">
        <f t="shared" ca="1" si="142"/>
        <v>#N/A</v>
      </c>
      <c r="AE267" s="324" t="e">
        <f t="shared" ca="1" si="121"/>
        <v>#N/A</v>
      </c>
      <c r="AG267" s="306">
        <f t="shared" ca="1" si="143"/>
        <v>6.4535602616533065</v>
      </c>
      <c r="AH267" s="304">
        <f t="shared" ca="1" si="144"/>
        <v>-3.0234097271832314</v>
      </c>
    </row>
    <row r="268" spans="1:34" x14ac:dyDescent="0.2">
      <c r="A268" s="347">
        <f t="shared" ca="1" si="122"/>
        <v>0.1</v>
      </c>
      <c r="B268" s="304">
        <f t="shared" ca="1" si="123"/>
        <v>20.6</v>
      </c>
      <c r="D268" s="306">
        <f t="shared" ca="1" si="124"/>
        <v>-0.7860617586772487</v>
      </c>
      <c r="E268" s="307">
        <f t="shared" ca="1" si="125"/>
        <v>-6.8196064599656445</v>
      </c>
      <c r="F268" s="304">
        <f t="shared" ca="1" si="126"/>
        <v>6.8647596722143103</v>
      </c>
      <c r="G268" s="306">
        <f t="shared" ca="1" si="127"/>
        <v>15.030996365824592</v>
      </c>
      <c r="H268" s="307">
        <f t="shared" ca="1" si="128"/>
        <v>-58.163013927607047</v>
      </c>
      <c r="I268" s="304">
        <f t="shared" ca="1" si="129"/>
        <v>60.07384656314629</v>
      </c>
      <c r="J268" s="306">
        <f t="shared" ca="1" si="130"/>
        <v>467.36069811068006</v>
      </c>
      <c r="K268" s="307">
        <f t="shared" ca="1" si="131"/>
        <v>985.84486641374497</v>
      </c>
      <c r="L268" s="304">
        <f t="shared" ca="1" si="116"/>
        <v>1091.0160964774245</v>
      </c>
      <c r="M268" s="306">
        <f t="shared" ca="1" si="132"/>
        <v>-1.3179005674130395</v>
      </c>
      <c r="N268" s="304">
        <f t="shared" ca="1" si="133"/>
        <v>-75.510140330663603</v>
      </c>
      <c r="P268" s="310">
        <f t="shared" ca="1" si="134"/>
        <v>23</v>
      </c>
      <c r="Q268" s="304">
        <f t="shared" ca="1" si="135"/>
        <v>0</v>
      </c>
      <c r="R268" s="306">
        <f t="shared" ca="1" si="136"/>
        <v>0</v>
      </c>
      <c r="S268" s="307">
        <f t="shared" ca="1" si="137"/>
        <v>2.5949999999999998</v>
      </c>
      <c r="T268" s="304">
        <f t="shared" ca="1" si="117"/>
        <v>25.456949999999999</v>
      </c>
      <c r="U268" s="311">
        <f t="shared" ca="1" si="118"/>
        <v>0</v>
      </c>
      <c r="V268" s="306">
        <f t="shared" ca="1" si="119"/>
        <v>1.1099071868162327</v>
      </c>
      <c r="W268" s="304">
        <f t="shared" ca="1" si="120"/>
        <v>8.2022011349062307</v>
      </c>
      <c r="Y268" s="314" t="str">
        <f t="shared" ca="1" si="138"/>
        <v/>
      </c>
      <c r="Z268" s="315" t="str">
        <f t="shared" ca="1" si="139"/>
        <v/>
      </c>
      <c r="AA268" s="316" t="str">
        <f t="shared" ca="1" si="140"/>
        <v/>
      </c>
      <c r="AC268" s="310" t="e">
        <f t="shared" ca="1" si="141"/>
        <v>#N/A</v>
      </c>
      <c r="AD268" s="323" t="e">
        <f t="shared" ca="1" si="142"/>
        <v>#N/A</v>
      </c>
      <c r="AE268" s="324" t="e">
        <f t="shared" ca="1" si="121"/>
        <v>#N/A</v>
      </c>
      <c r="AG268" s="306">
        <f t="shared" ca="1" si="143"/>
        <v>6.3957100327974938</v>
      </c>
      <c r="AH268" s="304">
        <f t="shared" ca="1" si="144"/>
        <v>-3.0919810175248457</v>
      </c>
    </row>
    <row r="269" spans="1:34" x14ac:dyDescent="0.2">
      <c r="A269" s="347">
        <f t="shared" ca="1" si="122"/>
        <v>0.1</v>
      </c>
      <c r="B269" s="304">
        <f t="shared" ca="1" si="123"/>
        <v>20.700000000000003</v>
      </c>
      <c r="D269" s="306">
        <f t="shared" ca="1" si="124"/>
        <v>-0.79085229914010768</v>
      </c>
      <c r="E269" s="307">
        <f t="shared" ca="1" si="125"/>
        <v>-6.7497668544348235</v>
      </c>
      <c r="F269" s="304">
        <f t="shared" ca="1" si="126"/>
        <v>6.7959399606148789</v>
      </c>
      <c r="G269" s="306">
        <f t="shared" ca="1" si="127"/>
        <v>14.951911135910581</v>
      </c>
      <c r="H269" s="307">
        <f t="shared" ca="1" si="128"/>
        <v>-58.837990613050529</v>
      </c>
      <c r="I269" s="304">
        <f t="shared" ca="1" si="129"/>
        <v>60.708061952244769</v>
      </c>
      <c r="J269" s="306">
        <f t="shared" ca="1" si="130"/>
        <v>468.85984348576682</v>
      </c>
      <c r="K269" s="307">
        <f t="shared" ca="1" si="131"/>
        <v>979.99481618671211</v>
      </c>
      <c r="L269" s="304">
        <f t="shared" ca="1" si="116"/>
        <v>1086.3790280497526</v>
      </c>
      <c r="M269" s="306">
        <f t="shared" ca="1" si="132"/>
        <v>-1.3219437760363586</v>
      </c>
      <c r="N269" s="304">
        <f t="shared" ca="1" si="133"/>
        <v>-75.741799120470688</v>
      </c>
      <c r="P269" s="310">
        <f t="shared" ca="1" si="134"/>
        <v>23</v>
      </c>
      <c r="Q269" s="304">
        <f t="shared" ca="1" si="135"/>
        <v>0</v>
      </c>
      <c r="R269" s="306">
        <f t="shared" ca="1" si="136"/>
        <v>0</v>
      </c>
      <c r="S269" s="307">
        <f t="shared" ca="1" si="137"/>
        <v>2.5949999999999998</v>
      </c>
      <c r="T269" s="304">
        <f t="shared" ca="1" si="117"/>
        <v>25.456949999999999</v>
      </c>
      <c r="U269" s="311">
        <f t="shared" ca="1" si="118"/>
        <v>0</v>
      </c>
      <c r="V269" s="306">
        <f t="shared" ca="1" si="119"/>
        <v>1.1105582510532843</v>
      </c>
      <c r="W269" s="304">
        <f t="shared" ca="1" si="120"/>
        <v>8.381214387466839</v>
      </c>
      <c r="Y269" s="314" t="str">
        <f t="shared" ca="1" si="138"/>
        <v/>
      </c>
      <c r="Z269" s="315" t="str">
        <f t="shared" ca="1" si="139"/>
        <v/>
      </c>
      <c r="AA269" s="316" t="str">
        <f t="shared" ca="1" si="140"/>
        <v/>
      </c>
      <c r="AC269" s="310" t="e">
        <f t="shared" ca="1" si="141"/>
        <v>#N/A</v>
      </c>
      <c r="AD269" s="323" t="e">
        <f t="shared" ca="1" si="142"/>
        <v>#N/A</v>
      </c>
      <c r="AE269" s="324" t="e">
        <f t="shared" ca="1" si="121"/>
        <v>#N/A</v>
      </c>
      <c r="AG269" s="306">
        <f t="shared" ca="1" si="143"/>
        <v>6.3371917616120008</v>
      </c>
      <c r="AH269" s="304">
        <f t="shared" ca="1" si="144"/>
        <v>-3.160771150252883</v>
      </c>
    </row>
    <row r="270" spans="1:34" x14ac:dyDescent="0.2">
      <c r="A270" s="347">
        <f t="shared" ca="1" si="122"/>
        <v>0.1</v>
      </c>
      <c r="B270" s="304">
        <f t="shared" ca="1" si="123"/>
        <v>20.800000000000004</v>
      </c>
      <c r="D270" s="306">
        <f t="shared" ca="1" si="124"/>
        <v>-0.79546289461281705</v>
      </c>
      <c r="E270" s="307">
        <f t="shared" ca="1" si="125"/>
        <v>-6.6797353869466711</v>
      </c>
      <c r="F270" s="304">
        <f t="shared" ca="1" si="126"/>
        <v>6.7269328862664741</v>
      </c>
      <c r="G270" s="306">
        <f t="shared" ca="1" si="127"/>
        <v>14.872364846449299</v>
      </c>
      <c r="H270" s="307">
        <f t="shared" ca="1" si="128"/>
        <v>-59.505964151745196</v>
      </c>
      <c r="I270" s="304">
        <f t="shared" ca="1" si="129"/>
        <v>61.336343270158231</v>
      </c>
      <c r="J270" s="306">
        <f t="shared" ca="1" si="130"/>
        <v>470.3510572848848</v>
      </c>
      <c r="K270" s="307">
        <f t="shared" ca="1" si="131"/>
        <v>974.07761844847232</v>
      </c>
      <c r="L270" s="304">
        <f t="shared" ca="1" si="116"/>
        <v>1081.6918802742566</v>
      </c>
      <c r="M270" s="306">
        <f t="shared" ca="1" si="132"/>
        <v>-1.325882926667336</v>
      </c>
      <c r="N270" s="304">
        <f t="shared" ca="1" si="133"/>
        <v>-75.967495826491984</v>
      </c>
      <c r="P270" s="310">
        <f t="shared" ca="1" si="134"/>
        <v>23</v>
      </c>
      <c r="Q270" s="304">
        <f t="shared" ca="1" si="135"/>
        <v>0</v>
      </c>
      <c r="R270" s="306">
        <f t="shared" ca="1" si="136"/>
        <v>0</v>
      </c>
      <c r="S270" s="307">
        <f t="shared" ca="1" si="137"/>
        <v>2.5949999999999998</v>
      </c>
      <c r="T270" s="304">
        <f t="shared" ca="1" si="117"/>
        <v>25.456949999999999</v>
      </c>
      <c r="U270" s="311">
        <f t="shared" ca="1" si="118"/>
        <v>0</v>
      </c>
      <c r="V270" s="306">
        <f t="shared" ca="1" si="119"/>
        <v>1.1112171577404846</v>
      </c>
      <c r="W270" s="304">
        <f t="shared" ca="1" si="120"/>
        <v>8.5606663235800227</v>
      </c>
      <c r="Y270" s="314" t="str">
        <f t="shared" ca="1" si="138"/>
        <v/>
      </c>
      <c r="Z270" s="315" t="str">
        <f t="shared" ca="1" si="139"/>
        <v/>
      </c>
      <c r="AA270" s="316" t="str">
        <f t="shared" ca="1" si="140"/>
        <v/>
      </c>
      <c r="AC270" s="310" t="e">
        <f t="shared" ca="1" si="141"/>
        <v>#N/A</v>
      </c>
      <c r="AD270" s="323" t="e">
        <f t="shared" ca="1" si="142"/>
        <v>#N/A</v>
      </c>
      <c r="AE270" s="324" t="e">
        <f t="shared" ca="1" si="121"/>
        <v>#N/A</v>
      </c>
      <c r="AG270" s="306">
        <f t="shared" ca="1" si="143"/>
        <v>6.2780544334041588</v>
      </c>
      <c r="AH270" s="304">
        <f t="shared" ca="1" si="144"/>
        <v>-3.2297550626076452</v>
      </c>
    </row>
    <row r="271" spans="1:34" x14ac:dyDescent="0.2">
      <c r="A271" s="347">
        <f t="shared" ca="1" si="122"/>
        <v>0.1</v>
      </c>
      <c r="B271" s="304">
        <f t="shared" ca="1" si="123"/>
        <v>20.900000000000006</v>
      </c>
      <c r="D271" s="306">
        <f t="shared" ca="1" si="124"/>
        <v>-0.79989384954300002</v>
      </c>
      <c r="E271" s="307">
        <f t="shared" ca="1" si="125"/>
        <v>-6.6095369110736204</v>
      </c>
      <c r="F271" s="304">
        <f t="shared" ca="1" si="126"/>
        <v>6.6577630139095021</v>
      </c>
      <c r="G271" s="306">
        <f t="shared" ca="1" si="127"/>
        <v>14.792375461494998</v>
      </c>
      <c r="H271" s="307">
        <f t="shared" ca="1" si="128"/>
        <v>-60.166917842852556</v>
      </c>
      <c r="I271" s="304">
        <f t="shared" ca="1" si="129"/>
        <v>61.958634382161847</v>
      </c>
      <c r="J271" s="306">
        <f t="shared" ca="1" si="130"/>
        <v>471.83429430028201</v>
      </c>
      <c r="K271" s="307">
        <f t="shared" ca="1" si="131"/>
        <v>968.09397434874245</v>
      </c>
      <c r="L271" s="304">
        <f t="shared" ca="1" si="116"/>
        <v>1076.955683604571</v>
      </c>
      <c r="M271" s="306">
        <f t="shared" ca="1" si="132"/>
        <v>-1.3297220351773582</v>
      </c>
      <c r="N271" s="304">
        <f t="shared" ca="1" si="133"/>
        <v>-76.187460541209006</v>
      </c>
      <c r="P271" s="310">
        <f t="shared" ca="1" si="134"/>
        <v>23</v>
      </c>
      <c r="Q271" s="304">
        <f t="shared" ca="1" si="135"/>
        <v>0</v>
      </c>
      <c r="R271" s="306">
        <f t="shared" ca="1" si="136"/>
        <v>0</v>
      </c>
      <c r="S271" s="307">
        <f t="shared" ca="1" si="137"/>
        <v>2.5949999999999998</v>
      </c>
      <c r="T271" s="304">
        <f t="shared" ca="1" si="117"/>
        <v>25.456949999999999</v>
      </c>
      <c r="U271" s="311">
        <f t="shared" ca="1" si="118"/>
        <v>0</v>
      </c>
      <c r="V271" s="306">
        <f t="shared" ca="1" si="119"/>
        <v>1.1118838417046397</v>
      </c>
      <c r="W271" s="304">
        <f t="shared" ca="1" si="120"/>
        <v>8.7404936648448004</v>
      </c>
      <c r="Y271" s="314" t="str">
        <f t="shared" ca="1" si="138"/>
        <v/>
      </c>
      <c r="Z271" s="315" t="str">
        <f t="shared" ca="1" si="139"/>
        <v/>
      </c>
      <c r="AA271" s="316" t="str">
        <f t="shared" ca="1" si="140"/>
        <v/>
      </c>
      <c r="AC271" s="310" t="e">
        <f t="shared" ca="1" si="141"/>
        <v>#N/A</v>
      </c>
      <c r="AD271" s="323" t="e">
        <f t="shared" ca="1" si="142"/>
        <v>#N/A</v>
      </c>
      <c r="AE271" s="324" t="e">
        <f t="shared" ca="1" si="121"/>
        <v>#N/A</v>
      </c>
      <c r="AG271" s="306">
        <f t="shared" ca="1" si="143"/>
        <v>6.2183451602455673</v>
      </c>
      <c r="AH271" s="304">
        <f t="shared" ca="1" si="144"/>
        <v>-3.2989080245009723</v>
      </c>
    </row>
    <row r="272" spans="1:34" x14ac:dyDescent="0.2">
      <c r="A272" s="347">
        <f t="shared" ca="1" si="122"/>
        <v>0.1</v>
      </c>
      <c r="B272" s="304">
        <f t="shared" ca="1" si="123"/>
        <v>21.000000000000007</v>
      </c>
      <c r="D272" s="306">
        <f t="shared" ca="1" si="124"/>
        <v>-0.80414559037335209</v>
      </c>
      <c r="E272" s="307">
        <f t="shared" ca="1" si="125"/>
        <v>-6.5391959431649127</v>
      </c>
      <c r="F272" s="304">
        <f t="shared" ca="1" si="126"/>
        <v>6.5884545770325653</v>
      </c>
      <c r="G272" s="306">
        <f t="shared" ca="1" si="127"/>
        <v>14.711960902457664</v>
      </c>
      <c r="H272" s="307">
        <f t="shared" ca="1" si="128"/>
        <v>-60.820837437169047</v>
      </c>
      <c r="I272" s="304">
        <f t="shared" ca="1" si="129"/>
        <v>62.574883620778607</v>
      </c>
      <c r="J272" s="306">
        <f t="shared" ca="1" si="130"/>
        <v>473.30951111847963</v>
      </c>
      <c r="K272" s="307">
        <f t="shared" ca="1" si="131"/>
        <v>962.04458658474141</v>
      </c>
      <c r="L272" s="304">
        <f t="shared" ca="1" si="116"/>
        <v>1072.1714787720387</v>
      </c>
      <c r="M272" s="306">
        <f t="shared" ca="1" si="132"/>
        <v>-1.333464916486969</v>
      </c>
      <c r="N272" s="304">
        <f t="shared" ca="1" si="133"/>
        <v>-76.401911843468113</v>
      </c>
      <c r="P272" s="310">
        <f t="shared" ca="1" si="134"/>
        <v>23</v>
      </c>
      <c r="Q272" s="304">
        <f t="shared" ca="1" si="135"/>
        <v>0</v>
      </c>
      <c r="R272" s="306">
        <f t="shared" ca="1" si="136"/>
        <v>0</v>
      </c>
      <c r="S272" s="307">
        <f t="shared" ca="1" si="137"/>
        <v>2.5949999999999998</v>
      </c>
      <c r="T272" s="304">
        <f t="shared" ca="1" si="117"/>
        <v>25.456949999999999</v>
      </c>
      <c r="U272" s="311">
        <f t="shared" ca="1" si="118"/>
        <v>0</v>
      </c>
      <c r="V272" s="306">
        <f t="shared" ca="1" si="119"/>
        <v>1.1125582375852281</v>
      </c>
      <c r="W272" s="304">
        <f t="shared" ca="1" si="120"/>
        <v>8.9206340601907499</v>
      </c>
      <c r="Y272" s="314" t="str">
        <f t="shared" ca="1" si="138"/>
        <v/>
      </c>
      <c r="Z272" s="315" t="str">
        <f t="shared" ca="1" si="139"/>
        <v/>
      </c>
      <c r="AA272" s="316" t="str">
        <f t="shared" ca="1" si="140"/>
        <v/>
      </c>
      <c r="AC272" s="310">
        <f t="shared" ca="1" si="141"/>
        <v>21.000000000000007</v>
      </c>
      <c r="AD272" s="323">
        <f t="shared" ca="1" si="142"/>
        <v>473.30951111847963</v>
      </c>
      <c r="AE272" s="324" t="e">
        <f t="shared" ca="1" si="121"/>
        <v>#N/A</v>
      </c>
      <c r="AG272" s="306">
        <f t="shared" ca="1" si="143"/>
        <v>6.1581092833456506</v>
      </c>
      <c r="AH272" s="304">
        <f t="shared" ca="1" si="144"/>
        <v>-3.3682056511926017</v>
      </c>
    </row>
    <row r="273" spans="1:34" x14ac:dyDescent="0.2">
      <c r="A273" s="347">
        <f t="shared" ca="1" si="122"/>
        <v>0.1</v>
      </c>
      <c r="B273" s="304">
        <f t="shared" ca="1" si="123"/>
        <v>21.100000000000009</v>
      </c>
      <c r="D273" s="306">
        <f t="shared" ca="1" si="124"/>
        <v>-0.80821866079158144</v>
      </c>
      <c r="E273" s="307">
        <f t="shared" ca="1" si="125"/>
        <v>-6.4687366492063241</v>
      </c>
      <c r="F273" s="304">
        <f t="shared" ca="1" si="126"/>
        <v>6.5190314649061785</v>
      </c>
      <c r="G273" s="306">
        <f t="shared" ca="1" si="127"/>
        <v>14.631139036378505</v>
      </c>
      <c r="H273" s="307">
        <f t="shared" ca="1" si="128"/>
        <v>-61.46771110208968</v>
      </c>
      <c r="I273" s="304">
        <f t="shared" ca="1" si="129"/>
        <v>63.185043622931829</v>
      </c>
      <c r="J273" s="306">
        <f t="shared" ca="1" si="130"/>
        <v>474.77666611542145</v>
      </c>
      <c r="K273" s="307">
        <f t="shared" ca="1" si="131"/>
        <v>955.93015915777846</v>
      </c>
      <c r="L273" s="304">
        <f t="shared" ca="1" si="116"/>
        <v>1067.340316803919</v>
      </c>
      <c r="M273" s="306">
        <f t="shared" ca="1" si="132"/>
        <v>-1.337115196611163</v>
      </c>
      <c r="N273" s="304">
        <f t="shared" ca="1" si="133"/>
        <v>-76.611057488624908</v>
      </c>
      <c r="P273" s="310">
        <f t="shared" ca="1" si="134"/>
        <v>23</v>
      </c>
      <c r="Q273" s="304">
        <f t="shared" ca="1" si="135"/>
        <v>0</v>
      </c>
      <c r="R273" s="306">
        <f t="shared" ca="1" si="136"/>
        <v>0</v>
      </c>
      <c r="S273" s="307">
        <f t="shared" ca="1" si="137"/>
        <v>2.5949999999999998</v>
      </c>
      <c r="T273" s="304">
        <f t="shared" ca="1" si="117"/>
        <v>25.456949999999999</v>
      </c>
      <c r="U273" s="311">
        <f t="shared" ca="1" si="118"/>
        <v>0</v>
      </c>
      <c r="V273" s="306">
        <f t="shared" ca="1" si="119"/>
        <v>1.1132402798563878</v>
      </c>
      <c r="W273" s="304">
        <f t="shared" ca="1" si="120"/>
        <v>9.1010261152889402</v>
      </c>
      <c r="Y273" s="314" t="str">
        <f t="shared" ca="1" si="138"/>
        <v/>
      </c>
      <c r="Z273" s="315" t="str">
        <f t="shared" ca="1" si="139"/>
        <v/>
      </c>
      <c r="AA273" s="316" t="str">
        <f t="shared" ca="1" si="140"/>
        <v/>
      </c>
      <c r="AC273" s="310" t="e">
        <f t="shared" ca="1" si="141"/>
        <v>#N/A</v>
      </c>
      <c r="AD273" s="323" t="e">
        <f t="shared" ca="1" si="142"/>
        <v>#N/A</v>
      </c>
      <c r="AE273" s="324" t="e">
        <f t="shared" ca="1" si="121"/>
        <v>#N/A</v>
      </c>
      <c r="AG273" s="306">
        <f t="shared" ca="1" si="143"/>
        <v>6.0973904664256979</v>
      </c>
      <c r="AH273" s="304">
        <f t="shared" ca="1" si="144"/>
        <v>-3.4376239152950872</v>
      </c>
    </row>
    <row r="274" spans="1:34" x14ac:dyDescent="0.2">
      <c r="A274" s="347">
        <f t="shared" ca="1" si="122"/>
        <v>0.1</v>
      </c>
      <c r="B274" s="304">
        <f t="shared" ca="1" si="123"/>
        <v>21.20000000000001</v>
      </c>
      <c r="D274" s="306">
        <f t="shared" ca="1" si="124"/>
        <v>-0.81211371710717517</v>
      </c>
      <c r="E274" s="307">
        <f t="shared" ca="1" si="125"/>
        <v>-6.3981828324458405</v>
      </c>
      <c r="F274" s="304">
        <f t="shared" ca="1" si="126"/>
        <v>6.4495172103746112</v>
      </c>
      <c r="G274" s="306">
        <f t="shared" ca="1" si="127"/>
        <v>14.549927664667788</v>
      </c>
      <c r="H274" s="307">
        <f t="shared" ca="1" si="128"/>
        <v>-62.107529385334267</v>
      </c>
      <c r="I274" s="304">
        <f t="shared" ca="1" si="129"/>
        <v>63.78907117521954</v>
      </c>
      <c r="J274" s="306">
        <f t="shared" ca="1" si="130"/>
        <v>476.23571945047377</v>
      </c>
      <c r="K274" s="307">
        <f t="shared" ca="1" si="131"/>
        <v>949.75139713340729</v>
      </c>
      <c r="L274" s="304">
        <f t="shared" ca="1" si="116"/>
        <v>1062.4632590529282</v>
      </c>
      <c r="M274" s="306">
        <f t="shared" ca="1" si="132"/>
        <v>-1.340676323876435</v>
      </c>
      <c r="N274" s="304">
        <f t="shared" ca="1" si="133"/>
        <v>-76.815095051233968</v>
      </c>
      <c r="P274" s="310">
        <f t="shared" ca="1" si="134"/>
        <v>23</v>
      </c>
      <c r="Q274" s="304">
        <f t="shared" ca="1" si="135"/>
        <v>0</v>
      </c>
      <c r="R274" s="306">
        <f t="shared" ca="1" si="136"/>
        <v>0</v>
      </c>
      <c r="S274" s="307">
        <f t="shared" ca="1" si="137"/>
        <v>2.5949999999999998</v>
      </c>
      <c r="T274" s="304">
        <f t="shared" ca="1" si="117"/>
        <v>25.456949999999999</v>
      </c>
      <c r="U274" s="311">
        <f t="shared" ca="1" si="118"/>
        <v>0</v>
      </c>
      <c r="V274" s="306">
        <f t="shared" ca="1" si="119"/>
        <v>1.1139299028486209</v>
      </c>
      <c r="W274" s="304">
        <f t="shared" ca="1" si="120"/>
        <v>9.2816094202247221</v>
      </c>
      <c r="Y274" s="314" t="str">
        <f t="shared" ca="1" si="138"/>
        <v/>
      </c>
      <c r="Z274" s="315" t="str">
        <f t="shared" ca="1" si="139"/>
        <v/>
      </c>
      <c r="AA274" s="316" t="str">
        <f t="shared" ca="1" si="140"/>
        <v/>
      </c>
      <c r="AC274" s="310" t="e">
        <f t="shared" ca="1" si="141"/>
        <v>#N/A</v>
      </c>
      <c r="AD274" s="323" t="e">
        <f t="shared" ca="1" si="142"/>
        <v>#N/A</v>
      </c>
      <c r="AE274" s="324" t="e">
        <f t="shared" ca="1" si="121"/>
        <v>#N/A</v>
      </c>
      <c r="AG274" s="306">
        <f t="shared" ca="1" si="143"/>
        <v>6.0362307809876032</v>
      </c>
      <c r="AH274" s="304">
        <f t="shared" ca="1" si="144"/>
        <v>-3.5071391581074915</v>
      </c>
    </row>
    <row r="275" spans="1:34" x14ac:dyDescent="0.2">
      <c r="A275" s="347">
        <f t="shared" ca="1" si="122"/>
        <v>0.1</v>
      </c>
      <c r="B275" s="304">
        <f t="shared" ca="1" si="123"/>
        <v>21.300000000000011</v>
      </c>
      <c r="D275" s="306">
        <f t="shared" ca="1" si="124"/>
        <v>-0.81583152374641865</v>
      </c>
      <c r="E275" s="307">
        <f t="shared" ca="1" si="125"/>
        <v>-6.3275579217754387</v>
      </c>
      <c r="F275" s="304">
        <f t="shared" ca="1" si="126"/>
        <v>6.3799349783960579</v>
      </c>
      <c r="G275" s="306">
        <f t="shared" ca="1" si="127"/>
        <v>14.468344512293147</v>
      </c>
      <c r="H275" s="307">
        <f t="shared" ca="1" si="128"/>
        <v>-62.740285177511808</v>
      </c>
      <c r="I275" s="304">
        <f t="shared" ca="1" si="129"/>
        <v>64.386927066617417</v>
      </c>
      <c r="J275" s="306">
        <f t="shared" ca="1" si="130"/>
        <v>477.68663305932182</v>
      </c>
      <c r="K275" s="307">
        <f t="shared" ca="1" si="131"/>
        <v>943.50900640526504</v>
      </c>
      <c r="L275" s="304">
        <f t="shared" ca="1" si="116"/>
        <v>1057.541377238452</v>
      </c>
      <c r="M275" s="306">
        <f t="shared" ca="1" si="132"/>
        <v>-1.3441515793727854</v>
      </c>
      <c r="N275" s="304">
        <f t="shared" ca="1" si="133"/>
        <v>-77.01421252390449</v>
      </c>
      <c r="P275" s="310">
        <f t="shared" ca="1" si="134"/>
        <v>23</v>
      </c>
      <c r="Q275" s="304">
        <f t="shared" ca="1" si="135"/>
        <v>0</v>
      </c>
      <c r="R275" s="306">
        <f t="shared" ca="1" si="136"/>
        <v>0</v>
      </c>
      <c r="S275" s="307">
        <f t="shared" ca="1" si="137"/>
        <v>2.5949999999999998</v>
      </c>
      <c r="T275" s="304">
        <f t="shared" ca="1" si="117"/>
        <v>25.456949999999999</v>
      </c>
      <c r="U275" s="311">
        <f t="shared" ca="1" si="118"/>
        <v>0</v>
      </c>
      <c r="V275" s="306">
        <f t="shared" ca="1" si="119"/>
        <v>1.114627040770201</v>
      </c>
      <c r="W275" s="304">
        <f t="shared" ca="1" si="120"/>
        <v>9.4623245754393146</v>
      </c>
      <c r="Y275" s="314" t="str">
        <f t="shared" ca="1" si="138"/>
        <v/>
      </c>
      <c r="Z275" s="315" t="str">
        <f t="shared" ca="1" si="139"/>
        <v/>
      </c>
      <c r="AA275" s="316" t="str">
        <f t="shared" ca="1" si="140"/>
        <v/>
      </c>
      <c r="AC275" s="310" t="e">
        <f t="shared" ca="1" si="141"/>
        <v>#N/A</v>
      </c>
      <c r="AD275" s="323" t="e">
        <f t="shared" ca="1" si="142"/>
        <v>#N/A</v>
      </c>
      <c r="AE275" s="324" t="e">
        <f t="shared" ca="1" si="121"/>
        <v>#N/A</v>
      </c>
      <c r="AG275" s="306">
        <f t="shared" ca="1" si="143"/>
        <v>5.9746707842810194</v>
      </c>
      <c r="AH275" s="304">
        <f t="shared" ca="1" si="144"/>
        <v>-3.5767281002792766</v>
      </c>
    </row>
    <row r="276" spans="1:34" x14ac:dyDescent="0.2">
      <c r="A276" s="347">
        <f t="shared" ca="1" si="122"/>
        <v>0.1</v>
      </c>
      <c r="B276" s="304">
        <f t="shared" ca="1" si="123"/>
        <v>21.400000000000013</v>
      </c>
      <c r="D276" s="306">
        <f t="shared" ca="1" si="124"/>
        <v>-0.81937294885824052</v>
      </c>
      <c r="E276" s="307">
        <f t="shared" ca="1" si="125"/>
        <v>-6.2568849608588</v>
      </c>
      <c r="F276" s="304">
        <f t="shared" ca="1" si="126"/>
        <v>6.3103075553210299</v>
      </c>
      <c r="G276" s="306">
        <f t="shared" ca="1" si="127"/>
        <v>14.386407217407323</v>
      </c>
      <c r="H276" s="307">
        <f t="shared" ca="1" si="128"/>
        <v>-63.365973673597686</v>
      </c>
      <c r="I276" s="304">
        <f t="shared" ca="1" si="129"/>
        <v>64.978575947985689</v>
      </c>
      <c r="J276" s="306">
        <f t="shared" ca="1" si="130"/>
        <v>479.12937064580683</v>
      </c>
      <c r="K276" s="307">
        <f t="shared" ca="1" si="131"/>
        <v>937.20369346270957</v>
      </c>
      <c r="L276" s="304">
        <f t="shared" ca="1" si="116"/>
        <v>1052.5757534997617</v>
      </c>
      <c r="M276" s="306">
        <f t="shared" ca="1" si="132"/>
        <v>-1.3475440866986934</v>
      </c>
      <c r="N276" s="304">
        <f t="shared" ca="1" si="133"/>
        <v>-77.208588875646228</v>
      </c>
      <c r="P276" s="310">
        <f t="shared" ca="1" si="134"/>
        <v>23</v>
      </c>
      <c r="Q276" s="304">
        <f t="shared" ca="1" si="135"/>
        <v>0</v>
      </c>
      <c r="R276" s="306">
        <f t="shared" ca="1" si="136"/>
        <v>0</v>
      </c>
      <c r="S276" s="307">
        <f t="shared" ca="1" si="137"/>
        <v>2.5949999999999998</v>
      </c>
      <c r="T276" s="304">
        <f t="shared" ca="1" si="117"/>
        <v>25.456949999999999</v>
      </c>
      <c r="U276" s="311">
        <f t="shared" ca="1" si="118"/>
        <v>0</v>
      </c>
      <c r="V276" s="306">
        <f t="shared" ca="1" si="119"/>
        <v>1.1153316277282734</v>
      </c>
      <c r="W276" s="304">
        <f t="shared" ca="1" si="120"/>
        <v>9.6431132159501853</v>
      </c>
      <c r="Y276" s="314" t="str">
        <f t="shared" ca="1" si="138"/>
        <v/>
      </c>
      <c r="Z276" s="315" t="str">
        <f t="shared" ca="1" si="139"/>
        <v/>
      </c>
      <c r="AA276" s="316" t="str">
        <f t="shared" ca="1" si="140"/>
        <v/>
      </c>
      <c r="AC276" s="310" t="e">
        <f t="shared" ca="1" si="141"/>
        <v>#N/A</v>
      </c>
      <c r="AD276" s="323" t="e">
        <f t="shared" ca="1" si="142"/>
        <v>#N/A</v>
      </c>
      <c r="AE276" s="324" t="e">
        <f t="shared" ca="1" si="121"/>
        <v>#N/A</v>
      </c>
      <c r="AG276" s="306">
        <f t="shared" ca="1" si="143"/>
        <v>5.9127495906915897</v>
      </c>
      <c r="AH276" s="304">
        <f t="shared" ca="1" si="144"/>
        <v>-3.6463678518070579</v>
      </c>
    </row>
    <row r="277" spans="1:34" x14ac:dyDescent="0.2">
      <c r="A277" s="347">
        <f t="shared" ca="1" si="122"/>
        <v>0.1</v>
      </c>
      <c r="B277" s="304">
        <f t="shared" ca="1" si="123"/>
        <v>21.500000000000014</v>
      </c>
      <c r="D277" s="306">
        <f t="shared" ca="1" si="124"/>
        <v>-0.82273896002443858</v>
      </c>
      <c r="E277" s="307">
        <f t="shared" ca="1" si="125"/>
        <v>-6.1861865979943351</v>
      </c>
      <c r="F277" s="304">
        <f t="shared" ca="1" si="126"/>
        <v>6.240657338898429</v>
      </c>
      <c r="G277" s="306">
        <f t="shared" ca="1" si="127"/>
        <v>14.304133321404878</v>
      </c>
      <c r="H277" s="307">
        <f t="shared" ca="1" si="128"/>
        <v>-63.984592333397117</v>
      </c>
      <c r="I277" s="304">
        <f t="shared" ca="1" si="129"/>
        <v>65.563986197817059</v>
      </c>
      <c r="J277" s="306">
        <f t="shared" ca="1" si="130"/>
        <v>480.56389767274743</v>
      </c>
      <c r="K277" s="307">
        <f t="shared" ca="1" si="131"/>
        <v>930.83616516235986</v>
      </c>
      <c r="L277" s="304">
        <f t="shared" ca="1" si="116"/>
        <v>1047.5674804615649</v>
      </c>
      <c r="M277" s="306">
        <f t="shared" ca="1" si="132"/>
        <v>-1.3508568210523209</v>
      </c>
      <c r="N277" s="304">
        <f t="shared" ca="1" si="133"/>
        <v>-77.398394572757084</v>
      </c>
      <c r="P277" s="310">
        <f t="shared" ca="1" si="134"/>
        <v>23</v>
      </c>
      <c r="Q277" s="304">
        <f t="shared" ca="1" si="135"/>
        <v>0</v>
      </c>
      <c r="R277" s="306">
        <f t="shared" ca="1" si="136"/>
        <v>0</v>
      </c>
      <c r="S277" s="307">
        <f t="shared" ca="1" si="137"/>
        <v>2.5949999999999998</v>
      </c>
      <c r="T277" s="304">
        <f t="shared" ca="1" si="117"/>
        <v>25.456949999999999</v>
      </c>
      <c r="U277" s="311">
        <f t="shared" ca="1" si="118"/>
        <v>0</v>
      </c>
      <c r="V277" s="306">
        <f t="shared" ca="1" si="119"/>
        <v>1.1160435977496415</v>
      </c>
      <c r="W277" s="304">
        <f t="shared" ca="1" si="120"/>
        <v>9.8239180338631353</v>
      </c>
      <c r="Y277" s="314" t="str">
        <f t="shared" ca="1" si="138"/>
        <v/>
      </c>
      <c r="Z277" s="315" t="str">
        <f t="shared" ca="1" si="139"/>
        <v/>
      </c>
      <c r="AA277" s="316" t="str">
        <f t="shared" ca="1" si="140"/>
        <v/>
      </c>
      <c r="AC277" s="310" t="e">
        <f t="shared" ca="1" si="141"/>
        <v>#N/A</v>
      </c>
      <c r="AD277" s="323" t="e">
        <f t="shared" ca="1" si="142"/>
        <v>#N/A</v>
      </c>
      <c r="AE277" s="324" t="e">
        <f t="shared" ca="1" si="121"/>
        <v>#N/A</v>
      </c>
      <c r="AG277" s="306">
        <f t="shared" ca="1" si="143"/>
        <v>5.850504937200288</v>
      </c>
      <c r="AH277" s="304">
        <f t="shared" ca="1" si="144"/>
        <v>-3.7160359213680874</v>
      </c>
    </row>
    <row r="278" spans="1:34" x14ac:dyDescent="0.2">
      <c r="A278" s="347">
        <f t="shared" ca="1" si="122"/>
        <v>0.1</v>
      </c>
      <c r="B278" s="304">
        <f t="shared" ca="1" si="123"/>
        <v>21.600000000000016</v>
      </c>
      <c r="D278" s="306">
        <f t="shared" ca="1" si="124"/>
        <v>-0.82593062006872342</v>
      </c>
      <c r="E278" s="307">
        <f t="shared" ca="1" si="125"/>
        <v>-6.1154850767025142</v>
      </c>
      <c r="F278" s="304">
        <f t="shared" ca="1" si="126"/>
        <v>6.1710063289983959</v>
      </c>
      <c r="G278" s="306">
        <f t="shared" ca="1" si="127"/>
        <v>14.221540259398006</v>
      </c>
      <c r="H278" s="307">
        <f t="shared" ca="1" si="128"/>
        <v>-64.596140841067367</v>
      </c>
      <c r="I278" s="304">
        <f t="shared" ca="1" si="129"/>
        <v>66.143129793718487</v>
      </c>
      <c r="J278" s="306">
        <f t="shared" ca="1" si="130"/>
        <v>481.99018135178756</v>
      </c>
      <c r="K278" s="307">
        <f t="shared" ca="1" si="131"/>
        <v>924.40712850363661</v>
      </c>
      <c r="L278" s="304">
        <f t="shared" ca="1" si="116"/>
        <v>1042.5176613122044</v>
      </c>
      <c r="M278" s="306">
        <f t="shared" ca="1" si="132"/>
        <v>-1.3540926177178625</v>
      </c>
      <c r="N278" s="304">
        <f t="shared" ca="1" si="133"/>
        <v>-77.583792065055121</v>
      </c>
      <c r="P278" s="310">
        <f t="shared" ca="1" si="134"/>
        <v>23</v>
      </c>
      <c r="Q278" s="304">
        <f t="shared" ca="1" si="135"/>
        <v>0</v>
      </c>
      <c r="R278" s="306">
        <f t="shared" ca="1" si="136"/>
        <v>0</v>
      </c>
      <c r="S278" s="307">
        <f t="shared" ca="1" si="137"/>
        <v>2.5949999999999998</v>
      </c>
      <c r="T278" s="304">
        <f t="shared" ca="1" si="117"/>
        <v>25.456949999999999</v>
      </c>
      <c r="U278" s="311">
        <f t="shared" ca="1" si="118"/>
        <v>0</v>
      </c>
      <c r="V278" s="306">
        <f t="shared" ca="1" si="119"/>
        <v>1.1167628848012254</v>
      </c>
      <c r="W278" s="304">
        <f t="shared" ca="1" si="120"/>
        <v>10.004682799191835</v>
      </c>
      <c r="Y278" s="314" t="str">
        <f t="shared" ca="1" si="138"/>
        <v/>
      </c>
      <c r="Z278" s="315" t="str">
        <f t="shared" ca="1" si="139"/>
        <v/>
      </c>
      <c r="AA278" s="316" t="str">
        <f t="shared" ca="1" si="140"/>
        <v/>
      </c>
      <c r="AC278" s="310" t="e">
        <f t="shared" ca="1" si="141"/>
        <v>#N/A</v>
      </c>
      <c r="AD278" s="323" t="e">
        <f t="shared" ca="1" si="142"/>
        <v>#N/A</v>
      </c>
      <c r="AE278" s="324" t="e">
        <f t="shared" ca="1" si="121"/>
        <v>#N/A</v>
      </c>
      <c r="AG278" s="306">
        <f t="shared" ca="1" si="143"/>
        <v>5.7879732434988114</v>
      </c>
      <c r="AH278" s="304">
        <f t="shared" ca="1" si="144"/>
        <v>-3.7857102249954284</v>
      </c>
    </row>
    <row r="279" spans="1:34" x14ac:dyDescent="0.2">
      <c r="A279" s="347">
        <f t="shared" ca="1" si="122"/>
        <v>0.1</v>
      </c>
      <c r="B279" s="304">
        <f t="shared" ca="1" si="123"/>
        <v>21.700000000000017</v>
      </c>
      <c r="D279" s="306">
        <f t="shared" ca="1" si="124"/>
        <v>-0.8289490829598124</v>
      </c>
      <c r="E279" s="307">
        <f t="shared" ca="1" si="125"/>
        <v>-6.0448022270259854</v>
      </c>
      <c r="F279" s="304">
        <f t="shared" ca="1" si="126"/>
        <v>6.101376119040542</v>
      </c>
      <c r="G279" s="306">
        <f t="shared" ca="1" si="127"/>
        <v>14.138645351102024</v>
      </c>
      <c r="H279" s="307">
        <f t="shared" ca="1" si="128"/>
        <v>-65.200621063769972</v>
      </c>
      <c r="I279" s="304">
        <f t="shared" ca="1" si="129"/>
        <v>66.715982189169353</v>
      </c>
      <c r="J279" s="306">
        <f t="shared" ca="1" si="130"/>
        <v>483.40819063231254</v>
      </c>
      <c r="K279" s="307">
        <f t="shared" ca="1" si="131"/>
        <v>917.91729040839471</v>
      </c>
      <c r="L279" s="304">
        <f t="shared" ca="1" si="116"/>
        <v>1037.4274098948299</v>
      </c>
      <c r="M279" s="306">
        <f t="shared" ca="1" si="132"/>
        <v>-1.357254179991999</v>
      </c>
      <c r="N279" s="304">
        <f t="shared" ca="1" si="133"/>
        <v>-77.76493624003092</v>
      </c>
      <c r="P279" s="310">
        <f t="shared" ca="1" si="134"/>
        <v>23</v>
      </c>
      <c r="Q279" s="304">
        <f t="shared" ca="1" si="135"/>
        <v>0</v>
      </c>
      <c r="R279" s="306">
        <f t="shared" ca="1" si="136"/>
        <v>0</v>
      </c>
      <c r="S279" s="307">
        <f t="shared" ca="1" si="137"/>
        <v>2.5949999999999998</v>
      </c>
      <c r="T279" s="304">
        <f t="shared" ca="1" si="117"/>
        <v>25.456949999999999</v>
      </c>
      <c r="U279" s="311">
        <f t="shared" ca="1" si="118"/>
        <v>0</v>
      </c>
      <c r="V279" s="306">
        <f t="shared" ca="1" si="119"/>
        <v>1.1174894228101877</v>
      </c>
      <c r="W279" s="304">
        <f t="shared" ca="1" si="120"/>
        <v>10.185352379003042</v>
      </c>
      <c r="Y279" s="314" t="str">
        <f t="shared" ca="1" si="138"/>
        <v/>
      </c>
      <c r="Z279" s="315" t="str">
        <f t="shared" ca="1" si="139"/>
        <v/>
      </c>
      <c r="AA279" s="316" t="str">
        <f t="shared" ca="1" si="140"/>
        <v/>
      </c>
      <c r="AC279" s="310" t="e">
        <f t="shared" ca="1" si="141"/>
        <v>#N/A</v>
      </c>
      <c r="AD279" s="323" t="e">
        <f t="shared" ca="1" si="142"/>
        <v>#N/A</v>
      </c>
      <c r="AE279" s="324" t="e">
        <f t="shared" ca="1" si="121"/>
        <v>#N/A</v>
      </c>
      <c r="AG279" s="306">
        <f t="shared" ca="1" si="143"/>
        <v>5.725189667287669</v>
      </c>
      <c r="AH279" s="304">
        <f t="shared" ca="1" si="144"/>
        <v>-3.8553690941009005</v>
      </c>
    </row>
    <row r="280" spans="1:34" x14ac:dyDescent="0.2">
      <c r="A280" s="347">
        <f t="shared" ca="1" si="122"/>
        <v>0.1</v>
      </c>
      <c r="B280" s="304">
        <f t="shared" ca="1" si="123"/>
        <v>21.800000000000018</v>
      </c>
      <c r="D280" s="306">
        <f t="shared" ca="1" si="124"/>
        <v>-0.8317955898044429</v>
      </c>
      <c r="E280" s="307">
        <f t="shared" ca="1" si="125"/>
        <v>-5.9741594575305363</v>
      </c>
      <c r="F280" s="304">
        <f t="shared" ca="1" si="126"/>
        <v>6.0317878881157343</v>
      </c>
      <c r="G280" s="306">
        <f t="shared" ca="1" si="127"/>
        <v>14.055465792121581</v>
      </c>
      <c r="H280" s="307">
        <f t="shared" ca="1" si="128"/>
        <v>-65.798037009523028</v>
      </c>
      <c r="I280" s="304">
        <f t="shared" ca="1" si="129"/>
        <v>67.282522195144125</v>
      </c>
      <c r="J280" s="306">
        <f t="shared" ca="1" si="130"/>
        <v>484.81789618947374</v>
      </c>
      <c r="K280" s="307">
        <f t="shared" ca="1" si="131"/>
        <v>911.36735750473008</v>
      </c>
      <c r="L280" s="304">
        <f t="shared" ca="1" si="116"/>
        <v>1032.297850811839</v>
      </c>
      <c r="M280" s="306">
        <f t="shared" ca="1" si="132"/>
        <v>-1.3603440865917655</v>
      </c>
      <c r="N280" s="304">
        <f t="shared" ca="1" si="133"/>
        <v>-77.94197484728717</v>
      </c>
      <c r="P280" s="310">
        <f t="shared" ca="1" si="134"/>
        <v>23</v>
      </c>
      <c r="Q280" s="304">
        <f t="shared" ca="1" si="135"/>
        <v>0</v>
      </c>
      <c r="R280" s="306">
        <f t="shared" ca="1" si="136"/>
        <v>0</v>
      </c>
      <c r="S280" s="307">
        <f t="shared" ca="1" si="137"/>
        <v>2.5949999999999998</v>
      </c>
      <c r="T280" s="304">
        <f t="shared" ca="1" si="117"/>
        <v>25.456949999999999</v>
      </c>
      <c r="U280" s="311">
        <f t="shared" ca="1" si="118"/>
        <v>0</v>
      </c>
      <c r="V280" s="306">
        <f t="shared" ca="1" si="119"/>
        <v>1.1182231456837157</v>
      </c>
      <c r="W280" s="304">
        <f t="shared" ca="1" si="120"/>
        <v>10.365872754908541</v>
      </c>
      <c r="Y280" s="314" t="str">
        <f t="shared" ca="1" si="138"/>
        <v/>
      </c>
      <c r="Z280" s="315" t="str">
        <f t="shared" ca="1" si="139"/>
        <v/>
      </c>
      <c r="AA280" s="316" t="str">
        <f t="shared" ca="1" si="140"/>
        <v/>
      </c>
      <c r="AC280" s="310" t="e">
        <f t="shared" ca="1" si="141"/>
        <v>#N/A</v>
      </c>
      <c r="AD280" s="323" t="e">
        <f t="shared" ca="1" si="142"/>
        <v>#N/A</v>
      </c>
      <c r="AE280" s="324" t="e">
        <f t="shared" ca="1" si="121"/>
        <v>#N/A</v>
      </c>
      <c r="AG280" s="306">
        <f t="shared" ca="1" si="143"/>
        <v>5.6621881552312008</v>
      </c>
      <c r="AH280" s="304">
        <f t="shared" ca="1" si="144"/>
        <v>-3.9249912828528104</v>
      </c>
    </row>
    <row r="281" spans="1:34" x14ac:dyDescent="0.2">
      <c r="A281" s="347">
        <f t="shared" ca="1" si="122"/>
        <v>0.1</v>
      </c>
      <c r="B281" s="304">
        <f t="shared" ca="1" si="123"/>
        <v>21.90000000000002</v>
      </c>
      <c r="D281" s="306">
        <f t="shared" ca="1" si="124"/>
        <v>-0.83447146492684554</v>
      </c>
      <c r="E281" s="307">
        <f t="shared" ca="1" si="125"/>
        <v>-5.9035777479943832</v>
      </c>
      <c r="F281" s="304">
        <f t="shared" ca="1" si="126"/>
        <v>5.9622623937890884</v>
      </c>
      <c r="G281" s="306">
        <f t="shared" ca="1" si="127"/>
        <v>13.972018645628896</v>
      </c>
      <c r="H281" s="307">
        <f t="shared" ca="1" si="128"/>
        <v>-66.388394784322472</v>
      </c>
      <c r="I281" s="304">
        <f t="shared" ca="1" si="129"/>
        <v>67.842731866227624</v>
      </c>
      <c r="J281" s="306">
        <f t="shared" ca="1" si="130"/>
        <v>486.21927041136126</v>
      </c>
      <c r="K281" s="307">
        <f t="shared" ca="1" si="131"/>
        <v>904.75803591503779</v>
      </c>
      <c r="L281" s="304">
        <f t="shared" ca="1" si="116"/>
        <v>1027.130119542891</v>
      </c>
      <c r="M281" s="306">
        <f t="shared" ca="1" si="132"/>
        <v>-1.363364798581838</v>
      </c>
      <c r="N281" s="304">
        <f t="shared" ca="1" si="133"/>
        <v>-78.115048895442882</v>
      </c>
      <c r="P281" s="310">
        <f t="shared" ca="1" si="134"/>
        <v>23</v>
      </c>
      <c r="Q281" s="304">
        <f t="shared" ca="1" si="135"/>
        <v>0</v>
      </c>
      <c r="R281" s="306">
        <f t="shared" ca="1" si="136"/>
        <v>0</v>
      </c>
      <c r="S281" s="307">
        <f t="shared" ca="1" si="137"/>
        <v>2.5949999999999998</v>
      </c>
      <c r="T281" s="304">
        <f t="shared" ca="1" si="117"/>
        <v>25.456949999999999</v>
      </c>
      <c r="U281" s="311">
        <f t="shared" ca="1" si="118"/>
        <v>0</v>
      </c>
      <c r="V281" s="306">
        <f t="shared" ca="1" si="119"/>
        <v>1.1189639873284563</v>
      </c>
      <c r="W281" s="304">
        <f t="shared" ca="1" si="120"/>
        <v>10.546191038926757</v>
      </c>
      <c r="Y281" s="314" t="str">
        <f t="shared" ca="1" si="138"/>
        <v/>
      </c>
      <c r="Z281" s="315" t="str">
        <f t="shared" ca="1" si="139"/>
        <v/>
      </c>
      <c r="AA281" s="316" t="str">
        <f t="shared" ca="1" si="140"/>
        <v/>
      </c>
      <c r="AC281" s="310" t="e">
        <f t="shared" ca="1" si="141"/>
        <v>#N/A</v>
      </c>
      <c r="AD281" s="323" t="e">
        <f t="shared" ca="1" si="142"/>
        <v>#N/A</v>
      </c>
      <c r="AE281" s="324" t="e">
        <f t="shared" ca="1" si="121"/>
        <v>#N/A</v>
      </c>
      <c r="AG281" s="306">
        <f t="shared" ca="1" si="143"/>
        <v>5.5990014899967306</v>
      </c>
      <c r="AH281" s="304">
        <f t="shared" ca="1" si="144"/>
        <v>-3.9945559749165862</v>
      </c>
    </row>
    <row r="282" spans="1:34" x14ac:dyDescent="0.2">
      <c r="A282" s="347">
        <f t="shared" ca="1" si="122"/>
        <v>0.1</v>
      </c>
      <c r="B282" s="304">
        <f t="shared" ca="1" si="123"/>
        <v>22.000000000000021</v>
      </c>
      <c r="D282" s="306">
        <f t="shared" ca="1" si="124"/>
        <v>-0.83697811203166883</v>
      </c>
      <c r="E282" s="307">
        <f t="shared" ca="1" si="125"/>
        <v>-5.8330776427729116</v>
      </c>
      <c r="F282" s="304">
        <f t="shared" ca="1" si="126"/>
        <v>5.8928199655714311</v>
      </c>
      <c r="G282" s="306">
        <f t="shared" ca="1" si="127"/>
        <v>13.888320834425729</v>
      </c>
      <c r="H282" s="307">
        <f t="shared" ca="1" si="128"/>
        <v>-66.971702548599765</v>
      </c>
      <c r="I282" s="304">
        <f t="shared" ca="1" si="129"/>
        <v>68.396596390888249</v>
      </c>
      <c r="J282" s="306">
        <f t="shared" ca="1" si="130"/>
        <v>487.61228738536397</v>
      </c>
      <c r="K282" s="307">
        <f t="shared" ca="1" si="131"/>
        <v>898.09003104839167</v>
      </c>
      <c r="L282" s="304">
        <f t="shared" ca="1" si="116"/>
        <v>1021.9253625767823</v>
      </c>
      <c r="M282" s="306">
        <f t="shared" ca="1" si="132"/>
        <v>-1.3663186658561977</v>
      </c>
      <c r="N282" s="304">
        <f t="shared" ca="1" si="133"/>
        <v>-78.284293023505498</v>
      </c>
      <c r="P282" s="310">
        <f t="shared" ca="1" si="134"/>
        <v>23</v>
      </c>
      <c r="Q282" s="304">
        <f t="shared" ca="1" si="135"/>
        <v>0</v>
      </c>
      <c r="R282" s="306">
        <f t="shared" ca="1" si="136"/>
        <v>0</v>
      </c>
      <c r="S282" s="307">
        <f t="shared" ca="1" si="137"/>
        <v>2.5949999999999998</v>
      </c>
      <c r="T282" s="304">
        <f t="shared" ca="1" si="117"/>
        <v>25.456949999999999</v>
      </c>
      <c r="U282" s="311">
        <f t="shared" ca="1" si="118"/>
        <v>0</v>
      </c>
      <c r="V282" s="306">
        <f t="shared" ca="1" si="119"/>
        <v>1.1197118816695912</v>
      </c>
      <c r="W282" s="304">
        <f t="shared" ca="1" si="120"/>
        <v>10.726255487739678</v>
      </c>
      <c r="Y282" s="314" t="str">
        <f t="shared" ca="1" si="138"/>
        <v/>
      </c>
      <c r="Z282" s="315" t="str">
        <f t="shared" ca="1" si="139"/>
        <v/>
      </c>
      <c r="AA282" s="316" t="str">
        <f t="shared" ca="1" si="140"/>
        <v/>
      </c>
      <c r="AC282" s="310">
        <f t="shared" ca="1" si="141"/>
        <v>22.000000000000021</v>
      </c>
      <c r="AD282" s="323">
        <f t="shared" ca="1" si="142"/>
        <v>487.61228738536397</v>
      </c>
      <c r="AE282" s="324" t="e">
        <f t="shared" ca="1" si="121"/>
        <v>#N/A</v>
      </c>
      <c r="AG282" s="306">
        <f t="shared" ca="1" si="143"/>
        <v>5.5356613337629454</v>
      </c>
      <c r="AH282" s="304">
        <f t="shared" ca="1" si="144"/>
        <v>-4.0640427895671518</v>
      </c>
    </row>
    <row r="283" spans="1:34" x14ac:dyDescent="0.2">
      <c r="A283" s="347">
        <f t="shared" ca="1" si="122"/>
        <v>0.1</v>
      </c>
      <c r="B283" s="304">
        <f t="shared" ca="1" si="123"/>
        <v>22.100000000000023</v>
      </c>
      <c r="D283" s="306">
        <f t="shared" ca="1" si="124"/>
        <v>-0.83931701044787355</v>
      </c>
      <c r="E283" s="307">
        <f t="shared" ca="1" si="125"/>
        <v>-5.7626792448254074</v>
      </c>
      <c r="F283" s="304">
        <f t="shared" ca="1" si="126"/>
        <v>5.823480499045969</v>
      </c>
      <c r="G283" s="306">
        <f t="shared" ca="1" si="127"/>
        <v>13.804389133380941</v>
      </c>
      <c r="H283" s="307">
        <f t="shared" ca="1" si="128"/>
        <v>-67.547970473082302</v>
      </c>
      <c r="I283" s="304">
        <f t="shared" ca="1" si="129"/>
        <v>68.9441039856071</v>
      </c>
      <c r="J283" s="306">
        <f t="shared" ca="1" si="130"/>
        <v>488.99692288375428</v>
      </c>
      <c r="K283" s="307">
        <f t="shared" ca="1" si="131"/>
        <v>891.36404739730756</v>
      </c>
      <c r="L283" s="304">
        <f t="shared" ca="1" si="116"/>
        <v>1016.6847375574642</v>
      </c>
      <c r="M283" s="306">
        <f t="shared" ca="1" si="132"/>
        <v>-1.3692079332063523</v>
      </c>
      <c r="N283" s="304">
        <f t="shared" ca="1" si="133"/>
        <v>-78.449835848554301</v>
      </c>
      <c r="P283" s="310">
        <f t="shared" ca="1" si="134"/>
        <v>23</v>
      </c>
      <c r="Q283" s="304">
        <f t="shared" ca="1" si="135"/>
        <v>0</v>
      </c>
      <c r="R283" s="306">
        <f t="shared" ca="1" si="136"/>
        <v>0</v>
      </c>
      <c r="S283" s="307">
        <f t="shared" ca="1" si="137"/>
        <v>2.5949999999999998</v>
      </c>
      <c r="T283" s="304">
        <f t="shared" ca="1" si="117"/>
        <v>25.456949999999999</v>
      </c>
      <c r="U283" s="311">
        <f t="shared" ca="1" si="118"/>
        <v>0</v>
      </c>
      <c r="V283" s="306">
        <f t="shared" ca="1" si="119"/>
        <v>1.1204667626695506</v>
      </c>
      <c r="W283" s="304">
        <f t="shared" ca="1" si="120"/>
        <v>10.906015515372411</v>
      </c>
      <c r="Y283" s="314" t="str">
        <f t="shared" ca="1" si="138"/>
        <v/>
      </c>
      <c r="Z283" s="315" t="str">
        <f t="shared" ca="1" si="139"/>
        <v/>
      </c>
      <c r="AA283" s="316" t="str">
        <f t="shared" ca="1" si="140"/>
        <v/>
      </c>
      <c r="AC283" s="310" t="e">
        <f t="shared" ca="1" si="141"/>
        <v>#N/A</v>
      </c>
      <c r="AD283" s="323" t="e">
        <f t="shared" ca="1" si="142"/>
        <v>#N/A</v>
      </c>
      <c r="AE283" s="324" t="e">
        <f t="shared" ca="1" si="121"/>
        <v>#N/A</v>
      </c>
      <c r="AG283" s="306">
        <f t="shared" ca="1" si="143"/>
        <v>5.4721982685443527</v>
      </c>
      <c r="AH283" s="304">
        <f t="shared" ca="1" si="144"/>
        <v>-4.1334317871829205</v>
      </c>
    </row>
    <row r="284" spans="1:34" x14ac:dyDescent="0.2">
      <c r="A284" s="347">
        <f t="shared" ca="1" si="122"/>
        <v>0.1</v>
      </c>
      <c r="B284" s="304">
        <f t="shared" ca="1" si="123"/>
        <v>22.200000000000024</v>
      </c>
      <c r="D284" s="306">
        <f t="shared" ca="1" si="124"/>
        <v>-0.84148971145148166</v>
      </c>
      <c r="E284" s="307">
        <f t="shared" ca="1" si="125"/>
        <v>-5.692402210389889</v>
      </c>
      <c r="F284" s="304">
        <f t="shared" ca="1" si="126"/>
        <v>5.7542634506364401</v>
      </c>
      <c r="G284" s="306">
        <f t="shared" ca="1" si="127"/>
        <v>13.720240162235793</v>
      </c>
      <c r="H284" s="307">
        <f t="shared" ca="1" si="128"/>
        <v>-68.117210694121297</v>
      </c>
      <c r="I284" s="304">
        <f t="shared" ca="1" si="129"/>
        <v>69.485245792590689</v>
      </c>
      <c r="J284" s="306">
        <f t="shared" ca="1" si="130"/>
        <v>490.37315434853514</v>
      </c>
      <c r="K284" s="307">
        <f t="shared" ca="1" si="131"/>
        <v>884.5807883389474</v>
      </c>
      <c r="L284" s="304">
        <f t="shared" ca="1" si="116"/>
        <v>1011.4094134444696</v>
      </c>
      <c r="M284" s="306">
        <f t="shared" ca="1" si="132"/>
        <v>-1.3720347460057569</v>
      </c>
      <c r="N284" s="304">
        <f t="shared" ca="1" si="133"/>
        <v>-78.611800291433752</v>
      </c>
      <c r="P284" s="310">
        <f t="shared" ca="1" si="134"/>
        <v>23</v>
      </c>
      <c r="Q284" s="304">
        <f t="shared" ca="1" si="135"/>
        <v>0</v>
      </c>
      <c r="R284" s="306">
        <f t="shared" ca="1" si="136"/>
        <v>0</v>
      </c>
      <c r="S284" s="307">
        <f t="shared" ca="1" si="137"/>
        <v>2.5949999999999998</v>
      </c>
      <c r="T284" s="304">
        <f t="shared" ca="1" si="117"/>
        <v>25.456949999999999</v>
      </c>
      <c r="U284" s="311">
        <f t="shared" ca="1" si="118"/>
        <v>0</v>
      </c>
      <c r="V284" s="306">
        <f t="shared" ca="1" si="119"/>
        <v>1.1212285643463573</v>
      </c>
      <c r="W284" s="304">
        <f t="shared" ca="1" si="120"/>
        <v>11.085421704324888</v>
      </c>
      <c r="Y284" s="314" t="str">
        <f t="shared" ca="1" si="138"/>
        <v/>
      </c>
      <c r="Z284" s="315" t="str">
        <f t="shared" ca="1" si="139"/>
        <v/>
      </c>
      <c r="AA284" s="316" t="str">
        <f t="shared" ca="1" si="140"/>
        <v/>
      </c>
      <c r="AC284" s="310" t="e">
        <f t="shared" ca="1" si="141"/>
        <v>#N/A</v>
      </c>
      <c r="AD284" s="323" t="e">
        <f t="shared" ca="1" si="142"/>
        <v>#N/A</v>
      </c>
      <c r="AE284" s="324" t="e">
        <f t="shared" ca="1" si="121"/>
        <v>#N/A</v>
      </c>
      <c r="AG284" s="306">
        <f t="shared" ca="1" si="143"/>
        <v>5.4086418336448023</v>
      </c>
      <c r="AH284" s="304">
        <f t="shared" ca="1" si="144"/>
        <v>-4.2027034741319511</v>
      </c>
    </row>
    <row r="285" spans="1:34" x14ac:dyDescent="0.2">
      <c r="A285" s="347">
        <f t="shared" ca="1" si="122"/>
        <v>0.1</v>
      </c>
      <c r="B285" s="304">
        <f t="shared" ca="1" si="123"/>
        <v>22.300000000000026</v>
      </c>
      <c r="D285" s="306">
        <f t="shared" ca="1" si="124"/>
        <v>-0.84349783466541306</v>
      </c>
      <c r="E285" s="307">
        <f t="shared" ca="1" si="125"/>
        <v>-5.622265744291747</v>
      </c>
      <c r="F285" s="304">
        <f t="shared" ca="1" si="126"/>
        <v>5.6851878330026766</v>
      </c>
      <c r="G285" s="306">
        <f t="shared" ca="1" si="127"/>
        <v>13.635890378769252</v>
      </c>
      <c r="H285" s="307">
        <f t="shared" ca="1" si="128"/>
        <v>-68.679437268550473</v>
      </c>
      <c r="I285" s="304">
        <f t="shared" ca="1" si="129"/>
        <v>70.020015780822064</v>
      </c>
      <c r="J285" s="306">
        <f t="shared" ca="1" si="130"/>
        <v>491.74096087558542</v>
      </c>
      <c r="K285" s="307">
        <f t="shared" ca="1" si="131"/>
        <v>877.74095594081382</v>
      </c>
      <c r="L285" s="304">
        <f t="shared" ca="1" si="116"/>
        <v>1006.1005706880092</v>
      </c>
      <c r="M285" s="306">
        <f t="shared" ca="1" si="132"/>
        <v>-1.3748011555377391</v>
      </c>
      <c r="N285" s="304">
        <f t="shared" ca="1" si="133"/>
        <v>-78.770303882021096</v>
      </c>
      <c r="P285" s="310">
        <f t="shared" ca="1" si="134"/>
        <v>23</v>
      </c>
      <c r="Q285" s="304">
        <f t="shared" ca="1" si="135"/>
        <v>0</v>
      </c>
      <c r="R285" s="306">
        <f t="shared" ca="1" si="136"/>
        <v>0</v>
      </c>
      <c r="S285" s="307">
        <f t="shared" ca="1" si="137"/>
        <v>2.5949999999999998</v>
      </c>
      <c r="T285" s="304">
        <f t="shared" ca="1" si="117"/>
        <v>25.456949999999999</v>
      </c>
      <c r="U285" s="311">
        <f t="shared" ca="1" si="118"/>
        <v>0</v>
      </c>
      <c r="V285" s="306">
        <f t="shared" ca="1" si="119"/>
        <v>1.1219972207915974</v>
      </c>
      <c r="W285" s="304">
        <f t="shared" ca="1" si="120"/>
        <v>11.264425815186838</v>
      </c>
      <c r="Y285" s="314" t="str">
        <f t="shared" ca="1" si="138"/>
        <v/>
      </c>
      <c r="Z285" s="315" t="str">
        <f t="shared" ca="1" si="139"/>
        <v/>
      </c>
      <c r="AA285" s="316" t="str">
        <f t="shared" ca="1" si="140"/>
        <v/>
      </c>
      <c r="AC285" s="310" t="e">
        <f t="shared" ca="1" si="141"/>
        <v>#N/A</v>
      </c>
      <c r="AD285" s="323" t="e">
        <f t="shared" ca="1" si="142"/>
        <v>#N/A</v>
      </c>
      <c r="AE285" s="324" t="e">
        <f t="shared" ca="1" si="121"/>
        <v>#N/A</v>
      </c>
      <c r="AG285" s="306">
        <f t="shared" ca="1" si="143"/>
        <v>5.3450205605220606</v>
      </c>
      <c r="AH285" s="304">
        <f t="shared" ca="1" si="144"/>
        <v>-4.2718388070616147</v>
      </c>
    </row>
    <row r="286" spans="1:34" x14ac:dyDescent="0.2">
      <c r="A286" s="347">
        <f t="shared" ca="1" si="122"/>
        <v>0.1</v>
      </c>
      <c r="B286" s="304">
        <f t="shared" ca="1" si="123"/>
        <v>22.400000000000027</v>
      </c>
      <c r="D286" s="306">
        <f t="shared" ca="1" si="124"/>
        <v>-0.84534306453496189</v>
      </c>
      <c r="E286" s="307">
        <f t="shared" ca="1" si="125"/>
        <v>-5.5522885958714134</v>
      </c>
      <c r="F286" s="304">
        <f t="shared" ca="1" si="126"/>
        <v>5.6162722110489902</v>
      </c>
      <c r="G286" s="306">
        <f t="shared" ca="1" si="127"/>
        <v>13.551356072315755</v>
      </c>
      <c r="H286" s="307">
        <f t="shared" ca="1" si="128"/>
        <v>-69.234666128137619</v>
      </c>
      <c r="I286" s="304">
        <f t="shared" ca="1" si="129"/>
        <v>70.548410650229215</v>
      </c>
      <c r="J286" s="306">
        <f t="shared" ca="1" si="130"/>
        <v>493.10032319813968</v>
      </c>
      <c r="K286" s="307">
        <f t="shared" ca="1" si="131"/>
        <v>870.84525077097942</v>
      </c>
      <c r="L286" s="304">
        <f t="shared" ca="1" si="116"/>
        <v>1000.7594014189823</v>
      </c>
      <c r="M286" s="306">
        <f t="shared" ca="1" si="132"/>
        <v>-1.3775091239921062</v>
      </c>
      <c r="N286" s="304">
        <f t="shared" ca="1" si="133"/>
        <v>-78.925459045510891</v>
      </c>
      <c r="P286" s="310">
        <f t="shared" ca="1" si="134"/>
        <v>23</v>
      </c>
      <c r="Q286" s="304">
        <f t="shared" ca="1" si="135"/>
        <v>0</v>
      </c>
      <c r="R286" s="306">
        <f t="shared" ca="1" si="136"/>
        <v>0</v>
      </c>
      <c r="S286" s="307">
        <f t="shared" ca="1" si="137"/>
        <v>2.5949999999999998</v>
      </c>
      <c r="T286" s="304">
        <f t="shared" ca="1" si="117"/>
        <v>25.456949999999999</v>
      </c>
      <c r="U286" s="311">
        <f t="shared" ca="1" si="118"/>
        <v>0</v>
      </c>
      <c r="V286" s="306">
        <f t="shared" ca="1" si="119"/>
        <v>1.1227726661880124</v>
      </c>
      <c r="W286" s="304">
        <f t="shared" ca="1" si="120"/>
        <v>11.442980794768999</v>
      </c>
      <c r="Y286" s="314" t="str">
        <f t="shared" ca="1" si="138"/>
        <v/>
      </c>
      <c r="Z286" s="315" t="str">
        <f t="shared" ca="1" si="139"/>
        <v/>
      </c>
      <c r="AA286" s="316" t="str">
        <f t="shared" ca="1" si="140"/>
        <v/>
      </c>
      <c r="AC286" s="310" t="e">
        <f t="shared" ca="1" si="141"/>
        <v>#N/A</v>
      </c>
      <c r="AD286" s="323" t="e">
        <f t="shared" ca="1" si="142"/>
        <v>#N/A</v>
      </c>
      <c r="AE286" s="324" t="e">
        <f t="shared" ca="1" si="121"/>
        <v>#N/A</v>
      </c>
      <c r="AG286" s="306">
        <f t="shared" ca="1" si="143"/>
        <v>5.2813620053178107</v>
      </c>
      <c r="AH286" s="304">
        <f t="shared" ca="1" si="144"/>
        <v>-4.3408191966037917</v>
      </c>
    </row>
    <row r="287" spans="1:34" x14ac:dyDescent="0.2">
      <c r="A287" s="347">
        <f t="shared" ca="1" si="122"/>
        <v>0.1</v>
      </c>
      <c r="B287" s="304">
        <f t="shared" ca="1" si="123"/>
        <v>22.500000000000028</v>
      </c>
      <c r="D287" s="306">
        <f t="shared" ca="1" si="124"/>
        <v>-0.84702714687771419</v>
      </c>
      <c r="E287" s="307">
        <f t="shared" ca="1" si="125"/>
        <v>-5.4824890555158987</v>
      </c>
      <c r="F287" s="304">
        <f t="shared" ca="1" si="126"/>
        <v>5.5475346985304572</v>
      </c>
      <c r="G287" s="306">
        <f t="shared" ca="1" si="127"/>
        <v>13.466653357627983</v>
      </c>
      <c r="H287" s="307">
        <f t="shared" ca="1" si="128"/>
        <v>-69.782915033689207</v>
      </c>
      <c r="I287" s="304">
        <f t="shared" ca="1" si="129"/>
        <v>71.070429738771097</v>
      </c>
      <c r="J287" s="306">
        <f t="shared" ca="1" si="130"/>
        <v>494.45122366963687</v>
      </c>
      <c r="K287" s="307">
        <f t="shared" ca="1" si="131"/>
        <v>863.89437171288807</v>
      </c>
      <c r="L287" s="304">
        <f t="shared" ca="1" si="116"/>
        <v>995.3871096541319</v>
      </c>
      <c r="M287" s="306">
        <f t="shared" ca="1" si="132"/>
        <v>-1.3801605291536589</v>
      </c>
      <c r="N287" s="304">
        <f t="shared" ca="1" si="133"/>
        <v>-79.077373371047074</v>
      </c>
      <c r="P287" s="310">
        <f t="shared" ca="1" si="134"/>
        <v>23</v>
      </c>
      <c r="Q287" s="304">
        <f t="shared" ca="1" si="135"/>
        <v>0</v>
      </c>
      <c r="R287" s="306">
        <f t="shared" ca="1" si="136"/>
        <v>0</v>
      </c>
      <c r="S287" s="307">
        <f t="shared" ca="1" si="137"/>
        <v>2.5949999999999998</v>
      </c>
      <c r="T287" s="304">
        <f t="shared" ca="1" si="117"/>
        <v>25.456949999999999</v>
      </c>
      <c r="U287" s="311">
        <f t="shared" ca="1" si="118"/>
        <v>0</v>
      </c>
      <c r="V287" s="306">
        <f t="shared" ca="1" si="119"/>
        <v>1.1235548348267059</v>
      </c>
      <c r="W287" s="304">
        <f t="shared" ca="1" si="120"/>
        <v>11.621040782784755</v>
      </c>
      <c r="Y287" s="314" t="str">
        <f t="shared" ca="1" si="138"/>
        <v/>
      </c>
      <c r="Z287" s="315" t="str">
        <f t="shared" ca="1" si="139"/>
        <v/>
      </c>
      <c r="AA287" s="316" t="str">
        <f t="shared" ca="1" si="140"/>
        <v/>
      </c>
      <c r="AC287" s="310" t="e">
        <f t="shared" ca="1" si="141"/>
        <v>#N/A</v>
      </c>
      <c r="AD287" s="323" t="e">
        <f t="shared" ca="1" si="142"/>
        <v>#N/A</v>
      </c>
      <c r="AE287" s="324" t="e">
        <f t="shared" ca="1" si="121"/>
        <v>#N/A</v>
      </c>
      <c r="AG287" s="306">
        <f t="shared" ca="1" si="143"/>
        <v>5.2176927792824532</v>
      </c>
      <c r="AH287" s="304">
        <f t="shared" ca="1" si="144"/>
        <v>-4.4096265105082857</v>
      </c>
    </row>
    <row r="288" spans="1:34" x14ac:dyDescent="0.2">
      <c r="A288" s="347">
        <f t="shared" ca="1" si="122"/>
        <v>0.1</v>
      </c>
      <c r="B288" s="304">
        <f t="shared" ca="1" si="123"/>
        <v>22.60000000000003</v>
      </c>
      <c r="D288" s="306">
        <f t="shared" ca="1" si="124"/>
        <v>-0.84855188550690763</v>
      </c>
      <c r="E288" s="307">
        <f t="shared" ca="1" si="125"/>
        <v>-5.412884951778743</v>
      </c>
      <c r="F288" s="304">
        <f t="shared" ca="1" si="126"/>
        <v>5.4789929552418748</v>
      </c>
      <c r="G288" s="306">
        <f t="shared" ca="1" si="127"/>
        <v>13.381798169077292</v>
      </c>
      <c r="H288" s="307">
        <f t="shared" ca="1" si="128"/>
        <v>-70.324203528867088</v>
      </c>
      <c r="I288" s="304">
        <f t="shared" ca="1" si="129"/>
        <v>71.586074932262093</v>
      </c>
      <c r="J288" s="306">
        <f t="shared" ca="1" si="130"/>
        <v>495.79364624597213</v>
      </c>
      <c r="K288" s="307">
        <f t="shared" ca="1" si="131"/>
        <v>856.8890157847602</v>
      </c>
      <c r="L288" s="304">
        <f t="shared" ca="1" si="116"/>
        <v>989.98491151656003</v>
      </c>
      <c r="M288" s="306">
        <f t="shared" ca="1" si="132"/>
        <v>-1.3827571688040381</v>
      </c>
      <c r="N288" s="304">
        <f t="shared" ca="1" si="133"/>
        <v>-79.226149863930118</v>
      </c>
      <c r="P288" s="310">
        <f t="shared" ca="1" si="134"/>
        <v>23</v>
      </c>
      <c r="Q288" s="304">
        <f t="shared" ca="1" si="135"/>
        <v>0</v>
      </c>
      <c r="R288" s="306">
        <f t="shared" ca="1" si="136"/>
        <v>0</v>
      </c>
      <c r="S288" s="307">
        <f t="shared" ca="1" si="137"/>
        <v>2.5949999999999998</v>
      </c>
      <c r="T288" s="304">
        <f t="shared" ca="1" si="117"/>
        <v>25.456949999999999</v>
      </c>
      <c r="U288" s="311">
        <f t="shared" ca="1" si="118"/>
        <v>0</v>
      </c>
      <c r="V288" s="306">
        <f t="shared" ca="1" si="119"/>
        <v>1.1243436611239661</v>
      </c>
      <c r="W288" s="304">
        <f t="shared" ca="1" si="120"/>
        <v>11.798561117118112</v>
      </c>
      <c r="Y288" s="314" t="str">
        <f t="shared" ca="1" si="138"/>
        <v/>
      </c>
      <c r="Z288" s="315" t="str">
        <f t="shared" ca="1" si="139"/>
        <v/>
      </c>
      <c r="AA288" s="316" t="str">
        <f t="shared" ca="1" si="140"/>
        <v/>
      </c>
      <c r="AC288" s="310" t="e">
        <f t="shared" ca="1" si="141"/>
        <v>#N/A</v>
      </c>
      <c r="AD288" s="323" t="e">
        <f t="shared" ca="1" si="142"/>
        <v>#N/A</v>
      </c>
      <c r="AE288" s="324" t="e">
        <f t="shared" ca="1" si="121"/>
        <v>#N/A</v>
      </c>
      <c r="AG288" s="306">
        <f t="shared" ca="1" si="143"/>
        <v>5.1540385773015807</v>
      </c>
      <c r="AH288" s="304">
        <f t="shared" ca="1" si="144"/>
        <v>-4.4782430762176322</v>
      </c>
    </row>
    <row r="289" spans="1:34" x14ac:dyDescent="0.2">
      <c r="A289" s="347">
        <f t="shared" ca="1" si="122"/>
        <v>0.1</v>
      </c>
      <c r="B289" s="304">
        <f t="shared" ca="1" si="123"/>
        <v>22.700000000000031</v>
      </c>
      <c r="D289" s="306">
        <f t="shared" ca="1" si="124"/>
        <v>-0.84991913892746662</v>
      </c>
      <c r="E289" s="307">
        <f t="shared" ca="1" si="125"/>
        <v>-5.343493649072431</v>
      </c>
      <c r="F289" s="304">
        <f t="shared" ca="1" si="126"/>
        <v>5.4106641847736778</v>
      </c>
      <c r="G289" s="306">
        <f t="shared" ca="1" si="127"/>
        <v>13.296806255184546</v>
      </c>
      <c r="H289" s="307">
        <f t="shared" ca="1" si="128"/>
        <v>-70.858552893774331</v>
      </c>
      <c r="I289" s="304">
        <f t="shared" ca="1" si="129"/>
        <v>72.095350576772489</v>
      </c>
      <c r="J289" s="306">
        <f t="shared" ca="1" si="130"/>
        <v>497.12757646718524</v>
      </c>
      <c r="K289" s="307">
        <f t="shared" ca="1" si="131"/>
        <v>849.82987796362818</v>
      </c>
      <c r="L289" s="304">
        <f t="shared" ca="1" si="116"/>
        <v>984.55403547180299</v>
      </c>
      <c r="M289" s="306">
        <f t="shared" ca="1" si="132"/>
        <v>-1.3853007648566984</v>
      </c>
      <c r="N289" s="304">
        <f t="shared" ca="1" si="133"/>
        <v>-79.371887182533698</v>
      </c>
      <c r="P289" s="310">
        <f t="shared" ca="1" si="134"/>
        <v>23</v>
      </c>
      <c r="Q289" s="304">
        <f t="shared" ca="1" si="135"/>
        <v>0</v>
      </c>
      <c r="R289" s="306">
        <f t="shared" ca="1" si="136"/>
        <v>0</v>
      </c>
      <c r="S289" s="307">
        <f t="shared" ca="1" si="137"/>
        <v>2.5949999999999998</v>
      </c>
      <c r="T289" s="304">
        <f t="shared" ca="1" si="117"/>
        <v>25.456949999999999</v>
      </c>
      <c r="U289" s="311">
        <f t="shared" ca="1" si="118"/>
        <v>0</v>
      </c>
      <c r="V289" s="306">
        <f t="shared" ca="1" si="119"/>
        <v>1.1251390796376972</v>
      </c>
      <c r="W289" s="304">
        <f t="shared" ca="1" si="120"/>
        <v>11.975498337714878</v>
      </c>
      <c r="Y289" s="314" t="str">
        <f t="shared" ca="1" si="138"/>
        <v/>
      </c>
      <c r="Z289" s="315" t="str">
        <f t="shared" ca="1" si="139"/>
        <v/>
      </c>
      <c r="AA289" s="316" t="str">
        <f t="shared" ca="1" si="140"/>
        <v/>
      </c>
      <c r="AC289" s="310" t="e">
        <f t="shared" ca="1" si="141"/>
        <v>#N/A</v>
      </c>
      <c r="AD289" s="323" t="e">
        <f t="shared" ca="1" si="142"/>
        <v>#N/A</v>
      </c>
      <c r="AE289" s="324" t="e">
        <f t="shared" ca="1" si="121"/>
        <v>#N/A</v>
      </c>
      <c r="AG289" s="306">
        <f t="shared" ca="1" si="143"/>
        <v>5.0904242047106179</v>
      </c>
      <c r="AH289" s="304">
        <f t="shared" ca="1" si="144"/>
        <v>-4.5466516828971537</v>
      </c>
    </row>
    <row r="290" spans="1:34" x14ac:dyDescent="0.2">
      <c r="A290" s="347">
        <f t="shared" ca="1" si="122"/>
        <v>0.1</v>
      </c>
      <c r="B290" s="304">
        <f t="shared" ca="1" si="123"/>
        <v>22.800000000000033</v>
      </c>
      <c r="D290" s="306">
        <f t="shared" ca="1" si="124"/>
        <v>-0.85113081710404437</v>
      </c>
      <c r="E290" s="307">
        <f t="shared" ca="1" si="125"/>
        <v>-5.2743320459171974</v>
      </c>
      <c r="F290" s="304">
        <f t="shared" ca="1" si="126"/>
        <v>5.3425651328189989</v>
      </c>
      <c r="G290" s="306">
        <f t="shared" ca="1" si="127"/>
        <v>13.211693173474142</v>
      </c>
      <c r="H290" s="307">
        <f t="shared" ca="1" si="128"/>
        <v>-71.385986098366047</v>
      </c>
      <c r="I290" s="304">
        <f t="shared" ca="1" si="129"/>
        <v>72.59826339345959</v>
      </c>
      <c r="J290" s="306">
        <f t="shared" ca="1" si="130"/>
        <v>498.45300143861817</v>
      </c>
      <c r="K290" s="307">
        <f t="shared" ca="1" si="131"/>
        <v>842.71765101402116</v>
      </c>
      <c r="L290" s="304">
        <f t="shared" ca="1" si="116"/>
        <v>979.09572257964476</v>
      </c>
      <c r="M290" s="306">
        <f t="shared" ca="1" si="132"/>
        <v>-1.3877929672432883</v>
      </c>
      <c r="N290" s="304">
        <f t="shared" ca="1" si="133"/>
        <v>-79.514679860977722</v>
      </c>
      <c r="P290" s="310">
        <f t="shared" ca="1" si="134"/>
        <v>23</v>
      </c>
      <c r="Q290" s="304">
        <f t="shared" ca="1" si="135"/>
        <v>0</v>
      </c>
      <c r="R290" s="306">
        <f t="shared" ca="1" si="136"/>
        <v>0</v>
      </c>
      <c r="S290" s="307">
        <f t="shared" ca="1" si="137"/>
        <v>2.5949999999999998</v>
      </c>
      <c r="T290" s="304">
        <f t="shared" ca="1" si="117"/>
        <v>25.456949999999999</v>
      </c>
      <c r="U290" s="311">
        <f t="shared" ca="1" si="118"/>
        <v>0</v>
      </c>
      <c r="V290" s="306">
        <f t="shared" ca="1" si="119"/>
        <v>1.1259410250834587</v>
      </c>
      <c r="W290" s="304">
        <f t="shared" ca="1" si="120"/>
        <v>12.151810189135224</v>
      </c>
      <c r="Y290" s="314" t="str">
        <f t="shared" ca="1" si="138"/>
        <v/>
      </c>
      <c r="Z290" s="315" t="str">
        <f t="shared" ca="1" si="139"/>
        <v/>
      </c>
      <c r="AA290" s="316" t="str">
        <f t="shared" ca="1" si="140"/>
        <v/>
      </c>
      <c r="AC290" s="310" t="e">
        <f t="shared" ca="1" si="141"/>
        <v>#N/A</v>
      </c>
      <c r="AD290" s="323" t="e">
        <f t="shared" ca="1" si="142"/>
        <v>#N/A</v>
      </c>
      <c r="AE290" s="324" t="e">
        <f t="shared" ca="1" si="121"/>
        <v>#N/A</v>
      </c>
      <c r="AG290" s="306">
        <f t="shared" ca="1" si="143"/>
        <v>5.0268736025657805</v>
      </c>
      <c r="AH290" s="304">
        <f t="shared" ca="1" si="144"/>
        <v>-4.6148355829344432</v>
      </c>
    </row>
    <row r="291" spans="1:34" x14ac:dyDescent="0.2">
      <c r="A291" s="347">
        <f t="shared" ca="1" si="122"/>
        <v>0.1</v>
      </c>
      <c r="B291" s="304">
        <f t="shared" ca="1" si="123"/>
        <v>22.900000000000034</v>
      </c>
      <c r="D291" s="306">
        <f t="shared" ca="1" si="124"/>
        <v>-0.85218887830058165</v>
      </c>
      <c r="E291" s="307">
        <f t="shared" ca="1" si="125"/>
        <v>-5.2054165737296998</v>
      </c>
      <c r="F291" s="304">
        <f t="shared" ca="1" si="126"/>
        <v>5.2747120860156009</v>
      </c>
      <c r="G291" s="306">
        <f t="shared" ca="1" si="127"/>
        <v>13.126474285644084</v>
      </c>
      <c r="H291" s="307">
        <f t="shared" ca="1" si="128"/>
        <v>-71.90652775573902</v>
      </c>
      <c r="I291" s="304">
        <f t="shared" ca="1" si="129"/>
        <v>73.094822395697364</v>
      </c>
      <c r="J291" s="306">
        <f t="shared" ca="1" si="130"/>
        <v>499.76990981157411</v>
      </c>
      <c r="K291" s="307">
        <f t="shared" ca="1" si="131"/>
        <v>835.55302532131589</v>
      </c>
      <c r="L291" s="304">
        <f t="shared" ca="1" si="116"/>
        <v>973.61122676182833</v>
      </c>
      <c r="M291" s="306">
        <f t="shared" ca="1" si="132"/>
        <v>-1.3902353575683373</v>
      </c>
      <c r="N291" s="304">
        <f t="shared" ca="1" si="133"/>
        <v>-79.654618518526618</v>
      </c>
      <c r="P291" s="310">
        <f t="shared" ca="1" si="134"/>
        <v>23</v>
      </c>
      <c r="Q291" s="304">
        <f t="shared" ca="1" si="135"/>
        <v>0</v>
      </c>
      <c r="R291" s="306">
        <f t="shared" ca="1" si="136"/>
        <v>0</v>
      </c>
      <c r="S291" s="307">
        <f t="shared" ca="1" si="137"/>
        <v>2.5949999999999998</v>
      </c>
      <c r="T291" s="304">
        <f t="shared" ca="1" si="117"/>
        <v>25.456949999999999</v>
      </c>
      <c r="U291" s="311">
        <f t="shared" ca="1" si="118"/>
        <v>0</v>
      </c>
      <c r="V291" s="306">
        <f t="shared" ca="1" si="119"/>
        <v>1.126749432350109</v>
      </c>
      <c r="W291" s="304">
        <f t="shared" ca="1" si="120"/>
        <v>12.327455621806603</v>
      </c>
      <c r="Y291" s="314" t="str">
        <f t="shared" ca="1" si="138"/>
        <v/>
      </c>
      <c r="Z291" s="315" t="str">
        <f t="shared" ca="1" si="139"/>
        <v/>
      </c>
      <c r="AA291" s="316" t="str">
        <f t="shared" ca="1" si="140"/>
        <v/>
      </c>
      <c r="AC291" s="310" t="e">
        <f t="shared" ca="1" si="141"/>
        <v>#N/A</v>
      </c>
      <c r="AD291" s="323" t="e">
        <f t="shared" ca="1" si="142"/>
        <v>#N/A</v>
      </c>
      <c r="AE291" s="324" t="e">
        <f t="shared" ca="1" si="121"/>
        <v>#N/A</v>
      </c>
      <c r="AG291" s="306">
        <f t="shared" ca="1" si="143"/>
        <v>4.9634098715229182</v>
      </c>
      <c r="AH291" s="304">
        <f t="shared" ca="1" si="144"/>
        <v>-4.6827784929230152</v>
      </c>
    </row>
    <row r="292" spans="1:34" x14ac:dyDescent="0.2">
      <c r="A292" s="347">
        <f t="shared" ca="1" si="122"/>
        <v>0.1</v>
      </c>
      <c r="B292" s="304">
        <f t="shared" ca="1" si="123"/>
        <v>23.000000000000036</v>
      </c>
      <c r="D292" s="306">
        <f t="shared" ca="1" si="124"/>
        <v>-0.85309532599095816</v>
      </c>
      <c r="E292" s="307">
        <f t="shared" ca="1" si="125"/>
        <v>-5.1367631961349529</v>
      </c>
      <c r="F292" s="304">
        <f t="shared" ca="1" si="126"/>
        <v>5.2071208713063495</v>
      </c>
      <c r="G292" s="306">
        <f t="shared" ca="1" si="127"/>
        <v>13.041164753044988</v>
      </c>
      <c r="H292" s="307">
        <f t="shared" ca="1" si="128"/>
        <v>-72.420204075352515</v>
      </c>
      <c r="I292" s="304">
        <f t="shared" ca="1" si="129"/>
        <v>73.585038808386642</v>
      </c>
      <c r="J292" s="306">
        <f t="shared" ca="1" si="130"/>
        <v>501.07829176350856</v>
      </c>
      <c r="K292" s="307">
        <f t="shared" ca="1" si="131"/>
        <v>828.33668872976136</v>
      </c>
      <c r="L292" s="304">
        <f t="shared" ca="1" si="116"/>
        <v>968.10181508580047</v>
      </c>
      <c r="M292" s="306">
        <f t="shared" ca="1" si="132"/>
        <v>-1.3926294525478813</v>
      </c>
      <c r="N292" s="304">
        <f t="shared" ca="1" si="133"/>
        <v>-79.791790056607951</v>
      </c>
      <c r="P292" s="310">
        <f t="shared" ca="1" si="134"/>
        <v>23</v>
      </c>
      <c r="Q292" s="304">
        <f t="shared" ca="1" si="135"/>
        <v>0</v>
      </c>
      <c r="R292" s="306">
        <f t="shared" ca="1" si="136"/>
        <v>0</v>
      </c>
      <c r="S292" s="307">
        <f t="shared" ca="1" si="137"/>
        <v>2.5949999999999998</v>
      </c>
      <c r="T292" s="304">
        <f t="shared" ca="1" si="117"/>
        <v>25.456949999999999</v>
      </c>
      <c r="U292" s="311">
        <f t="shared" ca="1" si="118"/>
        <v>0</v>
      </c>
      <c r="V292" s="306">
        <f t="shared" ca="1" si="119"/>
        <v>1.1275642365150533</v>
      </c>
      <c r="W292" s="304">
        <f t="shared" ca="1" si="120"/>
        <v>12.502394792017071</v>
      </c>
      <c r="Y292" s="314" t="str">
        <f t="shared" ca="1" si="138"/>
        <v/>
      </c>
      <c r="Z292" s="315" t="str">
        <f t="shared" ca="1" si="139"/>
        <v/>
      </c>
      <c r="AA292" s="316" t="str">
        <f t="shared" ca="1" si="140"/>
        <v/>
      </c>
      <c r="AC292" s="310">
        <f t="shared" ca="1" si="141"/>
        <v>23.000000000000036</v>
      </c>
      <c r="AD292" s="323">
        <f t="shared" ca="1" si="142"/>
        <v>501.07829176350856</v>
      </c>
      <c r="AE292" s="324" t="e">
        <f t="shared" ca="1" si="121"/>
        <v>#N/A</v>
      </c>
      <c r="AG292" s="306">
        <f t="shared" ca="1" si="143"/>
        <v>4.9000552944608593</v>
      </c>
      <c r="AH292" s="304">
        <f t="shared" ca="1" si="144"/>
        <v>-4.7504645941451269</v>
      </c>
    </row>
    <row r="293" spans="1:34" x14ac:dyDescent="0.2">
      <c r="A293" s="347">
        <f t="shared" ca="1" si="122"/>
        <v>0.1</v>
      </c>
      <c r="B293" s="304">
        <f t="shared" ca="1" si="123"/>
        <v>23.100000000000037</v>
      </c>
      <c r="D293" s="306">
        <f t="shared" ca="1" si="124"/>
        <v>-0.85385220584041632</v>
      </c>
      <c r="E293" s="307">
        <f t="shared" ca="1" si="125"/>
        <v>-5.0683874087845817</v>
      </c>
      <c r="F293" s="304">
        <f t="shared" ca="1" si="126"/>
        <v>5.1398068558015515</v>
      </c>
      <c r="G293" s="306">
        <f t="shared" ca="1" si="127"/>
        <v>12.955779532460946</v>
      </c>
      <c r="H293" s="307">
        <f t="shared" ca="1" si="128"/>
        <v>-72.92704281623098</v>
      </c>
      <c r="I293" s="304">
        <f t="shared" ca="1" si="129"/>
        <v>74.068925989338609</v>
      </c>
      <c r="J293" s="306">
        <f t="shared" ca="1" si="130"/>
        <v>502.37813897778386</v>
      </c>
      <c r="K293" s="307">
        <f t="shared" ca="1" si="131"/>
        <v>821.06932638518219</v>
      </c>
      <c r="L293" s="304">
        <f t="shared" ca="1" si="116"/>
        <v>962.5687680645982</v>
      </c>
      <c r="M293" s="306">
        <f t="shared" ca="1" si="132"/>
        <v>-1.3949767072464905</v>
      </c>
      <c r="N293" s="304">
        <f t="shared" ca="1" si="133"/>
        <v>-79.926277844280506</v>
      </c>
      <c r="P293" s="310">
        <f t="shared" ca="1" si="134"/>
        <v>23</v>
      </c>
      <c r="Q293" s="304">
        <f t="shared" ca="1" si="135"/>
        <v>0</v>
      </c>
      <c r="R293" s="306">
        <f t="shared" ca="1" si="136"/>
        <v>0</v>
      </c>
      <c r="S293" s="307">
        <f t="shared" ca="1" si="137"/>
        <v>2.5949999999999998</v>
      </c>
      <c r="T293" s="304">
        <f t="shared" ca="1" si="117"/>
        <v>25.456949999999999</v>
      </c>
      <c r="U293" s="311">
        <f t="shared" ca="1" si="118"/>
        <v>0</v>
      </c>
      <c r="V293" s="306">
        <f t="shared" ca="1" si="119"/>
        <v>1.1283853728590922</v>
      </c>
      <c r="W293" s="304">
        <f t="shared" ca="1" si="120"/>
        <v>12.676589060689604</v>
      </c>
      <c r="Y293" s="314" t="str">
        <f t="shared" ca="1" si="138"/>
        <v/>
      </c>
      <c r="Z293" s="315" t="str">
        <f t="shared" ca="1" si="139"/>
        <v/>
      </c>
      <c r="AA293" s="316" t="str">
        <f t="shared" ca="1" si="140"/>
        <v/>
      </c>
      <c r="AC293" s="310" t="e">
        <f t="shared" ca="1" si="141"/>
        <v>#N/A</v>
      </c>
      <c r="AD293" s="323" t="e">
        <f t="shared" ca="1" si="142"/>
        <v>#N/A</v>
      </c>
      <c r="AE293" s="324" t="e">
        <f t="shared" ca="1" si="121"/>
        <v>#N/A</v>
      </c>
      <c r="AG293" s="306">
        <f t="shared" ca="1" si="143"/>
        <v>4.836831357972267</v>
      </c>
      <c r="AH293" s="304">
        <f t="shared" ca="1" si="144"/>
        <v>-4.8178785325691997</v>
      </c>
    </row>
    <row r="294" spans="1:34" x14ac:dyDescent="0.2">
      <c r="A294" s="347">
        <f t="shared" ca="1" si="122"/>
        <v>0.1</v>
      </c>
      <c r="B294" s="304">
        <f t="shared" ca="1" si="123"/>
        <v>23.200000000000038</v>
      </c>
      <c r="D294" s="306">
        <f t="shared" ca="1" si="124"/>
        <v>-0.85446160275748795</v>
      </c>
      <c r="E294" s="307">
        <f t="shared" ca="1" si="125"/>
        <v>-5.000304239664362</v>
      </c>
      <c r="F294" s="304">
        <f t="shared" ca="1" si="126"/>
        <v>5.0727849471264097</v>
      </c>
      <c r="G294" s="306">
        <f t="shared" ca="1" si="127"/>
        <v>12.870333372185197</v>
      </c>
      <c r="H294" s="307">
        <f t="shared" ca="1" si="128"/>
        <v>-73.427073240197416</v>
      </c>
      <c r="I294" s="304">
        <f t="shared" ca="1" si="129"/>
        <v>74.546499352635593</v>
      </c>
      <c r="J294" s="306">
        <f t="shared" ca="1" si="130"/>
        <v>503.66944462301615</v>
      </c>
      <c r="K294" s="307">
        <f t="shared" ca="1" si="131"/>
        <v>813.75162058236083</v>
      </c>
      <c r="L294" s="304">
        <f t="shared" ca="1" si="116"/>
        <v>957.01337997296366</v>
      </c>
      <c r="M294" s="306">
        <f t="shared" ca="1" si="132"/>
        <v>-1.3972785181260901</v>
      </c>
      <c r="N294" s="304">
        <f t="shared" ca="1" si="133"/>
        <v>-80.058161892918861</v>
      </c>
      <c r="P294" s="310">
        <f t="shared" ca="1" si="134"/>
        <v>23</v>
      </c>
      <c r="Q294" s="304">
        <f t="shared" ca="1" si="135"/>
        <v>0</v>
      </c>
      <c r="R294" s="306">
        <f t="shared" ca="1" si="136"/>
        <v>0</v>
      </c>
      <c r="S294" s="307">
        <f t="shared" ca="1" si="137"/>
        <v>2.5949999999999998</v>
      </c>
      <c r="T294" s="304">
        <f t="shared" ca="1" si="117"/>
        <v>25.456949999999999</v>
      </c>
      <c r="U294" s="311">
        <f t="shared" ca="1" si="118"/>
        <v>0</v>
      </c>
      <c r="V294" s="306">
        <f t="shared" ca="1" si="119"/>
        <v>1.1292127768808746</v>
      </c>
      <c r="W294" s="304">
        <f t="shared" ca="1" si="120"/>
        <v>12.850000990978758</v>
      </c>
      <c r="Y294" s="314" t="str">
        <f t="shared" ca="1" si="138"/>
        <v/>
      </c>
      <c r="Z294" s="315" t="str">
        <f t="shared" ca="1" si="139"/>
        <v/>
      </c>
      <c r="AA294" s="316" t="str">
        <f t="shared" ca="1" si="140"/>
        <v/>
      </c>
      <c r="AC294" s="310" t="e">
        <f t="shared" ca="1" si="141"/>
        <v>#N/A</v>
      </c>
      <c r="AD294" s="323" t="e">
        <f t="shared" ca="1" si="142"/>
        <v>#N/A</v>
      </c>
      <c r="AE294" s="324" t="e">
        <f t="shared" ca="1" si="121"/>
        <v>#N/A</v>
      </c>
      <c r="AG294" s="306">
        <f t="shared" ca="1" si="143"/>
        <v>4.7737587728327515</v>
      </c>
      <c r="AH294" s="304">
        <f t="shared" ca="1" si="144"/>
        <v>-4.8850054183774976</v>
      </c>
    </row>
    <row r="295" spans="1:34" x14ac:dyDescent="0.2">
      <c r="A295" s="347">
        <f t="shared" ca="1" si="122"/>
        <v>0.1</v>
      </c>
      <c r="B295" s="304">
        <f t="shared" ca="1" si="123"/>
        <v>23.30000000000004</v>
      </c>
      <c r="D295" s="306">
        <f t="shared" ca="1" si="124"/>
        <v>-0.85492563801621646</v>
      </c>
      <c r="E295" s="307">
        <f t="shared" ca="1" si="125"/>
        <v>-4.9325282498738421</v>
      </c>
      <c r="F295" s="304">
        <f t="shared" ca="1" si="126"/>
        <v>5.0060695942366742</v>
      </c>
      <c r="G295" s="306">
        <f t="shared" ca="1" si="127"/>
        <v>12.784840808383576</v>
      </c>
      <c r="H295" s="307">
        <f t="shared" ca="1" si="128"/>
        <v>-73.920326065184796</v>
      </c>
      <c r="I295" s="304">
        <f t="shared" ca="1" si="129"/>
        <v>75.017776293882164</v>
      </c>
      <c r="J295" s="306">
        <f t="shared" ca="1" si="130"/>
        <v>504.95220333204458</v>
      </c>
      <c r="K295" s="307">
        <f t="shared" ca="1" si="131"/>
        <v>806.38425061709177</v>
      </c>
      <c r="L295" s="304">
        <f t="shared" ca="1" si="116"/>
        <v>951.43695917973207</v>
      </c>
      <c r="M295" s="306">
        <f t="shared" ca="1" si="132"/>
        <v>-1.3995362259189839</v>
      </c>
      <c r="N295" s="304">
        <f t="shared" ca="1" si="133"/>
        <v>-80.187519020825462</v>
      </c>
      <c r="P295" s="310">
        <f t="shared" ca="1" si="134"/>
        <v>23</v>
      </c>
      <c r="Q295" s="304">
        <f t="shared" ca="1" si="135"/>
        <v>0</v>
      </c>
      <c r="R295" s="306">
        <f t="shared" ca="1" si="136"/>
        <v>0</v>
      </c>
      <c r="S295" s="307">
        <f t="shared" ca="1" si="137"/>
        <v>2.5949999999999998</v>
      </c>
      <c r="T295" s="304">
        <f t="shared" ca="1" si="117"/>
        <v>25.456949999999999</v>
      </c>
      <c r="U295" s="311">
        <f t="shared" ca="1" si="118"/>
        <v>0</v>
      </c>
      <c r="V295" s="306">
        <f t="shared" ca="1" si="119"/>
        <v>1.1300463843109463</v>
      </c>
      <c r="W295" s="304">
        <f t="shared" ca="1" si="120"/>
        <v>13.022594344731433</v>
      </c>
      <c r="Y295" s="314" t="str">
        <f t="shared" ca="1" si="138"/>
        <v/>
      </c>
      <c r="Z295" s="315" t="str">
        <f t="shared" ca="1" si="139"/>
        <v/>
      </c>
      <c r="AA295" s="316" t="str">
        <f t="shared" ca="1" si="140"/>
        <v/>
      </c>
      <c r="AC295" s="310" t="e">
        <f t="shared" ca="1" si="141"/>
        <v>#N/A</v>
      </c>
      <c r="AD295" s="323" t="e">
        <f t="shared" ca="1" si="142"/>
        <v>#N/A</v>
      </c>
      <c r="AE295" s="324" t="e">
        <f t="shared" ca="1" si="121"/>
        <v>#N/A</v>
      </c>
      <c r="AG295" s="306">
        <f t="shared" ca="1" si="143"/>
        <v>4.710857493547973</v>
      </c>
      <c r="AH295" s="304">
        <f t="shared" ca="1" si="144"/>
        <v>-4.9518308250399841</v>
      </c>
    </row>
    <row r="296" spans="1:34" x14ac:dyDescent="0.2">
      <c r="A296" s="347">
        <f t="shared" ca="1" si="122"/>
        <v>0.1</v>
      </c>
      <c r="B296" s="304">
        <f t="shared" ca="1" si="123"/>
        <v>23.400000000000041</v>
      </c>
      <c r="D296" s="306">
        <f t="shared" ca="1" si="124"/>
        <v>-0.85524646644847402</v>
      </c>
      <c r="E296" s="307">
        <f t="shared" ca="1" si="125"/>
        <v>-4.8650735348607457</v>
      </c>
      <c r="F296" s="304">
        <f t="shared" ca="1" si="126"/>
        <v>4.9396747886854895</v>
      </c>
      <c r="G296" s="306">
        <f t="shared" ca="1" si="127"/>
        <v>12.699316161738729</v>
      </c>
      <c r="H296" s="307">
        <f t="shared" ca="1" si="128"/>
        <v>-74.406833418670871</v>
      </c>
      <c r="I296" s="304">
        <f t="shared" ca="1" si="129"/>
        <v>75.482776117268202</v>
      </c>
      <c r="J296" s="306">
        <f t="shared" ca="1" si="130"/>
        <v>506.22641118055071</v>
      </c>
      <c r="K296" s="307">
        <f t="shared" ca="1" si="131"/>
        <v>798.96789264289896</v>
      </c>
      <c r="L296" s="304">
        <f t="shared" ca="1" si="116"/>
        <v>945.84082849651554</v>
      </c>
      <c r="M296" s="306">
        <f t="shared" ca="1" si="132"/>
        <v>-1.4017511183365796</v>
      </c>
      <c r="N296" s="304">
        <f t="shared" ca="1" si="133"/>
        <v>-80.31442300842923</v>
      </c>
      <c r="P296" s="310">
        <f t="shared" ca="1" si="134"/>
        <v>23</v>
      </c>
      <c r="Q296" s="304">
        <f t="shared" ca="1" si="135"/>
        <v>0</v>
      </c>
      <c r="R296" s="306">
        <f t="shared" ca="1" si="136"/>
        <v>0</v>
      </c>
      <c r="S296" s="307">
        <f t="shared" ca="1" si="137"/>
        <v>2.5949999999999998</v>
      </c>
      <c r="T296" s="304">
        <f t="shared" ca="1" si="117"/>
        <v>25.456949999999999</v>
      </c>
      <c r="U296" s="311">
        <f t="shared" ca="1" si="118"/>
        <v>0</v>
      </c>
      <c r="V296" s="306">
        <f t="shared" ca="1" si="119"/>
        <v>1.130886131125405</v>
      </c>
      <c r="W296" s="304">
        <f t="shared" ca="1" si="120"/>
        <v>13.194334077853989</v>
      </c>
      <c r="Y296" s="314" t="str">
        <f t="shared" ca="1" si="138"/>
        <v/>
      </c>
      <c r="Z296" s="315" t="str">
        <f t="shared" ca="1" si="139"/>
        <v/>
      </c>
      <c r="AA296" s="316" t="str">
        <f t="shared" ca="1" si="140"/>
        <v/>
      </c>
      <c r="AC296" s="310" t="e">
        <f t="shared" ca="1" si="141"/>
        <v>#N/A</v>
      </c>
      <c r="AD296" s="323" t="e">
        <f t="shared" ca="1" si="142"/>
        <v>#N/A</v>
      </c>
      <c r="AE296" s="324" t="e">
        <f t="shared" ca="1" si="121"/>
        <v>#N/A</v>
      </c>
      <c r="AG296" s="306">
        <f t="shared" ca="1" si="143"/>
        <v>4.648146737068342</v>
      </c>
      <c r="AH296" s="304">
        <f t="shared" ca="1" si="144"/>
        <v>-5.0183407879504562</v>
      </c>
    </row>
    <row r="297" spans="1:34" x14ac:dyDescent="0.2">
      <c r="A297" s="347">
        <f t="shared" ca="1" si="122"/>
        <v>0.1</v>
      </c>
      <c r="B297" s="304">
        <f t="shared" ca="1" si="123"/>
        <v>23.500000000000043</v>
      </c>
      <c r="D297" s="306">
        <f t="shared" ca="1" si="124"/>
        <v>-0.8554262737062085</v>
      </c>
      <c r="E297" s="307">
        <f t="shared" ca="1" si="125"/>
        <v>-4.7979537260927927</v>
      </c>
      <c r="F297" s="304">
        <f t="shared" ca="1" si="126"/>
        <v>4.8736140663243539</v>
      </c>
      <c r="G297" s="306">
        <f t="shared" ca="1" si="127"/>
        <v>12.613773534368107</v>
      </c>
      <c r="H297" s="307">
        <f t="shared" ca="1" si="128"/>
        <v>-74.886628791280145</v>
      </c>
      <c r="I297" s="304">
        <f t="shared" ca="1" si="129"/>
        <v>75.941519964373342</v>
      </c>
      <c r="J297" s="306">
        <f t="shared" ca="1" si="130"/>
        <v>507.49206566535605</v>
      </c>
      <c r="K297" s="307">
        <f t="shared" ca="1" si="131"/>
        <v>791.50321953240143</v>
      </c>
      <c r="L297" s="304">
        <f t="shared" ca="1" si="116"/>
        <v>940.22632554265726</v>
      </c>
      <c r="M297" s="306">
        <f t="shared" ca="1" si="132"/>
        <v>-1.4039244326244791</v>
      </c>
      <c r="N297" s="304">
        <f t="shared" ca="1" si="133"/>
        <v>-80.438944744681351</v>
      </c>
      <c r="P297" s="310">
        <f t="shared" ca="1" si="134"/>
        <v>23</v>
      </c>
      <c r="Q297" s="304">
        <f t="shared" ca="1" si="135"/>
        <v>0</v>
      </c>
      <c r="R297" s="306">
        <f t="shared" ca="1" si="136"/>
        <v>0</v>
      </c>
      <c r="S297" s="307">
        <f t="shared" ca="1" si="137"/>
        <v>2.5949999999999998</v>
      </c>
      <c r="T297" s="304">
        <f t="shared" ca="1" si="117"/>
        <v>25.456949999999999</v>
      </c>
      <c r="U297" s="311">
        <f t="shared" ca="1" si="118"/>
        <v>0</v>
      </c>
      <c r="V297" s="306">
        <f t="shared" ca="1" si="119"/>
        <v>1.1317319535591523</v>
      </c>
      <c r="W297" s="304">
        <f t="shared" ca="1" si="120"/>
        <v>13.365186334628145</v>
      </c>
      <c r="Y297" s="314" t="str">
        <f t="shared" ca="1" si="138"/>
        <v/>
      </c>
      <c r="Z297" s="315" t="str">
        <f t="shared" ca="1" si="139"/>
        <v/>
      </c>
      <c r="AA297" s="316" t="str">
        <f t="shared" ca="1" si="140"/>
        <v/>
      </c>
      <c r="AC297" s="310" t="e">
        <f t="shared" ca="1" si="141"/>
        <v>#N/A</v>
      </c>
      <c r="AD297" s="323" t="e">
        <f t="shared" ca="1" si="142"/>
        <v>#N/A</v>
      </c>
      <c r="AE297" s="324" t="e">
        <f t="shared" ca="1" si="121"/>
        <v>#N/A</v>
      </c>
      <c r="AG297" s="306">
        <f t="shared" ca="1" si="143"/>
        <v>4.5856450007518808</v>
      </c>
      <c r="AH297" s="304">
        <f t="shared" ca="1" si="144"/>
        <v>-5.0845218026412295</v>
      </c>
    </row>
    <row r="298" spans="1:34" x14ac:dyDescent="0.2">
      <c r="A298" s="347">
        <f t="shared" ca="1" si="122"/>
        <v>0.1</v>
      </c>
      <c r="B298" s="304">
        <f t="shared" ca="1" si="123"/>
        <v>23.600000000000044</v>
      </c>
      <c r="D298" s="306">
        <f t="shared" ca="1" si="124"/>
        <v>-0.85546727359347019</v>
      </c>
      <c r="E298" s="307">
        <f t="shared" ca="1" si="125"/>
        <v>-4.7311819931495229</v>
      </c>
      <c r="F298" s="304">
        <f t="shared" ca="1" si="126"/>
        <v>4.8079005094211062</v>
      </c>
      <c r="G298" s="306">
        <f t="shared" ca="1" si="127"/>
        <v>12.52822680700876</v>
      </c>
      <c r="H298" s="307">
        <f t="shared" ca="1" si="128"/>
        <v>-75.359746990595099</v>
      </c>
      <c r="I298" s="304">
        <f t="shared" ca="1" si="129"/>
        <v>76.394030744648887</v>
      </c>
      <c r="J298" s="306">
        <f t="shared" ca="1" si="130"/>
        <v>508.74916568242492</v>
      </c>
      <c r="K298" s="307">
        <f t="shared" ca="1" si="131"/>
        <v>783.99090074330763</v>
      </c>
      <c r="L298" s="304">
        <f t="shared" ca="1" si="116"/>
        <v>934.59480312639562</v>
      </c>
      <c r="M298" s="306">
        <f t="shared" ca="1" si="132"/>
        <v>-1.4060573579738329</v>
      </c>
      <c r="N298" s="304">
        <f t="shared" ca="1" si="133"/>
        <v>-80.56115236521579</v>
      </c>
      <c r="P298" s="310">
        <f t="shared" ca="1" si="134"/>
        <v>23</v>
      </c>
      <c r="Q298" s="304">
        <f t="shared" ca="1" si="135"/>
        <v>0</v>
      </c>
      <c r="R298" s="306">
        <f t="shared" ca="1" si="136"/>
        <v>0</v>
      </c>
      <c r="S298" s="307">
        <f t="shared" ca="1" si="137"/>
        <v>2.5949999999999998</v>
      </c>
      <c r="T298" s="304">
        <f t="shared" ca="1" si="117"/>
        <v>25.456949999999999</v>
      </c>
      <c r="U298" s="311">
        <f t="shared" ca="1" si="118"/>
        <v>0</v>
      </c>
      <c r="V298" s="306">
        <f t="shared" ca="1" si="119"/>
        <v>1.1325837881187482</v>
      </c>
      <c r="W298" s="304">
        <f t="shared" ca="1" si="120"/>
        <v>13.535118441018358</v>
      </c>
      <c r="Y298" s="314" t="str">
        <f t="shared" ca="1" si="138"/>
        <v/>
      </c>
      <c r="Z298" s="315" t="str">
        <f t="shared" ca="1" si="139"/>
        <v/>
      </c>
      <c r="AA298" s="316" t="str">
        <f t="shared" ca="1" si="140"/>
        <v/>
      </c>
      <c r="AC298" s="310" t="e">
        <f t="shared" ca="1" si="141"/>
        <v>#N/A</v>
      </c>
      <c r="AD298" s="323" t="e">
        <f t="shared" ca="1" si="142"/>
        <v>#N/A</v>
      </c>
      <c r="AE298" s="324" t="e">
        <f t="shared" ca="1" si="121"/>
        <v>#N/A</v>
      </c>
      <c r="AG298" s="306">
        <f t="shared" ca="1" si="143"/>
        <v>4.5233700796475826</v>
      </c>
      <c r="AH298" s="304">
        <f t="shared" ca="1" si="144"/>
        <v>-5.1503608225927344</v>
      </c>
    </row>
    <row r="299" spans="1:34" x14ac:dyDescent="0.2">
      <c r="A299" s="347">
        <f t="shared" ca="1" si="122"/>
        <v>0.1</v>
      </c>
      <c r="B299" s="304">
        <f t="shared" ca="1" si="123"/>
        <v>23.700000000000045</v>
      </c>
      <c r="D299" s="306">
        <f t="shared" ca="1" si="124"/>
        <v>-0.85537170546803865</v>
      </c>
      <c r="E299" s="307">
        <f t="shared" ca="1" si="125"/>
        <v>-4.6647710462167318</v>
      </c>
      <c r="F299" s="304">
        <f t="shared" ca="1" si="126"/>
        <v>4.7425467491778344</v>
      </c>
      <c r="G299" s="306">
        <f t="shared" ca="1" si="127"/>
        <v>12.442689636461957</v>
      </c>
      <c r="H299" s="307">
        <f t="shared" ca="1" si="128"/>
        <v>-75.826224095216773</v>
      </c>
      <c r="I299" s="304">
        <f t="shared" ca="1" si="129"/>
        <v>76.840333067519623</v>
      </c>
      <c r="J299" s="306">
        <f t="shared" ca="1" si="130"/>
        <v>509.99771150459844</v>
      </c>
      <c r="K299" s="307">
        <f t="shared" ca="1" si="131"/>
        <v>776.43160218901698</v>
      </c>
      <c r="L299" s="304">
        <f t="shared" ca="1" si="116"/>
        <v>928.94762964212975</v>
      </c>
      <c r="M299" s="306">
        <f t="shared" ca="1" si="132"/>
        <v>-1.4081510377981485</v>
      </c>
      <c r="N299" s="304">
        <f t="shared" ca="1" si="133"/>
        <v>-80.681111382800765</v>
      </c>
      <c r="P299" s="310">
        <f t="shared" ca="1" si="134"/>
        <v>23</v>
      </c>
      <c r="Q299" s="304">
        <f t="shared" ca="1" si="135"/>
        <v>0</v>
      </c>
      <c r="R299" s="306">
        <f t="shared" ca="1" si="136"/>
        <v>0</v>
      </c>
      <c r="S299" s="307">
        <f t="shared" ca="1" si="137"/>
        <v>2.5949999999999998</v>
      </c>
      <c r="T299" s="304">
        <f t="shared" ca="1" si="117"/>
        <v>25.456949999999999</v>
      </c>
      <c r="U299" s="311">
        <f t="shared" ca="1" si="118"/>
        <v>0</v>
      </c>
      <c r="V299" s="306">
        <f t="shared" ca="1" si="119"/>
        <v>1.1334415715948709</v>
      </c>
      <c r="W299" s="304">
        <f t="shared" ca="1" si="120"/>
        <v>13.704098897013523</v>
      </c>
      <c r="Y299" s="314" t="str">
        <f t="shared" ca="1" si="138"/>
        <v/>
      </c>
      <c r="Z299" s="315" t="str">
        <f t="shared" ca="1" si="139"/>
        <v/>
      </c>
      <c r="AA299" s="316" t="str">
        <f t="shared" ca="1" si="140"/>
        <v/>
      </c>
      <c r="AC299" s="310" t="e">
        <f t="shared" ca="1" si="141"/>
        <v>#N/A</v>
      </c>
      <c r="AD299" s="323" t="e">
        <f t="shared" ca="1" si="142"/>
        <v>#N/A</v>
      </c>
      <c r="AE299" s="324" t="e">
        <f t="shared" ca="1" si="121"/>
        <v>#N/A</v>
      </c>
      <c r="AG299" s="306">
        <f t="shared" ca="1" si="143"/>
        <v>4.4613390831641411</v>
      </c>
      <c r="AH299" s="304">
        <f t="shared" ca="1" si="144"/>
        <v>-5.2158452566544735</v>
      </c>
    </row>
    <row r="300" spans="1:34" x14ac:dyDescent="0.2">
      <c r="A300" s="347">
        <f t="shared" ca="1" si="122"/>
        <v>0.1</v>
      </c>
      <c r="B300" s="304">
        <f t="shared" ca="1" si="123"/>
        <v>23.800000000000047</v>
      </c>
      <c r="D300" s="306">
        <f t="shared" ca="1" si="124"/>
        <v>-0.85514183171247371</v>
      </c>
      <c r="E300" s="307">
        <f t="shared" ca="1" si="125"/>
        <v>-4.5987331389661001</v>
      </c>
      <c r="F300" s="304">
        <f t="shared" ca="1" si="126"/>
        <v>4.6775649686316028</v>
      </c>
      <c r="G300" s="306">
        <f t="shared" ca="1" si="127"/>
        <v>12.35717545329071</v>
      </c>
      <c r="H300" s="307">
        <f t="shared" ca="1" si="128"/>
        <v>-76.286097409113381</v>
      </c>
      <c r="I300" s="304">
        <f t="shared" ca="1" si="129"/>
        <v>77.280453176053157</v>
      </c>
      <c r="J300" s="306">
        <f t="shared" ca="1" si="130"/>
        <v>511.23770475908606</v>
      </c>
      <c r="K300" s="307">
        <f t="shared" ca="1" si="131"/>
        <v>768.82598611380047</v>
      </c>
      <c r="L300" s="304">
        <f t="shared" ca="1" si="116"/>
        <v>923.28618948362714</v>
      </c>
      <c r="M300" s="306">
        <f t="shared" ca="1" si="132"/>
        <v>-1.4102065718840822</v>
      </c>
      <c r="N300" s="304">
        <f t="shared" ca="1" si="133"/>
        <v>-80.798884810570044</v>
      </c>
      <c r="P300" s="310">
        <f t="shared" ca="1" si="134"/>
        <v>23</v>
      </c>
      <c r="Q300" s="304">
        <f t="shared" ca="1" si="135"/>
        <v>0</v>
      </c>
      <c r="R300" s="306">
        <f t="shared" ca="1" si="136"/>
        <v>0</v>
      </c>
      <c r="S300" s="307">
        <f t="shared" ca="1" si="137"/>
        <v>2.5949999999999998</v>
      </c>
      <c r="T300" s="304">
        <f t="shared" ca="1" si="117"/>
        <v>25.456949999999999</v>
      </c>
      <c r="U300" s="311">
        <f t="shared" ca="1" si="118"/>
        <v>0</v>
      </c>
      <c r="V300" s="306">
        <f t="shared" ca="1" si="119"/>
        <v>1.134305241074377</v>
      </c>
      <c r="W300" s="304">
        <f t="shared" ca="1" si="120"/>
        <v>13.872097368045569</v>
      </c>
      <c r="Y300" s="314" t="str">
        <f t="shared" ca="1" si="138"/>
        <v/>
      </c>
      <c r="Z300" s="315" t="str">
        <f t="shared" ca="1" si="139"/>
        <v/>
      </c>
      <c r="AA300" s="316" t="str">
        <f t="shared" ca="1" si="140"/>
        <v/>
      </c>
      <c r="AC300" s="310" t="e">
        <f t="shared" ca="1" si="141"/>
        <v>#N/A</v>
      </c>
      <c r="AD300" s="323" t="e">
        <f t="shared" ca="1" si="142"/>
        <v>#N/A</v>
      </c>
      <c r="AE300" s="324" t="e">
        <f t="shared" ca="1" si="121"/>
        <v>#N/A</v>
      </c>
      <c r="AG300" s="306">
        <f t="shared" ca="1" si="143"/>
        <v>4.3995684511821675</v>
      </c>
      <c r="AH300" s="304">
        <f t="shared" ca="1" si="144"/>
        <v>-5.2809629660938437</v>
      </c>
    </row>
    <row r="301" spans="1:34" x14ac:dyDescent="0.2">
      <c r="A301" s="347">
        <f t="shared" ca="1" si="122"/>
        <v>0.1</v>
      </c>
      <c r="B301" s="304">
        <f t="shared" ca="1" si="123"/>
        <v>23.900000000000048</v>
      </c>
      <c r="D301" s="306">
        <f t="shared" ca="1" si="124"/>
        <v>-0.85477993527441221</v>
      </c>
      <c r="E301" s="307">
        <f t="shared" ca="1" si="125"/>
        <v>-4.5330800718027628</v>
      </c>
      <c r="F301" s="304">
        <f t="shared" ca="1" si="126"/>
        <v>4.6129669059210761</v>
      </c>
      <c r="G301" s="306">
        <f t="shared" ca="1" si="127"/>
        <v>12.271697459763269</v>
      </c>
      <c r="H301" s="307">
        <f t="shared" ca="1" si="128"/>
        <v>-76.739405416293664</v>
      </c>
      <c r="I301" s="304">
        <f t="shared" ca="1" si="129"/>
        <v>77.714418882149801</v>
      </c>
      <c r="J301" s="306">
        <f t="shared" ca="1" si="130"/>
        <v>512.4691484047388</v>
      </c>
      <c r="K301" s="307">
        <f t="shared" ca="1" si="131"/>
        <v>761.17471097253008</v>
      </c>
      <c r="L301" s="304">
        <f t="shared" ca="1" si="116"/>
        <v>917.6118834729599</v>
      </c>
      <c r="M301" s="306">
        <f t="shared" ca="1" si="132"/>
        <v>-1.4122250184241527</v>
      </c>
      <c r="N301" s="304">
        <f t="shared" ca="1" si="133"/>
        <v>-80.914533278488875</v>
      </c>
      <c r="P301" s="310">
        <f t="shared" ca="1" si="134"/>
        <v>23</v>
      </c>
      <c r="Q301" s="304">
        <f t="shared" ca="1" si="135"/>
        <v>0</v>
      </c>
      <c r="R301" s="306">
        <f t="shared" ca="1" si="136"/>
        <v>0</v>
      </c>
      <c r="S301" s="307">
        <f t="shared" ca="1" si="137"/>
        <v>2.5949999999999998</v>
      </c>
      <c r="T301" s="304">
        <f t="shared" ca="1" si="117"/>
        <v>25.456949999999999</v>
      </c>
      <c r="U301" s="311">
        <f t="shared" ca="1" si="118"/>
        <v>0</v>
      </c>
      <c r="V301" s="306">
        <f t="shared" ca="1" si="119"/>
        <v>1.1351747339519722</v>
      </c>
      <c r="W301" s="304">
        <f t="shared" ca="1" si="120"/>
        <v>14.039084675527885</v>
      </c>
      <c r="Y301" s="314" t="str">
        <f t="shared" ca="1" si="138"/>
        <v/>
      </c>
      <c r="Z301" s="315" t="str">
        <f t="shared" ca="1" si="139"/>
        <v/>
      </c>
      <c r="AA301" s="316" t="str">
        <f t="shared" ca="1" si="140"/>
        <v/>
      </c>
      <c r="AC301" s="310" t="e">
        <f t="shared" ca="1" si="141"/>
        <v>#N/A</v>
      </c>
      <c r="AD301" s="323" t="e">
        <f t="shared" ca="1" si="142"/>
        <v>#N/A</v>
      </c>
      <c r="AE301" s="324" t="e">
        <f t="shared" ca="1" si="121"/>
        <v>#N/A</v>
      </c>
      <c r="AG301" s="306">
        <f t="shared" ca="1" si="143"/>
        <v>4.3380739696619814</v>
      </c>
      <c r="AH301" s="304">
        <f t="shared" ca="1" si="144"/>
        <v>-5.3457022612892375</v>
      </c>
    </row>
    <row r="302" spans="1:34" x14ac:dyDescent="0.2">
      <c r="A302" s="347">
        <f t="shared" ca="1" si="122"/>
        <v>0.1</v>
      </c>
      <c r="B302" s="304">
        <f t="shared" ca="1" si="123"/>
        <v>24.00000000000005</v>
      </c>
      <c r="D302" s="306">
        <f t="shared" ca="1" si="124"/>
        <v>-0.85428831727587706</v>
      </c>
      <c r="E302" s="307">
        <f t="shared" ca="1" si="125"/>
        <v>-4.467823195463497</v>
      </c>
      <c r="F302" s="304">
        <f t="shared" ca="1" si="126"/>
        <v>4.5487638579020242</v>
      </c>
      <c r="G302" s="306">
        <f t="shared" ca="1" si="127"/>
        <v>12.18626862803568</v>
      </c>
      <c r="H302" s="307">
        <f t="shared" ca="1" si="128"/>
        <v>-77.186187735840008</v>
      </c>
      <c r="I302" s="304">
        <f t="shared" ca="1" si="129"/>
        <v>78.142259503209814</v>
      </c>
      <c r="J302" s="306">
        <f t="shared" ca="1" si="130"/>
        <v>513.6920467091287</v>
      </c>
      <c r="K302" s="307">
        <f t="shared" ca="1" si="131"/>
        <v>753.47843131492334</v>
      </c>
      <c r="L302" s="304">
        <f t="shared" ca="1" si="116"/>
        <v>911.92612930489679</v>
      </c>
      <c r="M302" s="306">
        <f t="shared" ca="1" si="132"/>
        <v>-1.4142073959387533</v>
      </c>
      <c r="N302" s="304">
        <f t="shared" ca="1" si="133"/>
        <v>-81.028115143477123</v>
      </c>
      <c r="P302" s="310">
        <f t="shared" ca="1" si="134"/>
        <v>23</v>
      </c>
      <c r="Q302" s="304">
        <f t="shared" ca="1" si="135"/>
        <v>0</v>
      </c>
      <c r="R302" s="306">
        <f t="shared" ca="1" si="136"/>
        <v>0</v>
      </c>
      <c r="S302" s="307">
        <f t="shared" ca="1" si="137"/>
        <v>2.5949999999999998</v>
      </c>
      <c r="T302" s="304">
        <f t="shared" ca="1" si="117"/>
        <v>25.456949999999999</v>
      </c>
      <c r="U302" s="311">
        <f t="shared" ca="1" si="118"/>
        <v>0</v>
      </c>
      <c r="V302" s="306">
        <f t="shared" ca="1" si="119"/>
        <v>1.1360499879414865</v>
      </c>
      <c r="W302" s="304">
        <f t="shared" ca="1" si="120"/>
        <v>14.205032786555803</v>
      </c>
      <c r="Y302" s="314" t="str">
        <f t="shared" ca="1" si="138"/>
        <v/>
      </c>
      <c r="Z302" s="315" t="str">
        <f t="shared" ca="1" si="139"/>
        <v/>
      </c>
      <c r="AA302" s="316" t="str">
        <f t="shared" ca="1" si="140"/>
        <v/>
      </c>
      <c r="AC302" s="310">
        <f t="shared" ca="1" si="141"/>
        <v>24.00000000000005</v>
      </c>
      <c r="AD302" s="323">
        <f t="shared" ca="1" si="142"/>
        <v>513.6920467091287</v>
      </c>
      <c r="AE302" s="324" t="e">
        <f t="shared" ca="1" si="121"/>
        <v>#N/A</v>
      </c>
      <c r="AG302" s="306">
        <f t="shared" ca="1" si="143"/>
        <v>4.2768707857933581</v>
      </c>
      <c r="AH302" s="304">
        <f t="shared" ca="1" si="144"/>
        <v>-5.4100518980839638</v>
      </c>
    </row>
    <row r="303" spans="1:34" x14ac:dyDescent="0.2">
      <c r="A303" s="347">
        <f t="shared" ca="1" si="122"/>
        <v>0.1</v>
      </c>
      <c r="B303" s="304">
        <f t="shared" ca="1" si="123"/>
        <v>24.100000000000051</v>
      </c>
      <c r="D303" s="306">
        <f t="shared" ca="1" si="124"/>
        <v>-0.85366929469134256</v>
      </c>
      <c r="E303" s="307">
        <f t="shared" ca="1" si="125"/>
        <v>-4.4029734149484936</v>
      </c>
      <c r="F303" s="304">
        <f t="shared" ca="1" si="126"/>
        <v>4.4849666840949904</v>
      </c>
      <c r="G303" s="306">
        <f t="shared" ca="1" si="127"/>
        <v>12.100901698566545</v>
      </c>
      <c r="H303" s="307">
        <f t="shared" ca="1" si="128"/>
        <v>-77.626485077334863</v>
      </c>
      <c r="I303" s="304">
        <f t="shared" ca="1" si="129"/>
        <v>78.564005800239485</v>
      </c>
      <c r="J303" s="306">
        <f t="shared" ca="1" si="130"/>
        <v>514.9064052254588</v>
      </c>
      <c r="K303" s="307">
        <f t="shared" ca="1" si="131"/>
        <v>745.73779767426458</v>
      </c>
      <c r="L303" s="304">
        <f t="shared" ca="1" si="116"/>
        <v>906.23036200640888</v>
      </c>
      <c r="M303" s="306">
        <f t="shared" ca="1" si="132"/>
        <v>-1.4161546850943227</v>
      </c>
      <c r="N303" s="304">
        <f t="shared" ca="1" si="133"/>
        <v>-81.139686593582852</v>
      </c>
      <c r="P303" s="310">
        <f t="shared" ca="1" si="134"/>
        <v>23</v>
      </c>
      <c r="Q303" s="304">
        <f t="shared" ca="1" si="135"/>
        <v>0</v>
      </c>
      <c r="R303" s="306">
        <f t="shared" ca="1" si="136"/>
        <v>0</v>
      </c>
      <c r="S303" s="307">
        <f t="shared" ca="1" si="137"/>
        <v>2.5949999999999998</v>
      </c>
      <c r="T303" s="304">
        <f t="shared" ca="1" si="117"/>
        <v>25.456949999999999</v>
      </c>
      <c r="U303" s="311">
        <f t="shared" ca="1" si="118"/>
        <v>0</v>
      </c>
      <c r="V303" s="306">
        <f t="shared" ca="1" si="119"/>
        <v>1.1369309410867627</v>
      </c>
      <c r="W303" s="304">
        <f t="shared" ca="1" si="120"/>
        <v>14.369914802811614</v>
      </c>
      <c r="Y303" s="314" t="str">
        <f t="shared" ca="1" si="138"/>
        <v/>
      </c>
      <c r="Z303" s="315" t="str">
        <f t="shared" ca="1" si="139"/>
        <v/>
      </c>
      <c r="AA303" s="316" t="str">
        <f t="shared" ca="1" si="140"/>
        <v/>
      </c>
      <c r="AC303" s="310" t="e">
        <f t="shared" ca="1" si="141"/>
        <v>#N/A</v>
      </c>
      <c r="AD303" s="323" t="e">
        <f t="shared" ca="1" si="142"/>
        <v>#N/A</v>
      </c>
      <c r="AE303" s="324" t="e">
        <f t="shared" ca="1" si="121"/>
        <v>#N/A</v>
      </c>
      <c r="AG303" s="306">
        <f t="shared" ca="1" si="143"/>
        <v>4.2159734227288377</v>
      </c>
      <c r="AH303" s="304">
        <f t="shared" ca="1" si="144"/>
        <v>-5.4740010738172655</v>
      </c>
    </row>
    <row r="304" spans="1:34" x14ac:dyDescent="0.2">
      <c r="A304" s="347">
        <f t="shared" ca="1" si="122"/>
        <v>0.1</v>
      </c>
      <c r="B304" s="304">
        <f t="shared" ca="1" si="123"/>
        <v>24.200000000000053</v>
      </c>
      <c r="D304" s="306">
        <f t="shared" ca="1" si="124"/>
        <v>-0.8529251980942919</v>
      </c>
      <c r="E304" s="307">
        <f t="shared" ca="1" si="125"/>
        <v>-4.3385411937696761</v>
      </c>
      <c r="F304" s="304">
        <f t="shared" ca="1" si="126"/>
        <v>4.4215858109484421</v>
      </c>
      <c r="G304" s="306">
        <f t="shared" ca="1" si="127"/>
        <v>12.015609178757117</v>
      </c>
      <c r="H304" s="307">
        <f t="shared" ca="1" si="128"/>
        <v>-78.060339196711837</v>
      </c>
      <c r="I304" s="304">
        <f t="shared" ca="1" si="129"/>
        <v>78.979689917360005</v>
      </c>
      <c r="J304" s="306">
        <f t="shared" ca="1" si="130"/>
        <v>516.11223076932492</v>
      </c>
      <c r="K304" s="307">
        <f t="shared" ca="1" si="131"/>
        <v>737.95345646056228</v>
      </c>
      <c r="L304" s="304">
        <f t="shared" ca="1" si="116"/>
        <v>900.52603441087695</v>
      </c>
      <c r="M304" s="306">
        <f t="shared" ca="1" si="132"/>
        <v>-1.4180678304240668</v>
      </c>
      <c r="N304" s="304">
        <f t="shared" ca="1" si="133"/>
        <v>-81.249301746572343</v>
      </c>
      <c r="P304" s="310">
        <f t="shared" ca="1" si="134"/>
        <v>23</v>
      </c>
      <c r="Q304" s="304">
        <f t="shared" ca="1" si="135"/>
        <v>0</v>
      </c>
      <c r="R304" s="306">
        <f t="shared" ca="1" si="136"/>
        <v>0</v>
      </c>
      <c r="S304" s="307">
        <f t="shared" ca="1" si="137"/>
        <v>2.5949999999999998</v>
      </c>
      <c r="T304" s="304">
        <f t="shared" ca="1" si="117"/>
        <v>25.456949999999999</v>
      </c>
      <c r="U304" s="311">
        <f t="shared" ca="1" si="118"/>
        <v>0</v>
      </c>
      <c r="V304" s="306">
        <f t="shared" ca="1" si="119"/>
        <v>1.1378175317721559</v>
      </c>
      <c r="W304" s="304">
        <f t="shared" ca="1" si="120"/>
        <v>14.533704948715794</v>
      </c>
      <c r="Y304" s="314" t="str">
        <f t="shared" ca="1" si="138"/>
        <v/>
      </c>
      <c r="Z304" s="315" t="str">
        <f t="shared" ca="1" si="139"/>
        <v/>
      </c>
      <c r="AA304" s="316" t="str">
        <f t="shared" ca="1" si="140"/>
        <v/>
      </c>
      <c r="AC304" s="310" t="e">
        <f t="shared" ca="1" si="141"/>
        <v>#N/A</v>
      </c>
      <c r="AD304" s="323" t="e">
        <f t="shared" ca="1" si="142"/>
        <v>#N/A</v>
      </c>
      <c r="AE304" s="324" t="e">
        <f t="shared" ca="1" si="121"/>
        <v>#N/A</v>
      </c>
      <c r="AG304" s="306">
        <f t="shared" ca="1" si="143"/>
        <v>4.1553957939374806</v>
      </c>
      <c r="AH304" s="304">
        <f t="shared" ca="1" si="144"/>
        <v>-5.5375394230487922</v>
      </c>
    </row>
    <row r="305" spans="1:34" x14ac:dyDescent="0.2">
      <c r="A305" s="347">
        <f t="shared" ca="1" si="122"/>
        <v>0.1</v>
      </c>
      <c r="B305" s="304">
        <f t="shared" ca="1" si="123"/>
        <v>24.300000000000054</v>
      </c>
      <c r="D305" s="306">
        <f t="shared" ca="1" si="124"/>
        <v>-0.85205836947192803</v>
      </c>
      <c r="E305" s="307">
        <f t="shared" ca="1" si="125"/>
        <v>-4.2745365584988262</v>
      </c>
      <c r="F305" s="304">
        <f t="shared" ca="1" si="126"/>
        <v>4.3586312364009592</v>
      </c>
      <c r="G305" s="306">
        <f t="shared" ca="1" si="127"/>
        <v>11.930403341809924</v>
      </c>
      <c r="H305" s="307">
        <f t="shared" ca="1" si="128"/>
        <v>-78.487792852561725</v>
      </c>
      <c r="I305" s="304">
        <f t="shared" ca="1" si="129"/>
        <v>79.389345322687404</v>
      </c>
      <c r="J305" s="306">
        <f t="shared" ca="1" si="130"/>
        <v>517.30953139535325</v>
      </c>
      <c r="K305" s="307">
        <f t="shared" ca="1" si="131"/>
        <v>730.12604985809855</v>
      </c>
      <c r="L305" s="304">
        <f t="shared" ca="1" si="116"/>
        <v>894.81461764651044</v>
      </c>
      <c r="M305" s="306">
        <f t="shared" ca="1" si="132"/>
        <v>-1.4199477419571818</v>
      </c>
      <c r="N305" s="304">
        <f t="shared" ca="1" si="133"/>
        <v>-81.357012743277807</v>
      </c>
      <c r="P305" s="310">
        <f t="shared" ca="1" si="134"/>
        <v>23</v>
      </c>
      <c r="Q305" s="304">
        <f t="shared" ca="1" si="135"/>
        <v>0</v>
      </c>
      <c r="R305" s="306">
        <f t="shared" ca="1" si="136"/>
        <v>0</v>
      </c>
      <c r="S305" s="307">
        <f t="shared" ca="1" si="137"/>
        <v>2.5949999999999998</v>
      </c>
      <c r="T305" s="304">
        <f t="shared" ca="1" si="117"/>
        <v>25.456949999999999</v>
      </c>
      <c r="U305" s="311">
        <f t="shared" ca="1" si="118"/>
        <v>0</v>
      </c>
      <c r="V305" s="306">
        <f t="shared" ca="1" si="119"/>
        <v>1.1387096987326526</v>
      </c>
      <c r="W305" s="304">
        <f t="shared" ca="1" si="120"/>
        <v>14.696378558866195</v>
      </c>
      <c r="Y305" s="314" t="str">
        <f t="shared" ca="1" si="138"/>
        <v/>
      </c>
      <c r="Z305" s="315" t="str">
        <f t="shared" ca="1" si="139"/>
        <v/>
      </c>
      <c r="AA305" s="316" t="str">
        <f t="shared" ca="1" si="140"/>
        <v/>
      </c>
      <c r="AC305" s="310" t="e">
        <f t="shared" ca="1" si="141"/>
        <v>#N/A</v>
      </c>
      <c r="AD305" s="323" t="e">
        <f t="shared" ca="1" si="142"/>
        <v>#N/A</v>
      </c>
      <c r="AE305" s="324" t="e">
        <f t="shared" ca="1" si="121"/>
        <v>#N/A</v>
      </c>
      <c r="AG305" s="306">
        <f t="shared" ca="1" si="143"/>
        <v>4.09515121721196</v>
      </c>
      <c r="AH305" s="304">
        <f t="shared" ca="1" si="144"/>
        <v>-5.600657012992599</v>
      </c>
    </row>
    <row r="306" spans="1:34" x14ac:dyDescent="0.2">
      <c r="A306" s="347">
        <f t="shared" ca="1" si="122"/>
        <v>0.1</v>
      </c>
      <c r="B306" s="304">
        <f t="shared" ca="1" si="123"/>
        <v>24.400000000000055</v>
      </c>
      <c r="D306" s="306">
        <f t="shared" ca="1" si="124"/>
        <v>-0.85107116010768979</v>
      </c>
      <c r="E306" s="307">
        <f t="shared" ca="1" si="125"/>
        <v>-4.2109691035988135</v>
      </c>
      <c r="F306" s="304">
        <f t="shared" ca="1" si="126"/>
        <v>4.2961125347261149</v>
      </c>
      <c r="G306" s="306">
        <f t="shared" ca="1" si="127"/>
        <v>11.845296225799155</v>
      </c>
      <c r="H306" s="307">
        <f t="shared" ca="1" si="128"/>
        <v>-78.908889762921604</v>
      </c>
      <c r="I306" s="304">
        <f t="shared" ca="1" si="129"/>
        <v>79.793006750553303</v>
      </c>
      <c r="J306" s="306">
        <f t="shared" ca="1" si="130"/>
        <v>518.4983163737337</v>
      </c>
      <c r="K306" s="307">
        <f t="shared" ca="1" si="131"/>
        <v>722.25621572732439</v>
      </c>
      <c r="L306" s="304">
        <f t="shared" ca="1" si="116"/>
        <v>889.09760163839815</v>
      </c>
      <c r="M306" s="306">
        <f t="shared" ca="1" si="132"/>
        <v>-1.4217952967621259</v>
      </c>
      <c r="N306" s="304">
        <f t="shared" ca="1" si="133"/>
        <v>-81.462869836020218</v>
      </c>
      <c r="P306" s="310">
        <f t="shared" ca="1" si="134"/>
        <v>23</v>
      </c>
      <c r="Q306" s="304">
        <f t="shared" ca="1" si="135"/>
        <v>0</v>
      </c>
      <c r="R306" s="306">
        <f t="shared" ca="1" si="136"/>
        <v>0</v>
      </c>
      <c r="S306" s="307">
        <f t="shared" ca="1" si="137"/>
        <v>2.5949999999999998</v>
      </c>
      <c r="T306" s="304">
        <f t="shared" ca="1" si="117"/>
        <v>25.456949999999999</v>
      </c>
      <c r="U306" s="311">
        <f t="shared" ca="1" si="118"/>
        <v>0</v>
      </c>
      <c r="V306" s="306">
        <f t="shared" ca="1" si="119"/>
        <v>1.1396073810636052</v>
      </c>
      <c r="W306" s="304">
        <f t="shared" ca="1" si="120"/>
        <v>14.857912064805948</v>
      </c>
      <c r="Y306" s="314" t="str">
        <f t="shared" ca="1" si="138"/>
        <v/>
      </c>
      <c r="Z306" s="315" t="str">
        <f t="shared" ca="1" si="139"/>
        <v/>
      </c>
      <c r="AA306" s="316" t="str">
        <f t="shared" ca="1" si="140"/>
        <v/>
      </c>
      <c r="AC306" s="310" t="e">
        <f t="shared" ca="1" si="141"/>
        <v>#N/A</v>
      </c>
      <c r="AD306" s="323" t="e">
        <f t="shared" ca="1" si="142"/>
        <v>#N/A</v>
      </c>
      <c r="AE306" s="324" t="e">
        <f t="shared" ca="1" si="121"/>
        <v>#N/A</v>
      </c>
      <c r="AG306" s="306">
        <f t="shared" ca="1" si="143"/>
        <v>4.0352524283581026</v>
      </c>
      <c r="AH306" s="304">
        <f t="shared" ca="1" si="144"/>
        <v>-5.6633443386767617</v>
      </c>
    </row>
    <row r="307" spans="1:34" x14ac:dyDescent="0.2">
      <c r="A307" s="347">
        <f t="shared" ca="1" si="122"/>
        <v>0.1</v>
      </c>
      <c r="B307" s="304">
        <f t="shared" ca="1" si="123"/>
        <v>24.500000000000057</v>
      </c>
      <c r="D307" s="306">
        <f t="shared" ca="1" si="124"/>
        <v>-0.84996592853114206</v>
      </c>
      <c r="E307" s="307">
        <f t="shared" ca="1" si="125"/>
        <v>-4.1478479965216568</v>
      </c>
      <c r="F307" s="304">
        <f t="shared" ca="1" si="126"/>
        <v>4.2340388616441071</v>
      </c>
      <c r="G307" s="306">
        <f t="shared" ca="1" si="127"/>
        <v>11.76029963294604</v>
      </c>
      <c r="H307" s="307">
        <f t="shared" ca="1" si="128"/>
        <v>-79.323674562573771</v>
      </c>
      <c r="I307" s="304">
        <f t="shared" ca="1" si="129"/>
        <v>80.190710145039773</v>
      </c>
      <c r="J307" s="306">
        <f t="shared" ca="1" si="130"/>
        <v>519.67859616667101</v>
      </c>
      <c r="K307" s="307">
        <f t="shared" ca="1" si="131"/>
        <v>714.34458751104967</v>
      </c>
      <c r="L307" s="304">
        <f t="shared" ca="1" si="116"/>
        <v>883.37649562352158</v>
      </c>
      <c r="M307" s="306">
        <f t="shared" ca="1" si="132"/>
        <v>-1.4236113404091069</v>
      </c>
      <c r="N307" s="304">
        <f t="shared" ca="1" si="133"/>
        <v>-81.566921472403763</v>
      </c>
      <c r="P307" s="310">
        <f t="shared" ca="1" si="134"/>
        <v>23</v>
      </c>
      <c r="Q307" s="304">
        <f t="shared" ca="1" si="135"/>
        <v>0</v>
      </c>
      <c r="R307" s="306">
        <f t="shared" ca="1" si="136"/>
        <v>0</v>
      </c>
      <c r="S307" s="307">
        <f t="shared" ca="1" si="137"/>
        <v>2.5949999999999998</v>
      </c>
      <c r="T307" s="304">
        <f t="shared" ca="1" si="117"/>
        <v>25.456949999999999</v>
      </c>
      <c r="U307" s="311">
        <f t="shared" ca="1" si="118"/>
        <v>0</v>
      </c>
      <c r="V307" s="306">
        <f t="shared" ca="1" si="119"/>
        <v>1.1405105182300941</v>
      </c>
      <c r="W307" s="304">
        <f t="shared" ca="1" si="120"/>
        <v>15.018282981160857</v>
      </c>
      <c r="Y307" s="314" t="str">
        <f t="shared" ca="1" si="138"/>
        <v/>
      </c>
      <c r="Z307" s="315" t="str">
        <f t="shared" ca="1" si="139"/>
        <v/>
      </c>
      <c r="AA307" s="316" t="str">
        <f t="shared" ca="1" si="140"/>
        <v/>
      </c>
      <c r="AC307" s="310" t="e">
        <f t="shared" ca="1" si="141"/>
        <v>#N/A</v>
      </c>
      <c r="AD307" s="323" t="e">
        <f t="shared" ca="1" si="142"/>
        <v>#N/A</v>
      </c>
      <c r="AE307" s="324" t="e">
        <f t="shared" ca="1" si="121"/>
        <v>#N/A</v>
      </c>
      <c r="AG307" s="306">
        <f t="shared" ca="1" si="143"/>
        <v>3.9757115945927817</v>
      </c>
      <c r="AH307" s="304">
        <f t="shared" ca="1" si="144"/>
        <v>-5.7255923178442965</v>
      </c>
    </row>
    <row r="308" spans="1:34" x14ac:dyDescent="0.2">
      <c r="A308" s="347">
        <f t="shared" ca="1" si="122"/>
        <v>0.1</v>
      </c>
      <c r="B308" s="304">
        <f t="shared" ca="1" si="123"/>
        <v>24.600000000000058</v>
      </c>
      <c r="D308" s="306">
        <f t="shared" ca="1" si="124"/>
        <v>-0.84874503853483096</v>
      </c>
      <c r="E308" s="307">
        <f t="shared" ca="1" si="125"/>
        <v>-4.0851819830571365</v>
      </c>
      <c r="F308" s="304">
        <f t="shared" ca="1" si="126"/>
        <v>4.1724189596841939</v>
      </c>
      <c r="G308" s="306">
        <f t="shared" ca="1" si="127"/>
        <v>11.675425129092558</v>
      </c>
      <c r="H308" s="307">
        <f t="shared" ca="1" si="128"/>
        <v>-79.732192760879485</v>
      </c>
      <c r="I308" s="304">
        <f t="shared" ca="1" si="129"/>
        <v>80.582492604802738</v>
      </c>
      <c r="J308" s="306">
        <f t="shared" ca="1" si="130"/>
        <v>520.85038240477297</v>
      </c>
      <c r="K308" s="307">
        <f t="shared" ca="1" si="131"/>
        <v>706.39179414487705</v>
      </c>
      <c r="L308" s="304">
        <f t="shared" ca="1" si="116"/>
        <v>877.65282867795543</v>
      </c>
      <c r="M308" s="306">
        <f t="shared" ca="1" si="132"/>
        <v>-1.4253966883566109</v>
      </c>
      <c r="N308" s="304">
        <f t="shared" ca="1" si="133"/>
        <v>-81.669214374758099</v>
      </c>
      <c r="P308" s="310">
        <f t="shared" ca="1" si="134"/>
        <v>23</v>
      </c>
      <c r="Q308" s="304">
        <f t="shared" ca="1" si="135"/>
        <v>0</v>
      </c>
      <c r="R308" s="306">
        <f t="shared" ca="1" si="136"/>
        <v>0</v>
      </c>
      <c r="S308" s="307">
        <f t="shared" ca="1" si="137"/>
        <v>2.5949999999999998</v>
      </c>
      <c r="T308" s="304">
        <f t="shared" ca="1" si="117"/>
        <v>25.456949999999999</v>
      </c>
      <c r="U308" s="311">
        <f t="shared" ca="1" si="118"/>
        <v>0</v>
      </c>
      <c r="V308" s="306">
        <f t="shared" ca="1" si="119"/>
        <v>1.1414190500759129</v>
      </c>
      <c r="W308" s="304">
        <f t="shared" ca="1" si="120"/>
        <v>15.17746989118594</v>
      </c>
      <c r="Y308" s="314" t="str">
        <f t="shared" ca="1" si="138"/>
        <v/>
      </c>
      <c r="Z308" s="315" t="str">
        <f t="shared" ca="1" si="139"/>
        <v/>
      </c>
      <c r="AA308" s="316" t="str">
        <f t="shared" ca="1" si="140"/>
        <v/>
      </c>
      <c r="AC308" s="310" t="e">
        <f t="shared" ca="1" si="141"/>
        <v>#N/A</v>
      </c>
      <c r="AD308" s="323" t="e">
        <f t="shared" ca="1" si="142"/>
        <v>#N/A</v>
      </c>
      <c r="AE308" s="324" t="e">
        <f t="shared" ca="1" si="121"/>
        <v>#N/A</v>
      </c>
      <c r="AG308" s="306">
        <f t="shared" ca="1" si="143"/>
        <v>3.916540327672795</v>
      </c>
      <c r="AH308" s="304">
        <f t="shared" ca="1" si="144"/>
        <v>-5.7873922856111211</v>
      </c>
    </row>
    <row r="309" spans="1:34" x14ac:dyDescent="0.2">
      <c r="A309" s="347">
        <f t="shared" ca="1" si="122"/>
        <v>0.1</v>
      </c>
      <c r="B309" s="304">
        <f t="shared" ca="1" si="123"/>
        <v>24.70000000000006</v>
      </c>
      <c r="D309" s="306">
        <f t="shared" ca="1" si="124"/>
        <v>-0.84741085725757481</v>
      </c>
      <c r="E309" s="307">
        <f t="shared" ca="1" si="125"/>
        <v>-4.0229793929161657</v>
      </c>
      <c r="F309" s="304">
        <f t="shared" ca="1" si="126"/>
        <v>4.1112611637824878</v>
      </c>
      <c r="G309" s="306">
        <f t="shared" ca="1" si="127"/>
        <v>11.590684043366799</v>
      </c>
      <c r="H309" s="307">
        <f t="shared" ca="1" si="128"/>
        <v>-80.134490700171099</v>
      </c>
      <c r="I309" s="304">
        <f t="shared" ca="1" si="129"/>
        <v>80.968392329161176</v>
      </c>
      <c r="J309" s="306">
        <f t="shared" ca="1" si="130"/>
        <v>522.01368786339594</v>
      </c>
      <c r="K309" s="307">
        <f t="shared" ca="1" si="131"/>
        <v>698.39845997182454</v>
      </c>
      <c r="L309" s="304">
        <f t="shared" ca="1" si="116"/>
        <v>871.9281502553747</v>
      </c>
      <c r="M309" s="306">
        <f t="shared" ca="1" si="132"/>
        <v>-1.4271521272664753</v>
      </c>
      <c r="N309" s="304">
        <f t="shared" ca="1" si="133"/>
        <v>-81.769793615486378</v>
      </c>
      <c r="P309" s="310">
        <f t="shared" ca="1" si="134"/>
        <v>23</v>
      </c>
      <c r="Q309" s="304">
        <f t="shared" ca="1" si="135"/>
        <v>0</v>
      </c>
      <c r="R309" s="306">
        <f t="shared" ca="1" si="136"/>
        <v>0</v>
      </c>
      <c r="S309" s="307">
        <f t="shared" ca="1" si="137"/>
        <v>2.5949999999999998</v>
      </c>
      <c r="T309" s="304">
        <f t="shared" ca="1" si="117"/>
        <v>25.456949999999999</v>
      </c>
      <c r="U309" s="311">
        <f t="shared" ca="1" si="118"/>
        <v>0</v>
      </c>
      <c r="V309" s="306">
        <f t="shared" ca="1" si="119"/>
        <v>1.1423329168321898</v>
      </c>
      <c r="W309" s="304">
        <f t="shared" ca="1" si="120"/>
        <v>15.33545243176062</v>
      </c>
      <c r="Y309" s="314" t="str">
        <f t="shared" ca="1" si="138"/>
        <v/>
      </c>
      <c r="Z309" s="315" t="str">
        <f t="shared" ca="1" si="139"/>
        <v/>
      </c>
      <c r="AA309" s="316" t="str">
        <f t="shared" ca="1" si="140"/>
        <v/>
      </c>
      <c r="AC309" s="310" t="e">
        <f t="shared" ca="1" si="141"/>
        <v>#N/A</v>
      </c>
      <c r="AD309" s="323" t="e">
        <f t="shared" ca="1" si="142"/>
        <v>#N/A</v>
      </c>
      <c r="AE309" s="324" t="e">
        <f t="shared" ca="1" si="121"/>
        <v>#N/A</v>
      </c>
      <c r="AG309" s="306">
        <f t="shared" ca="1" si="143"/>
        <v>3.857749696774941</v>
      </c>
      <c r="AH309" s="304">
        <f t="shared" ca="1" si="144"/>
        <v>-5.8487359888963164</v>
      </c>
    </row>
    <row r="310" spans="1:34" x14ac:dyDescent="0.2">
      <c r="A310" s="347">
        <f t="shared" ca="1" si="122"/>
        <v>0.1</v>
      </c>
      <c r="B310" s="304">
        <f t="shared" ca="1" si="123"/>
        <v>24.800000000000061</v>
      </c>
      <c r="D310" s="306">
        <f t="shared" ca="1" si="124"/>
        <v>-0.84596575333367074</v>
      </c>
      <c r="E310" s="307">
        <f t="shared" ca="1" si="125"/>
        <v>-3.9612481455332009</v>
      </c>
      <c r="F310" s="304">
        <f t="shared" ca="1" si="126"/>
        <v>4.0505734070997441</v>
      </c>
      <c r="G310" s="306">
        <f t="shared" ca="1" si="127"/>
        <v>11.506087468033432</v>
      </c>
      <c r="H310" s="307">
        <f t="shared" ca="1" si="128"/>
        <v>-80.530615514724417</v>
      </c>
      <c r="I310" s="304">
        <f t="shared" ca="1" si="129"/>
        <v>81.34844856542999</v>
      </c>
      <c r="J310" s="306">
        <f t="shared" ca="1" si="130"/>
        <v>523.16852643896596</v>
      </c>
      <c r="K310" s="307">
        <f t="shared" ca="1" si="131"/>
        <v>690.36520466107982</v>
      </c>
      <c r="L310" s="304">
        <f t="shared" ca="1" si="116"/>
        <v>866.20403073586169</v>
      </c>
      <c r="M310" s="306">
        <f t="shared" ca="1" si="132"/>
        <v>-1.4288784162517052</v>
      </c>
      <c r="N310" s="304">
        <f t="shared" ca="1" si="133"/>
        <v>-81.868702688559964</v>
      </c>
      <c r="P310" s="310">
        <f t="shared" ca="1" si="134"/>
        <v>23</v>
      </c>
      <c r="Q310" s="304">
        <f t="shared" ca="1" si="135"/>
        <v>0</v>
      </c>
      <c r="R310" s="306">
        <f t="shared" ca="1" si="136"/>
        <v>0</v>
      </c>
      <c r="S310" s="307">
        <f t="shared" ca="1" si="137"/>
        <v>2.5949999999999998</v>
      </c>
      <c r="T310" s="304">
        <f t="shared" ca="1" si="117"/>
        <v>25.456949999999999</v>
      </c>
      <c r="U310" s="311">
        <f t="shared" ca="1" si="118"/>
        <v>0</v>
      </c>
      <c r="V310" s="306">
        <f t="shared" ca="1" si="119"/>
        <v>1.1432520591256354</v>
      </c>
      <c r="W310" s="304">
        <f t="shared" ca="1" si="120"/>
        <v>15.492211277870833</v>
      </c>
      <c r="Y310" s="314" t="str">
        <f t="shared" ca="1" si="138"/>
        <v/>
      </c>
      <c r="Z310" s="315" t="str">
        <f t="shared" ca="1" si="139"/>
        <v/>
      </c>
      <c r="AA310" s="316" t="str">
        <f t="shared" ca="1" si="140"/>
        <v/>
      </c>
      <c r="AC310" s="310" t="e">
        <f t="shared" ca="1" si="141"/>
        <v>#N/A</v>
      </c>
      <c r="AD310" s="323" t="e">
        <f t="shared" ca="1" si="142"/>
        <v>#N/A</v>
      </c>
      <c r="AE310" s="324" t="e">
        <f t="shared" ca="1" si="121"/>
        <v>#N/A</v>
      </c>
      <c r="AG310" s="306">
        <f t="shared" ca="1" si="143"/>
        <v>3.7993502411447455</v>
      </c>
      <c r="AH310" s="304">
        <f t="shared" ca="1" si="144"/>
        <v>-5.9096155806399313</v>
      </c>
    </row>
    <row r="311" spans="1:34" x14ac:dyDescent="0.2">
      <c r="A311" s="347">
        <f t="shared" ca="1" si="122"/>
        <v>0.1</v>
      </c>
      <c r="B311" s="304">
        <f t="shared" ca="1" si="123"/>
        <v>24.900000000000063</v>
      </c>
      <c r="D311" s="306">
        <f t="shared" ca="1" si="124"/>
        <v>-0.84441209510742221</v>
      </c>
      <c r="E311" s="307">
        <f t="shared" ca="1" si="125"/>
        <v>-3.8999957560724878</v>
      </c>
      <c r="F311" s="304">
        <f t="shared" ca="1" si="126"/>
        <v>3.990363227044265</v>
      </c>
      <c r="G311" s="306">
        <f t="shared" ca="1" si="127"/>
        <v>11.421646258522689</v>
      </c>
      <c r="H311" s="307">
        <f t="shared" ca="1" si="128"/>
        <v>-80.920615090331665</v>
      </c>
      <c r="I311" s="304">
        <f t="shared" ca="1" si="129"/>
        <v>81.72270155747691</v>
      </c>
      <c r="J311" s="306">
        <f t="shared" ca="1" si="130"/>
        <v>524.31491312529374</v>
      </c>
      <c r="K311" s="307">
        <f t="shared" ca="1" si="131"/>
        <v>682.29264313082706</v>
      </c>
      <c r="L311" s="304">
        <f t="shared" ca="1" si="116"/>
        <v>860.48206198388266</v>
      </c>
      <c r="M311" s="306">
        <f t="shared" ca="1" si="132"/>
        <v>-1.4305762880609647</v>
      </c>
      <c r="N311" s="304">
        <f t="shared" ca="1" si="133"/>
        <v>-81.965983577384776</v>
      </c>
      <c r="P311" s="310">
        <f t="shared" ca="1" si="134"/>
        <v>23</v>
      </c>
      <c r="Q311" s="304">
        <f t="shared" ca="1" si="135"/>
        <v>0</v>
      </c>
      <c r="R311" s="306">
        <f t="shared" ca="1" si="136"/>
        <v>0</v>
      </c>
      <c r="S311" s="307">
        <f t="shared" ca="1" si="137"/>
        <v>2.5949999999999998</v>
      </c>
      <c r="T311" s="304">
        <f t="shared" ca="1" si="117"/>
        <v>25.456949999999999</v>
      </c>
      <c r="U311" s="311">
        <f t="shared" ca="1" si="118"/>
        <v>0</v>
      </c>
      <c r="V311" s="306">
        <f t="shared" ca="1" si="119"/>
        <v>1.1441764179864404</v>
      </c>
      <c r="W311" s="304">
        <f t="shared" ca="1" si="120"/>
        <v>15.647728126616231</v>
      </c>
      <c r="Y311" s="314" t="str">
        <f t="shared" ca="1" si="138"/>
        <v/>
      </c>
      <c r="Z311" s="315" t="str">
        <f t="shared" ca="1" si="139"/>
        <v/>
      </c>
      <c r="AA311" s="316" t="str">
        <f t="shared" ca="1" si="140"/>
        <v/>
      </c>
      <c r="AC311" s="310" t="e">
        <f t="shared" ca="1" si="141"/>
        <v>#N/A</v>
      </c>
      <c r="AD311" s="323" t="e">
        <f t="shared" ca="1" si="142"/>
        <v>#N/A</v>
      </c>
      <c r="AE311" s="324" t="e">
        <f t="shared" ca="1" si="121"/>
        <v>#N/A</v>
      </c>
      <c r="AG311" s="306">
        <f t="shared" ca="1" si="143"/>
        <v>3.7413519825293591</v>
      </c>
      <c r="AH311" s="304">
        <f t="shared" ca="1" si="144"/>
        <v>-5.9700236138230576</v>
      </c>
    </row>
    <row r="312" spans="1:34" x14ac:dyDescent="0.2">
      <c r="A312" s="347">
        <f t="shared" ca="1" si="122"/>
        <v>0.1</v>
      </c>
      <c r="B312" s="304">
        <f t="shared" ca="1" si="123"/>
        <v>25.000000000000064</v>
      </c>
      <c r="D312" s="306">
        <f t="shared" ca="1" si="124"/>
        <v>-0.84275224891236611</v>
      </c>
      <c r="E312" s="307">
        <f t="shared" ca="1" si="125"/>
        <v>-3.8392293416229757</v>
      </c>
      <c r="F312" s="304">
        <f t="shared" ca="1" si="126"/>
        <v>3.9306377714851362</v>
      </c>
      <c r="G312" s="306">
        <f t="shared" ca="1" si="127"/>
        <v>11.337371033631452</v>
      </c>
      <c r="H312" s="307">
        <f t="shared" ca="1" si="128"/>
        <v>-81.304538024493965</v>
      </c>
      <c r="I312" s="304">
        <f t="shared" ca="1" si="129"/>
        <v>82.091192495484009</v>
      </c>
      <c r="J312" s="306">
        <f t="shared" ca="1" si="130"/>
        <v>525.4528639899014</v>
      </c>
      <c r="K312" s="307">
        <f t="shared" ca="1" si="131"/>
        <v>674.18138547508579</v>
      </c>
      <c r="L312" s="304">
        <f t="shared" ca="1" si="116"/>
        <v>854.76385791415862</v>
      </c>
      <c r="M312" s="306">
        <f t="shared" ca="1" si="132"/>
        <v>-1.4322464502034102</v>
      </c>
      <c r="N312" s="304">
        <f t="shared" ca="1" si="133"/>
        <v>-82.061676819249428</v>
      </c>
      <c r="P312" s="310">
        <f t="shared" ca="1" si="134"/>
        <v>23</v>
      </c>
      <c r="Q312" s="304">
        <f t="shared" ca="1" si="135"/>
        <v>0</v>
      </c>
      <c r="R312" s="306">
        <f t="shared" ca="1" si="136"/>
        <v>0</v>
      </c>
      <c r="S312" s="307">
        <f t="shared" ca="1" si="137"/>
        <v>2.5949999999999998</v>
      </c>
      <c r="T312" s="304">
        <f t="shared" ca="1" si="117"/>
        <v>25.456949999999999</v>
      </c>
      <c r="U312" s="311">
        <f t="shared" ca="1" si="118"/>
        <v>0</v>
      </c>
      <c r="V312" s="306">
        <f t="shared" ca="1" si="119"/>
        <v>1.1451059348558092</v>
      </c>
      <c r="W312" s="304">
        <f t="shared" ca="1" si="120"/>
        <v>15.801985680779184</v>
      </c>
      <c r="Y312" s="314" t="str">
        <f t="shared" ca="1" si="138"/>
        <v/>
      </c>
      <c r="Z312" s="315" t="str">
        <f t="shared" ca="1" si="139"/>
        <v/>
      </c>
      <c r="AA312" s="316" t="str">
        <f t="shared" ca="1" si="140"/>
        <v/>
      </c>
      <c r="AC312" s="310">
        <f t="shared" ca="1" si="141"/>
        <v>25.000000000000064</v>
      </c>
      <c r="AD312" s="323">
        <f t="shared" ca="1" si="142"/>
        <v>525.4528639899014</v>
      </c>
      <c r="AE312" s="324" t="e">
        <f t="shared" ca="1" si="121"/>
        <v>#N/A</v>
      </c>
      <c r="AG312" s="306">
        <f t="shared" ca="1" si="143"/>
        <v>3.683764437407854</v>
      </c>
      <c r="AH312" s="304">
        <f t="shared" ca="1" si="144"/>
        <v>-6.0299530353049065</v>
      </c>
    </row>
    <row r="313" spans="1:34" x14ac:dyDescent="0.2">
      <c r="A313" s="347">
        <f t="shared" ca="1" si="122"/>
        <v>0.1</v>
      </c>
      <c r="B313" s="304">
        <f t="shared" ca="1" si="123"/>
        <v>25.100000000000065</v>
      </c>
      <c r="D313" s="306">
        <f t="shared" ca="1" si="124"/>
        <v>-0.84098857741451905</v>
      </c>
      <c r="E313" s="307">
        <f t="shared" ca="1" si="125"/>
        <v>-3.7789556275673588</v>
      </c>
      <c r="F313" s="304">
        <f t="shared" ca="1" si="126"/>
        <v>3.8714038051415804</v>
      </c>
      <c r="G313" s="306">
        <f t="shared" ca="1" si="127"/>
        <v>11.25327217589</v>
      </c>
      <c r="H313" s="307">
        <f t="shared" ca="1" si="128"/>
        <v>-81.682433587250699</v>
      </c>
      <c r="I313" s="304">
        <f t="shared" ca="1" si="129"/>
        <v>82.453963466896369</v>
      </c>
      <c r="J313" s="306">
        <f t="shared" ca="1" si="130"/>
        <v>526.58239615037746</v>
      </c>
      <c r="K313" s="307">
        <f t="shared" ca="1" si="131"/>
        <v>666.03203689449856</v>
      </c>
      <c r="L313" s="304">
        <f t="shared" ca="1" si="116"/>
        <v>849.05105506400957</v>
      </c>
      <c r="M313" s="306">
        <f t="shared" ca="1" si="132"/>
        <v>-1.4338895860173004</v>
      </c>
      <c r="N313" s="304">
        <f t="shared" ca="1" si="133"/>
        <v>-82.155821566552135</v>
      </c>
      <c r="P313" s="310">
        <f t="shared" ca="1" si="134"/>
        <v>23</v>
      </c>
      <c r="Q313" s="304">
        <f t="shared" ca="1" si="135"/>
        <v>0</v>
      </c>
      <c r="R313" s="306">
        <f t="shared" ca="1" si="136"/>
        <v>0</v>
      </c>
      <c r="S313" s="307">
        <f t="shared" ca="1" si="137"/>
        <v>2.5949999999999998</v>
      </c>
      <c r="T313" s="304">
        <f t="shared" ca="1" si="117"/>
        <v>25.456949999999999</v>
      </c>
      <c r="U313" s="311">
        <f t="shared" ca="1" si="118"/>
        <v>0</v>
      </c>
      <c r="V313" s="306">
        <f t="shared" ca="1" si="119"/>
        <v>1.146040551593148</v>
      </c>
      <c r="W313" s="304">
        <f t="shared" ca="1" si="120"/>
        <v>15.954967631992076</v>
      </c>
      <c r="Y313" s="314" t="str">
        <f t="shared" ca="1" si="138"/>
        <v/>
      </c>
      <c r="Z313" s="315" t="str">
        <f t="shared" ca="1" si="139"/>
        <v/>
      </c>
      <c r="AA313" s="316" t="str">
        <f t="shared" ca="1" si="140"/>
        <v/>
      </c>
      <c r="AC313" s="310" t="e">
        <f t="shared" ca="1" si="141"/>
        <v>#N/A</v>
      </c>
      <c r="AD313" s="323" t="e">
        <f t="shared" ca="1" si="142"/>
        <v>#N/A</v>
      </c>
      <c r="AE313" s="324" t="e">
        <f t="shared" ca="1" si="121"/>
        <v>#N/A</v>
      </c>
      <c r="AG313" s="306">
        <f t="shared" ca="1" si="143"/>
        <v>3.6265966290306864</v>
      </c>
      <c r="AH313" s="304">
        <f t="shared" ca="1" si="144"/>
        <v>-6.0893971794910158</v>
      </c>
    </row>
    <row r="314" spans="1:34" x14ac:dyDescent="0.2">
      <c r="A314" s="347">
        <f t="shared" ca="1" si="122"/>
        <v>0.1</v>
      </c>
      <c r="B314" s="304">
        <f t="shared" ca="1" si="123"/>
        <v>25.200000000000067</v>
      </c>
      <c r="D314" s="306">
        <f t="shared" ca="1" si="124"/>
        <v>-0.83912343801892531</v>
      </c>
      <c r="E314" s="307">
        <f t="shared" ca="1" si="125"/>
        <v>-3.7191809541107572</v>
      </c>
      <c r="F314" s="304">
        <f t="shared" ca="1" si="126"/>
        <v>3.8126677161343214</v>
      </c>
      <c r="G314" s="306">
        <f t="shared" ca="1" si="127"/>
        <v>11.169359832088107</v>
      </c>
      <c r="H314" s="307">
        <f t="shared" ca="1" si="128"/>
        <v>-82.054351682661775</v>
      </c>
      <c r="I314" s="304">
        <f t="shared" ca="1" si="129"/>
        <v>82.811057408540577</v>
      </c>
      <c r="J314" s="306">
        <f t="shared" ca="1" si="130"/>
        <v>527.7035277507764</v>
      </c>
      <c r="K314" s="307">
        <f t="shared" ca="1" si="131"/>
        <v>657.84519763100297</v>
      </c>
      <c r="L314" s="304">
        <f t="shared" ca="1" si="116"/>
        <v>843.34531317058236</v>
      </c>
      <c r="M314" s="306">
        <f t="shared" ca="1" si="132"/>
        <v>-1.435506355685592</v>
      </c>
      <c r="N314" s="304">
        <f t="shared" ca="1" si="133"/>
        <v>-82.248455644990017</v>
      </c>
      <c r="P314" s="310">
        <f t="shared" ca="1" si="134"/>
        <v>23</v>
      </c>
      <c r="Q314" s="304">
        <f t="shared" ca="1" si="135"/>
        <v>0</v>
      </c>
      <c r="R314" s="306">
        <f t="shared" ca="1" si="136"/>
        <v>0</v>
      </c>
      <c r="S314" s="307">
        <f t="shared" ca="1" si="137"/>
        <v>2.5949999999999998</v>
      </c>
      <c r="T314" s="304">
        <f t="shared" ca="1" si="117"/>
        <v>25.456949999999999</v>
      </c>
      <c r="U314" s="311">
        <f t="shared" ca="1" si="118"/>
        <v>0</v>
      </c>
      <c r="V314" s="306">
        <f t="shared" ca="1" si="119"/>
        <v>1.1469802104829026</v>
      </c>
      <c r="W314" s="304">
        <f t="shared" ca="1" si="120"/>
        <v>16.10665864353804</v>
      </c>
      <c r="Y314" s="314" t="str">
        <f t="shared" ca="1" si="138"/>
        <v/>
      </c>
      <c r="Z314" s="315" t="str">
        <f t="shared" ca="1" si="139"/>
        <v/>
      </c>
      <c r="AA314" s="316" t="str">
        <f t="shared" ca="1" si="140"/>
        <v/>
      </c>
      <c r="AC314" s="310" t="e">
        <f t="shared" ca="1" si="141"/>
        <v>#N/A</v>
      </c>
      <c r="AD314" s="323" t="e">
        <f t="shared" ca="1" si="142"/>
        <v>#N/A</v>
      </c>
      <c r="AE314" s="324" t="e">
        <f t="shared" ca="1" si="121"/>
        <v>#N/A</v>
      </c>
      <c r="AG314" s="306">
        <f t="shared" ca="1" si="143"/>
        <v>3.5698570992781846</v>
      </c>
      <c r="AH314" s="304">
        <f t="shared" ca="1" si="144"/>
        <v>-6.1483497618466583</v>
      </c>
    </row>
    <row r="315" spans="1:34" x14ac:dyDescent="0.2">
      <c r="A315" s="347">
        <f t="shared" ca="1" si="122"/>
        <v>0.1</v>
      </c>
      <c r="B315" s="304">
        <f t="shared" ca="1" si="123"/>
        <v>25.300000000000068</v>
      </c>
      <c r="D315" s="306">
        <f t="shared" ca="1" si="124"/>
        <v>-0.83715918133875</v>
      </c>
      <c r="E315" s="307">
        <f t="shared" ca="1" si="125"/>
        <v>-3.659911282955151</v>
      </c>
      <c r="F315" s="304">
        <f t="shared" ca="1" si="126"/>
        <v>3.7544355226854256</v>
      </c>
      <c r="G315" s="306">
        <f t="shared" ca="1" si="127"/>
        <v>11.085643913954232</v>
      </c>
      <c r="H315" s="307">
        <f t="shared" ca="1" si="128"/>
        <v>-82.420342810957294</v>
      </c>
      <c r="I315" s="304">
        <f t="shared" ca="1" si="129"/>
        <v>83.162518059897096</v>
      </c>
      <c r="J315" s="306">
        <f t="shared" ca="1" si="130"/>
        <v>528.81627793807854</v>
      </c>
      <c r="K315" s="307">
        <f t="shared" ca="1" si="131"/>
        <v>649.62146290632199</v>
      </c>
      <c r="L315" s="304">
        <f t="shared" ca="1" si="116"/>
        <v>837.6483157512065</v>
      </c>
      <c r="M315" s="306">
        <f t="shared" ca="1" si="132"/>
        <v>-1.4370973972015293</v>
      </c>
      <c r="N315" s="304">
        <f t="shared" ca="1" si="133"/>
        <v>-82.339615608883307</v>
      </c>
      <c r="P315" s="310">
        <f t="shared" ca="1" si="134"/>
        <v>23</v>
      </c>
      <c r="Q315" s="304">
        <f t="shared" ca="1" si="135"/>
        <v>0</v>
      </c>
      <c r="R315" s="306">
        <f t="shared" ca="1" si="136"/>
        <v>0</v>
      </c>
      <c r="S315" s="307">
        <f t="shared" ca="1" si="137"/>
        <v>2.5949999999999998</v>
      </c>
      <c r="T315" s="304">
        <f t="shared" ca="1" si="117"/>
        <v>25.456949999999999</v>
      </c>
      <c r="U315" s="311">
        <f t="shared" ca="1" si="118"/>
        <v>0</v>
      </c>
      <c r="V315" s="306">
        <f t="shared" ca="1" si="119"/>
        <v>1.1479248542410578</v>
      </c>
      <c r="W315" s="304">
        <f t="shared" ca="1" si="120"/>
        <v>16.257044332819799</v>
      </c>
      <c r="Y315" s="314" t="str">
        <f t="shared" ca="1" si="138"/>
        <v/>
      </c>
      <c r="Z315" s="315" t="str">
        <f t="shared" ca="1" si="139"/>
        <v/>
      </c>
      <c r="AA315" s="316" t="str">
        <f t="shared" ca="1" si="140"/>
        <v/>
      </c>
      <c r="AC315" s="310" t="e">
        <f t="shared" ca="1" si="141"/>
        <v>#N/A</v>
      </c>
      <c r="AD315" s="323" t="e">
        <f t="shared" ca="1" si="142"/>
        <v>#N/A</v>
      </c>
      <c r="AE315" s="324" t="e">
        <f t="shared" ca="1" si="121"/>
        <v>#N/A</v>
      </c>
      <c r="AG315" s="306">
        <f t="shared" ca="1" si="143"/>
        <v>3.5135539203467197</v>
      </c>
      <c r="AH315" s="304">
        <f t="shared" ca="1" si="144"/>
        <v>-6.2068048722689948</v>
      </c>
    </row>
    <row r="316" spans="1:34" x14ac:dyDescent="0.2">
      <c r="A316" s="347">
        <f t="shared" ca="1" si="122"/>
        <v>0.1</v>
      </c>
      <c r="B316" s="304">
        <f t="shared" ca="1" si="123"/>
        <v>25.40000000000007</v>
      </c>
      <c r="D316" s="306">
        <f t="shared" ca="1" si="124"/>
        <v>-0.83509814972611351</v>
      </c>
      <c r="E316" s="307">
        <f t="shared" ca="1" si="125"/>
        <v>-3.6011522041058237</v>
      </c>
      <c r="F316" s="304">
        <f t="shared" ca="1" si="126"/>
        <v>3.6967128799532443</v>
      </c>
      <c r="G316" s="306">
        <f t="shared" ca="1" si="127"/>
        <v>11.002134098981621</v>
      </c>
      <c r="H316" s="307">
        <f t="shared" ca="1" si="128"/>
        <v>-82.780458031367871</v>
      </c>
      <c r="I316" s="304">
        <f t="shared" ca="1" si="129"/>
        <v>83.508389917510883</v>
      </c>
      <c r="J316" s="306">
        <f t="shared" ca="1" si="130"/>
        <v>529.92066683872531</v>
      </c>
      <c r="K316" s="307">
        <f t="shared" ca="1" si="131"/>
        <v>641.36142286420568</v>
      </c>
      <c r="L316" s="304">
        <f t="shared" ca="1" si="116"/>
        <v>831.96177068492625</v>
      </c>
      <c r="M316" s="306">
        <f t="shared" ca="1" si="132"/>
        <v>-1.4386633272870417</v>
      </c>
      <c r="N316" s="304">
        <f t="shared" ca="1" si="133"/>
        <v>-82.429336793795727</v>
      </c>
      <c r="P316" s="310">
        <f t="shared" ca="1" si="134"/>
        <v>23</v>
      </c>
      <c r="Q316" s="304">
        <f t="shared" ca="1" si="135"/>
        <v>0</v>
      </c>
      <c r="R316" s="306">
        <f t="shared" ca="1" si="136"/>
        <v>0</v>
      </c>
      <c r="S316" s="307">
        <f t="shared" ca="1" si="137"/>
        <v>2.5949999999999998</v>
      </c>
      <c r="T316" s="304">
        <f t="shared" ca="1" si="117"/>
        <v>25.456949999999999</v>
      </c>
      <c r="U316" s="311">
        <f t="shared" ca="1" si="118"/>
        <v>0</v>
      </c>
      <c r="V316" s="306">
        <f t="shared" ca="1" si="119"/>
        <v>1.1488744260213013</v>
      </c>
      <c r="W316" s="304">
        <f t="shared" ca="1" si="120"/>
        <v>16.406111253530078</v>
      </c>
      <c r="Y316" s="314" t="str">
        <f t="shared" ca="1" si="138"/>
        <v/>
      </c>
      <c r="Z316" s="315" t="str">
        <f t="shared" ca="1" si="139"/>
        <v/>
      </c>
      <c r="AA316" s="316" t="str">
        <f t="shared" ca="1" si="140"/>
        <v/>
      </c>
      <c r="AC316" s="310" t="e">
        <f t="shared" ca="1" si="141"/>
        <v>#N/A</v>
      </c>
      <c r="AD316" s="323" t="e">
        <f t="shared" ca="1" si="142"/>
        <v>#N/A</v>
      </c>
      <c r="AE316" s="324" t="e">
        <f t="shared" ca="1" si="121"/>
        <v>#N/A</v>
      </c>
      <c r="AG316" s="306">
        <f t="shared" ca="1" si="143"/>
        <v>3.4576947062697752</v>
      </c>
      <c r="AH316" s="304">
        <f t="shared" ca="1" si="144"/>
        <v>-6.26475696833133</v>
      </c>
    </row>
    <row r="317" spans="1:34" x14ac:dyDescent="0.2">
      <c r="A317" s="347">
        <f t="shared" ca="1" si="122"/>
        <v>0.1</v>
      </c>
      <c r="B317" s="304">
        <f t="shared" ca="1" si="123"/>
        <v>25.500000000000071</v>
      </c>
      <c r="D317" s="306">
        <f t="shared" ca="1" si="124"/>
        <v>-0.83294267586382142</v>
      </c>
      <c r="E317" s="307">
        <f t="shared" ca="1" si="125"/>
        <v>-3.5429089427965996</v>
      </c>
      <c r="F317" s="304">
        <f t="shared" ca="1" si="126"/>
        <v>3.6395050869896171</v>
      </c>
      <c r="G317" s="306">
        <f t="shared" ca="1" si="127"/>
        <v>10.918839831395239</v>
      </c>
      <c r="H317" s="307">
        <f t="shared" ca="1" si="128"/>
        <v>-83.134748925647528</v>
      </c>
      <c r="I317" s="304">
        <f t="shared" ca="1" si="129"/>
        <v>83.848718190525233</v>
      </c>
      <c r="J317" s="306">
        <f t="shared" ca="1" si="130"/>
        <v>531.0167155352442</v>
      </c>
      <c r="K317" s="307">
        <f t="shared" ca="1" si="131"/>
        <v>633.06566251635491</v>
      </c>
      <c r="L317" s="304">
        <f t="shared" ca="1" si="116"/>
        <v>826.28741079306656</v>
      </c>
      <c r="M317" s="306">
        <f t="shared" ca="1" si="132"/>
        <v>-1.4402047422665869</v>
      </c>
      <c r="N317" s="304">
        <f t="shared" ca="1" si="133"/>
        <v>-82.51765336660192</v>
      </c>
      <c r="P317" s="310">
        <f t="shared" ca="1" si="134"/>
        <v>23</v>
      </c>
      <c r="Q317" s="304">
        <f t="shared" ca="1" si="135"/>
        <v>0</v>
      </c>
      <c r="R317" s="306">
        <f t="shared" ca="1" si="136"/>
        <v>0</v>
      </c>
      <c r="S317" s="307">
        <f t="shared" ca="1" si="137"/>
        <v>2.5949999999999998</v>
      </c>
      <c r="T317" s="304">
        <f t="shared" ca="1" si="117"/>
        <v>25.456949999999999</v>
      </c>
      <c r="U317" s="311">
        <f t="shared" ca="1" si="118"/>
        <v>0</v>
      </c>
      <c r="V317" s="306">
        <f t="shared" ca="1" si="119"/>
        <v>1.1498288694208563</v>
      </c>
      <c r="W317" s="304">
        <f t="shared" ca="1" si="120"/>
        <v>16.553846877556271</v>
      </c>
      <c r="Y317" s="314" t="str">
        <f t="shared" ca="1" si="138"/>
        <v/>
      </c>
      <c r="Z317" s="315" t="str">
        <f t="shared" ca="1" si="139"/>
        <v/>
      </c>
      <c r="AA317" s="316" t="str">
        <f t="shared" ca="1" si="140"/>
        <v/>
      </c>
      <c r="AC317" s="310" t="e">
        <f t="shared" ca="1" si="141"/>
        <v>#N/A</v>
      </c>
      <c r="AD317" s="323" t="e">
        <f t="shared" ca="1" si="142"/>
        <v>#N/A</v>
      </c>
      <c r="AE317" s="324" t="e">
        <f t="shared" ca="1" si="121"/>
        <v>#N/A</v>
      </c>
      <c r="AG317" s="306">
        <f t="shared" ca="1" si="143"/>
        <v>3.4022866242800882</v>
      </c>
      <c r="AH317" s="304">
        <f t="shared" ca="1" si="144"/>
        <v>-6.3222008684123621</v>
      </c>
    </row>
    <row r="318" spans="1:34" x14ac:dyDescent="0.2">
      <c r="A318" s="347">
        <f t="shared" ca="1" si="122"/>
        <v>0.1</v>
      </c>
      <c r="B318" s="304">
        <f t="shared" ca="1" si="123"/>
        <v>25.600000000000072</v>
      </c>
      <c r="D318" s="306">
        <f t="shared" ca="1" si="124"/>
        <v>-0.83069508141712178</v>
      </c>
      <c r="E318" s="307">
        <f t="shared" ca="1" si="125"/>
        <v>-3.4851863665209448</v>
      </c>
      <c r="F318" s="304">
        <f t="shared" ca="1" si="126"/>
        <v>3.5828170938067805</v>
      </c>
      <c r="G318" s="306">
        <f t="shared" ca="1" si="127"/>
        <v>10.835770323253527</v>
      </c>
      <c r="H318" s="307">
        <f t="shared" ca="1" si="128"/>
        <v>-83.483267562299616</v>
      </c>
      <c r="I318" s="304">
        <f t="shared" ca="1" si="129"/>
        <v>84.18354875732436</v>
      </c>
      <c r="J318" s="306">
        <f t="shared" ca="1" si="130"/>
        <v>532.10444604297663</v>
      </c>
      <c r="K318" s="307">
        <f t="shared" ca="1" si="131"/>
        <v>624.7347616919576</v>
      </c>
      <c r="L318" s="304">
        <f t="shared" ca="1" si="116"/>
        <v>820.62699441647067</v>
      </c>
      <c r="M318" s="306">
        <f t="shared" ca="1" si="132"/>
        <v>-1.4417222188989101</v>
      </c>
      <c r="N318" s="304">
        <f t="shared" ca="1" si="133"/>
        <v>-82.604598373143759</v>
      </c>
      <c r="P318" s="310">
        <f t="shared" ca="1" si="134"/>
        <v>23</v>
      </c>
      <c r="Q318" s="304">
        <f t="shared" ca="1" si="135"/>
        <v>0</v>
      </c>
      <c r="R318" s="306">
        <f t="shared" ca="1" si="136"/>
        <v>0</v>
      </c>
      <c r="S318" s="307">
        <f t="shared" ca="1" si="137"/>
        <v>2.5949999999999998</v>
      </c>
      <c r="T318" s="304">
        <f t="shared" ca="1" si="117"/>
        <v>25.456949999999999</v>
      </c>
      <c r="U318" s="311">
        <f t="shared" ca="1" si="118"/>
        <v>0</v>
      </c>
      <c r="V318" s="306">
        <f t="shared" ca="1" si="119"/>
        <v>1.1507881284859864</v>
      </c>
      <c r="W318" s="304">
        <f t="shared" ca="1" si="120"/>
        <v>16.70023957665099</v>
      </c>
      <c r="Y318" s="314" t="str">
        <f t="shared" ca="1" si="138"/>
        <v/>
      </c>
      <c r="Z318" s="315" t="str">
        <f t="shared" ca="1" si="139"/>
        <v/>
      </c>
      <c r="AA318" s="316" t="str">
        <f t="shared" ca="1" si="140"/>
        <v/>
      </c>
      <c r="AC318" s="310" t="e">
        <f t="shared" ca="1" si="141"/>
        <v>#N/A</v>
      </c>
      <c r="AD318" s="323" t="e">
        <f t="shared" ca="1" si="142"/>
        <v>#N/A</v>
      </c>
      <c r="AE318" s="324" t="e">
        <f t="shared" ca="1" si="121"/>
        <v>#N/A</v>
      </c>
      <c r="AG318" s="306">
        <f t="shared" ca="1" si="143"/>
        <v>3.3473364060179795</v>
      </c>
      <c r="AH318" s="304">
        <f t="shared" ca="1" si="144"/>
        <v>-6.3791317447230336</v>
      </c>
    </row>
    <row r="319" spans="1:34" x14ac:dyDescent="0.2">
      <c r="A319" s="347">
        <f t="shared" ca="1" si="122"/>
        <v>0.1</v>
      </c>
      <c r="B319" s="304">
        <f t="shared" ca="1" si="123"/>
        <v>25.700000000000074</v>
      </c>
      <c r="D319" s="306">
        <f t="shared" ca="1" si="124"/>
        <v>-0.82835767574456876</v>
      </c>
      <c r="E319" s="307">
        <f t="shared" ca="1" si="125"/>
        <v>-3.4279889921564539</v>
      </c>
      <c r="F319" s="304">
        <f t="shared" ca="1" si="126"/>
        <v>3.526653508541882</v>
      </c>
      <c r="G319" s="306">
        <f t="shared" ca="1" si="127"/>
        <v>10.752934555679071</v>
      </c>
      <c r="H319" s="307">
        <f t="shared" ca="1" si="128"/>
        <v>-83.826066461515268</v>
      </c>
      <c r="I319" s="304">
        <f t="shared" ca="1" si="129"/>
        <v>84.512928123270541</v>
      </c>
      <c r="J319" s="306">
        <f t="shared" ca="1" si="130"/>
        <v>533.18388128692322</v>
      </c>
      <c r="K319" s="307">
        <f t="shared" ca="1" si="131"/>
        <v>616.36929499076689</v>
      </c>
      <c r="L319" s="304">
        <f t="shared" ca="1" si="116"/>
        <v>814.98230598682505</v>
      </c>
      <c r="M319" s="306">
        <f t="shared" ca="1" si="132"/>
        <v>-1.4432163151690414</v>
      </c>
      <c r="N319" s="304">
        <f t="shared" ca="1" si="133"/>
        <v>-82.690203783608524</v>
      </c>
      <c r="P319" s="310">
        <f t="shared" ca="1" si="134"/>
        <v>23</v>
      </c>
      <c r="Q319" s="304">
        <f t="shared" ca="1" si="135"/>
        <v>0</v>
      </c>
      <c r="R319" s="306">
        <f t="shared" ca="1" si="136"/>
        <v>0</v>
      </c>
      <c r="S319" s="307">
        <f t="shared" ca="1" si="137"/>
        <v>2.5949999999999998</v>
      </c>
      <c r="T319" s="304">
        <f t="shared" ca="1" si="117"/>
        <v>25.456949999999999</v>
      </c>
      <c r="U319" s="311">
        <f t="shared" ca="1" si="118"/>
        <v>0</v>
      </c>
      <c r="V319" s="306">
        <f t="shared" ca="1" si="119"/>
        <v>1.1517521477171884</v>
      </c>
      <c r="W319" s="304">
        <f t="shared" ca="1" si="120"/>
        <v>16.845278603899352</v>
      </c>
      <c r="Y319" s="314" t="str">
        <f t="shared" ca="1" si="138"/>
        <v/>
      </c>
      <c r="Z319" s="315" t="str">
        <f t="shared" ca="1" si="139"/>
        <v/>
      </c>
      <c r="AA319" s="316" t="str">
        <f t="shared" ca="1" si="140"/>
        <v/>
      </c>
      <c r="AC319" s="310" t="e">
        <f t="shared" ca="1" si="141"/>
        <v>#N/A</v>
      </c>
      <c r="AD319" s="323" t="e">
        <f t="shared" ca="1" si="142"/>
        <v>#N/A</v>
      </c>
      <c r="AE319" s="324" t="e">
        <f t="shared" ca="1" si="121"/>
        <v>#N/A</v>
      </c>
      <c r="AG319" s="306">
        <f t="shared" ca="1" si="143"/>
        <v>3.2928503585901012</v>
      </c>
      <c r="AH319" s="304">
        <f t="shared" ca="1" si="144"/>
        <v>-6.4355451162431567</v>
      </c>
    </row>
    <row r="320" spans="1:34" x14ac:dyDescent="0.2">
      <c r="A320" s="347">
        <f t="shared" ca="1" si="122"/>
        <v>0.1</v>
      </c>
      <c r="B320" s="304">
        <f t="shared" ca="1" si="123"/>
        <v>25.800000000000075</v>
      </c>
      <c r="D320" s="306">
        <f t="shared" ca="1" si="124"/>
        <v>-0.82593275466704352</v>
      </c>
      <c r="E320" s="307">
        <f t="shared" ca="1" si="125"/>
        <v>-3.3713209931705324</v>
      </c>
      <c r="F320" s="304">
        <f t="shared" ca="1" si="126"/>
        <v>3.4710186047073033</v>
      </c>
      <c r="G320" s="306">
        <f t="shared" ca="1" si="127"/>
        <v>10.670341280212366</v>
      </c>
      <c r="H320" s="307">
        <f t="shared" ca="1" si="128"/>
        <v>-84.163198560832328</v>
      </c>
      <c r="I320" s="304">
        <f t="shared" ca="1" si="129"/>
        <v>84.836903379521658</v>
      </c>
      <c r="J320" s="306">
        <f t="shared" ca="1" si="130"/>
        <v>534.25504507871779</v>
      </c>
      <c r="K320" s="307">
        <f t="shared" ca="1" si="131"/>
        <v>607.96983173964952</v>
      </c>
      <c r="L320" s="304">
        <f t="shared" ca="1" si="116"/>
        <v>809.35515658924453</v>
      </c>
      <c r="M320" s="306">
        <f t="shared" ca="1" si="132"/>
        <v>-1.4446875710427021</v>
      </c>
      <c r="N320" s="304">
        <f t="shared" ca="1" si="133"/>
        <v>-82.774500535753106</v>
      </c>
      <c r="P320" s="310">
        <f t="shared" ca="1" si="134"/>
        <v>23</v>
      </c>
      <c r="Q320" s="304">
        <f t="shared" ca="1" si="135"/>
        <v>0</v>
      </c>
      <c r="R320" s="306">
        <f t="shared" ca="1" si="136"/>
        <v>0</v>
      </c>
      <c r="S320" s="307">
        <f t="shared" ca="1" si="137"/>
        <v>2.5949999999999998</v>
      </c>
      <c r="T320" s="304">
        <f t="shared" ca="1" si="117"/>
        <v>25.456949999999999</v>
      </c>
      <c r="U320" s="311">
        <f t="shared" ca="1" si="118"/>
        <v>0</v>
      </c>
      <c r="V320" s="306">
        <f t="shared" ca="1" si="119"/>
        <v>1.1527208720740638</v>
      </c>
      <c r="W320" s="304">
        <f t="shared" ca="1" si="120"/>
        <v>16.98895407501254</v>
      </c>
      <c r="Y320" s="314" t="str">
        <f t="shared" ca="1" si="138"/>
        <v/>
      </c>
      <c r="Z320" s="315" t="str">
        <f t="shared" ca="1" si="139"/>
        <v/>
      </c>
      <c r="AA320" s="316" t="str">
        <f t="shared" ca="1" si="140"/>
        <v/>
      </c>
      <c r="AC320" s="310" t="e">
        <f t="shared" ca="1" si="141"/>
        <v>#N/A</v>
      </c>
      <c r="AD320" s="323" t="e">
        <f t="shared" ca="1" si="142"/>
        <v>#N/A</v>
      </c>
      <c r="AE320" s="324" t="e">
        <f t="shared" ca="1" si="121"/>
        <v>#N/A</v>
      </c>
      <c r="AG320" s="306">
        <f t="shared" ca="1" si="143"/>
        <v>3.2388343754820017</v>
      </c>
      <c r="AH320" s="304">
        <f t="shared" ca="1" si="144"/>
        <v>-6.4914368415797128</v>
      </c>
    </row>
    <row r="321" spans="1:34" x14ac:dyDescent="0.2">
      <c r="A321" s="347">
        <f t="shared" ca="1" si="122"/>
        <v>0.1</v>
      </c>
      <c r="B321" s="304">
        <f t="shared" ca="1" si="123"/>
        <v>25.900000000000077</v>
      </c>
      <c r="D321" s="306">
        <f t="shared" ca="1" si="124"/>
        <v>-0.82342259929396155</v>
      </c>
      <c r="E321" s="307">
        <f t="shared" ca="1" si="125"/>
        <v>-3.3151862068956213</v>
      </c>
      <c r="F321" s="304">
        <f t="shared" ca="1" si="126"/>
        <v>3.4159163285155274</v>
      </c>
      <c r="G321" s="306">
        <f t="shared" ca="1" si="127"/>
        <v>10.58799902028297</v>
      </c>
      <c r="H321" s="307">
        <f t="shared" ca="1" si="128"/>
        <v>-84.494717181521892</v>
      </c>
      <c r="I321" s="304">
        <f t="shared" ca="1" si="129"/>
        <v>85.155522162916029</v>
      </c>
      <c r="J321" s="306">
        <f t="shared" ca="1" si="130"/>
        <v>535.31796209374261</v>
      </c>
      <c r="K321" s="307">
        <f t="shared" ca="1" si="131"/>
        <v>599.53693595253185</v>
      </c>
      <c r="L321" s="304">
        <f t="shared" ca="1" si="116"/>
        <v>803.7473845130371</v>
      </c>
      <c r="M321" s="306">
        <f t="shared" ca="1" si="132"/>
        <v>-1.4461365091851657</v>
      </c>
      <c r="N321" s="304">
        <f t="shared" ca="1" si="133"/>
        <v>-82.857518576091806</v>
      </c>
      <c r="P321" s="310">
        <f t="shared" ca="1" si="134"/>
        <v>23</v>
      </c>
      <c r="Q321" s="304">
        <f t="shared" ca="1" si="135"/>
        <v>0</v>
      </c>
      <c r="R321" s="306">
        <f t="shared" ca="1" si="136"/>
        <v>0</v>
      </c>
      <c r="S321" s="307">
        <f t="shared" ca="1" si="137"/>
        <v>2.5949999999999998</v>
      </c>
      <c r="T321" s="304">
        <f t="shared" ca="1" si="117"/>
        <v>25.456949999999999</v>
      </c>
      <c r="U321" s="311">
        <f t="shared" ca="1" si="118"/>
        <v>0</v>
      </c>
      <c r="V321" s="306">
        <f t="shared" ca="1" si="119"/>
        <v>1.1536942469798881</v>
      </c>
      <c r="W321" s="304">
        <f t="shared" ca="1" si="120"/>
        <v>17.131256949476601</v>
      </c>
      <c r="Y321" s="314" t="str">
        <f t="shared" ca="1" si="138"/>
        <v/>
      </c>
      <c r="Z321" s="315" t="str">
        <f t="shared" ca="1" si="139"/>
        <v/>
      </c>
      <c r="AA321" s="316" t="str">
        <f t="shared" ca="1" si="140"/>
        <v/>
      </c>
      <c r="AC321" s="310" t="e">
        <f t="shared" ca="1" si="141"/>
        <v>#N/A</v>
      </c>
      <c r="AD321" s="323" t="e">
        <f t="shared" ca="1" si="142"/>
        <v>#N/A</v>
      </c>
      <c r="AE321" s="324" t="e">
        <f t="shared" ca="1" si="121"/>
        <v>#N/A</v>
      </c>
      <c r="AG321" s="306">
        <f t="shared" ca="1" si="143"/>
        <v>3.1852939473273167</v>
      </c>
      <c r="AH321" s="304">
        <f t="shared" ca="1" si="144"/>
        <v>-6.5468031117582051</v>
      </c>
    </row>
    <row r="322" spans="1:34" x14ac:dyDescent="0.2">
      <c r="A322" s="347">
        <f t="shared" ca="1" si="122"/>
        <v>0.1</v>
      </c>
      <c r="B322" s="304">
        <f t="shared" ca="1" si="123"/>
        <v>26.000000000000078</v>
      </c>
      <c r="D322" s="306">
        <f t="shared" ca="1" si="124"/>
        <v>-0.82082947490564284</v>
      </c>
      <c r="E322" s="307">
        <f t="shared" ca="1" si="125"/>
        <v>-3.2595881418625421</v>
      </c>
      <c r="F322" s="304">
        <f t="shared" ca="1" si="126"/>
        <v>3.3613503062675232</v>
      </c>
      <c r="G322" s="306">
        <f t="shared" ca="1" si="127"/>
        <v>10.505916072792406</v>
      </c>
      <c r="H322" s="307">
        <f t="shared" ca="1" si="128"/>
        <v>-84.820675995708143</v>
      </c>
      <c r="I322" s="304">
        <f t="shared" ca="1" si="129"/>
        <v>85.468832616910461</v>
      </c>
      <c r="J322" s="306">
        <f t="shared" ca="1" si="130"/>
        <v>536.37265784839633</v>
      </c>
      <c r="K322" s="307">
        <f t="shared" ca="1" si="131"/>
        <v>591.07116629367033</v>
      </c>
      <c r="L322" s="304">
        <f t="shared" ca="1" si="116"/>
        <v>798.16085578729837</v>
      </c>
      <c r="M322" s="306">
        <f t="shared" ca="1" si="132"/>
        <v>-1.4475636356464869</v>
      </c>
      <c r="N322" s="304">
        <f t="shared" ca="1" si="133"/>
        <v>-82.939286899156954</v>
      </c>
      <c r="P322" s="310">
        <f t="shared" ca="1" si="134"/>
        <v>23</v>
      </c>
      <c r="Q322" s="304">
        <f t="shared" ca="1" si="135"/>
        <v>0</v>
      </c>
      <c r="R322" s="306">
        <f t="shared" ca="1" si="136"/>
        <v>0</v>
      </c>
      <c r="S322" s="307">
        <f t="shared" ca="1" si="137"/>
        <v>2.5949999999999998</v>
      </c>
      <c r="T322" s="304">
        <f t="shared" ca="1" si="117"/>
        <v>25.456949999999999</v>
      </c>
      <c r="U322" s="311">
        <f t="shared" ca="1" si="118"/>
        <v>0</v>
      </c>
      <c r="V322" s="306">
        <f t="shared" ca="1" si="119"/>
        <v>1.1546722183258742</v>
      </c>
      <c r="W322" s="304">
        <f t="shared" ca="1" si="120"/>
        <v>17.272179011584043</v>
      </c>
      <c r="Y322" s="314" t="str">
        <f t="shared" ca="1" si="138"/>
        <v/>
      </c>
      <c r="Z322" s="315" t="str">
        <f t="shared" ca="1" si="139"/>
        <v/>
      </c>
      <c r="AA322" s="316" t="str">
        <f t="shared" ca="1" si="140"/>
        <v/>
      </c>
      <c r="AC322" s="310">
        <f t="shared" ca="1" si="141"/>
        <v>26.000000000000078</v>
      </c>
      <c r="AD322" s="323">
        <f t="shared" ca="1" si="142"/>
        <v>536.37265784839633</v>
      </c>
      <c r="AE322" s="324" t="e">
        <f t="shared" ca="1" si="121"/>
        <v>#N/A</v>
      </c>
      <c r="AG322" s="306">
        <f t="shared" ca="1" si="143"/>
        <v>3.1322341725355916</v>
      </c>
      <c r="AH322" s="304">
        <f t="shared" ca="1" si="144"/>
        <v>-6.601640442958228</v>
      </c>
    </row>
    <row r="323" spans="1:34" x14ac:dyDescent="0.2">
      <c r="A323" s="347">
        <f t="shared" ca="1" si="122"/>
        <v>0.1</v>
      </c>
      <c r="B323" s="304">
        <f t="shared" ca="1" si="123"/>
        <v>26.10000000000008</v>
      </c>
      <c r="D323" s="306">
        <f t="shared" ca="1" si="124"/>
        <v>-0.81815562989082613</v>
      </c>
      <c r="E323" s="307">
        <f t="shared" ca="1" si="125"/>
        <v>-3.2045299851810922</v>
      </c>
      <c r="F323" s="304">
        <f t="shared" ca="1" si="126"/>
        <v>3.3073238517941945</v>
      </c>
      <c r="G323" s="306">
        <f t="shared" ca="1" si="127"/>
        <v>10.424100509803324</v>
      </c>
      <c r="H323" s="307">
        <f t="shared" ca="1" si="128"/>
        <v>-85.14112899422625</v>
      </c>
      <c r="I323" s="304">
        <f t="shared" ca="1" si="129"/>
        <v>85.776883353558347</v>
      </c>
      <c r="J323" s="306">
        <f t="shared" ca="1" si="130"/>
        <v>537.41915867752607</v>
      </c>
      <c r="K323" s="307">
        <f t="shared" ca="1" si="131"/>
        <v>582.5730760441736</v>
      </c>
      <c r="L323" s="304">
        <f t="shared" ca="1" si="116"/>
        <v>792.59746469770539</v>
      </c>
      <c r="M323" s="306">
        <f t="shared" ca="1" si="132"/>
        <v>-1.4489694405149025</v>
      </c>
      <c r="N323" s="304">
        <f t="shared" ca="1" si="133"/>
        <v>-83.019833584936109</v>
      </c>
      <c r="P323" s="310">
        <f t="shared" ca="1" si="134"/>
        <v>23</v>
      </c>
      <c r="Q323" s="304">
        <f t="shared" ca="1" si="135"/>
        <v>0</v>
      </c>
      <c r="R323" s="306">
        <f t="shared" ca="1" si="136"/>
        <v>0</v>
      </c>
      <c r="S323" s="307">
        <f t="shared" ca="1" si="137"/>
        <v>2.5949999999999998</v>
      </c>
      <c r="T323" s="304">
        <f t="shared" ca="1" si="117"/>
        <v>25.456949999999999</v>
      </c>
      <c r="U323" s="311">
        <f t="shared" ca="1" si="118"/>
        <v>0</v>
      </c>
      <c r="V323" s="306">
        <f t="shared" ca="1" si="119"/>
        <v>1.1556547324751421</v>
      </c>
      <c r="W323" s="304">
        <f t="shared" ca="1" si="120"/>
        <v>17.411712851375039</v>
      </c>
      <c r="Y323" s="314" t="str">
        <f t="shared" ca="1" si="138"/>
        <v/>
      </c>
      <c r="Z323" s="315" t="str">
        <f t="shared" ca="1" si="139"/>
        <v/>
      </c>
      <c r="AA323" s="316" t="str">
        <f t="shared" ca="1" si="140"/>
        <v/>
      </c>
      <c r="AC323" s="310" t="e">
        <f t="shared" ca="1" si="141"/>
        <v>#N/A</v>
      </c>
      <c r="AD323" s="323" t="e">
        <f t="shared" ca="1" si="142"/>
        <v>#N/A</v>
      </c>
      <c r="AE323" s="324" t="e">
        <f t="shared" ca="1" si="121"/>
        <v>#N/A</v>
      </c>
      <c r="AG323" s="306">
        <f t="shared" ca="1" si="143"/>
        <v>3.0796597677804565</v>
      </c>
      <c r="AH323" s="304">
        <f t="shared" ca="1" si="144"/>
        <v>-6.655945669203871</v>
      </c>
    </row>
    <row r="324" spans="1:34" x14ac:dyDescent="0.2">
      <c r="A324" s="347">
        <f t="shared" ca="1" si="122"/>
        <v>0.1</v>
      </c>
      <c r="B324" s="304">
        <f t="shared" ca="1" si="123"/>
        <v>26.200000000000081</v>
      </c>
      <c r="D324" s="306">
        <f t="shared" ca="1" si="124"/>
        <v>-0.81540329473824957</v>
      </c>
      <c r="E324" s="307">
        <f t="shared" ca="1" si="125"/>
        <v>-3.1500146099573394</v>
      </c>
      <c r="F324" s="304">
        <f t="shared" ca="1" si="126"/>
        <v>3.2538399739407411</v>
      </c>
      <c r="G324" s="306">
        <f t="shared" ca="1" si="127"/>
        <v>10.3425601803295</v>
      </c>
      <c r="H324" s="307">
        <f t="shared" ca="1" si="128"/>
        <v>-85.456130455221981</v>
      </c>
      <c r="I324" s="304">
        <f t="shared" ca="1" si="129"/>
        <v>86.079723416514625</v>
      </c>
      <c r="J324" s="306">
        <f t="shared" ca="1" si="130"/>
        <v>538.45749171203272</v>
      </c>
      <c r="K324" s="307">
        <f t="shared" ca="1" si="131"/>
        <v>574.04321307170119</v>
      </c>
      <c r="L324" s="304">
        <f t="shared" ref="L324:L387" ca="1" si="145">SQRT(pos_x^2+pos_z^2)</f>
        <v>787.05913428058011</v>
      </c>
      <c r="M324" s="306">
        <f t="shared" ca="1" si="132"/>
        <v>-1.4503543985400955</v>
      </c>
      <c r="N324" s="304">
        <f t="shared" ca="1" si="133"/>
        <v>-83.099185834582443</v>
      </c>
      <c r="P324" s="310">
        <f t="shared" ca="1" si="134"/>
        <v>23</v>
      </c>
      <c r="Q324" s="304">
        <f t="shared" ca="1" si="135"/>
        <v>0</v>
      </c>
      <c r="R324" s="306">
        <f t="shared" ca="1" si="136"/>
        <v>0</v>
      </c>
      <c r="S324" s="307">
        <f t="shared" ca="1" si="137"/>
        <v>2.5949999999999998</v>
      </c>
      <c r="T324" s="304">
        <f t="shared" ref="T324:T387" ca="1" si="146">m*g</f>
        <v>25.456949999999999</v>
      </c>
      <c r="U324" s="311">
        <f t="shared" ref="U324:U387" ca="1" si="147">IF(pos_xz&lt;L_rampe,Poids*COS(Beta),0)</f>
        <v>0</v>
      </c>
      <c r="V324" s="306">
        <f t="shared" ref="V324:V387" ca="1" si="148">Rho_moyen*(20000-Alt_rampe-pos_z)/(20000+Alt_rampe+pos_z)</f>
        <v>1.1566417362663985</v>
      </c>
      <c r="W324" s="304">
        <f t="shared" ref="W324:W387" ca="1" si="149">1/2*Rho*Sref*Cx*vit_xz^2</f>
        <v>17.549851845514013</v>
      </c>
      <c r="Y324" s="314" t="str">
        <f t="shared" ca="1" si="138"/>
        <v/>
      </c>
      <c r="Z324" s="315" t="str">
        <f t="shared" ca="1" si="139"/>
        <v/>
      </c>
      <c r="AA324" s="316" t="str">
        <f t="shared" ca="1" si="140"/>
        <v/>
      </c>
      <c r="AC324" s="310" t="e">
        <f t="shared" ca="1" si="141"/>
        <v>#N/A</v>
      </c>
      <c r="AD324" s="323" t="e">
        <f t="shared" ca="1" si="142"/>
        <v>#N/A</v>
      </c>
      <c r="AE324" s="324" t="e">
        <f t="shared" ref="AE324:AE387" ca="1" si="150">IF(t&lt;T_para, pos_z, NA())</f>
        <v>#N/A</v>
      </c>
      <c r="AG324" s="306">
        <f t="shared" ca="1" si="143"/>
        <v>3.0275750783491899</v>
      </c>
      <c r="AH324" s="304">
        <f t="shared" ca="1" si="144"/>
        <v>-6.7097159350192834</v>
      </c>
    </row>
    <row r="325" spans="1:34" x14ac:dyDescent="0.2">
      <c r="A325" s="347">
        <f t="shared" ref="A325:A388" ca="1" si="151">IF(B324+0.01&lt;=T_ini+ROUNDUP(Temps_fin_propu,0), 0.01, IF(K324&gt;0, 0.1, 0.0001))</f>
        <v>0.1</v>
      </c>
      <c r="B325" s="304">
        <f t="shared" ref="B325:B388" ca="1" si="152">B324+pas</f>
        <v>26.300000000000082</v>
      </c>
      <c r="D325" s="306">
        <f t="shared" ref="D325:D388" ca="1" si="153">IF(AND(L324&lt;L_rampe,Poussee&lt;Poids*SIN(M324)),0,(-W324+Poussee)/m*COS(M324)-U324/m*SIN(M324))</f>
        <v>-0.81257468108122344</v>
      </c>
      <c r="E325" s="307">
        <f t="shared" ref="E325:E388" ca="1" si="154">IF(AND(L324&lt;L_rampe,Poussee&lt;Poids*SIN(M324)),0,(-W324+Poussee)/m*SIN(M324)+U324/m*COS(M324)-Poids/m)</f>
        <v>-3.0960445827374281</v>
      </c>
      <c r="F325" s="304">
        <f t="shared" ref="F325:F388" ca="1" si="155">SQRT(acc_x^2+acc_z^2)</f>
        <v>3.2009013840841813</v>
      </c>
      <c r="G325" s="306">
        <f t="shared" ref="G325:G388" ca="1" si="156">G324+acc_x*pas</f>
        <v>10.261302712221378</v>
      </c>
      <c r="H325" s="307">
        <f t="shared" ref="H325:H388" ca="1" si="157">H324+acc_z*pas</f>
        <v>-85.76573491349572</v>
      </c>
      <c r="I325" s="304">
        <f t="shared" ref="I325:I388" ca="1" si="158">SQRT(vit_x^2+vit_z^2)</f>
        <v>86.377402245054</v>
      </c>
      <c r="J325" s="306">
        <f t="shared" ref="J325:J388" ca="1" si="159">J324+0.5*(vit_x+G324)*pas*(K324&gt;=0)</f>
        <v>539.48768485666028</v>
      </c>
      <c r="K325" s="307">
        <f t="shared" ref="K325:K388" ca="1" si="160">K324+0.5*(vit_z+H324)*pas</f>
        <v>565.48211980326528</v>
      </c>
      <c r="L325" s="304">
        <f t="shared" ca="1" si="145"/>
        <v>781.54781678998609</v>
      </c>
      <c r="M325" s="306">
        <f t="shared" ref="M325:M388" ca="1" si="161">IF(AND(L324&gt;L_rampe,G325&gt;0),ATAN2(G325,H325),$M$4)</f>
        <v>-1.4517189697279151</v>
      </c>
      <c r="N325" s="304">
        <f t="shared" ref="N325:N388" ca="1" si="162">DEGREES(Beta)</f>
        <v>-83.17737000448966</v>
      </c>
      <c r="P325" s="310">
        <f t="shared" ref="P325:P388" ca="1" si="163">MATCH(t-pas/2-T_ini,CdP_t)</f>
        <v>23</v>
      </c>
      <c r="Q325" s="304">
        <f t="shared" ref="Q325:Q388" ca="1" si="164">(INDEX(CdP,2,i_P+1)-INDEX(CdP,2,i_P+0))/(INDEX(CdP,1,i_P+1)-INDEX(CdP,1,i_P+0))*(t-pas/2-T_ini-INDEX(CdP,1,i_P+0))+INDEX(CdP,2,i_P+0)</f>
        <v>0</v>
      </c>
      <c r="R325" s="306">
        <f t="shared" ref="R325:R388" ca="1" si="165">Poussee/(g*ISP)</f>
        <v>0</v>
      </c>
      <c r="S325" s="307">
        <f t="shared" ref="S325:S388" ca="1" si="166">S324-Débit*pas</f>
        <v>2.5949999999999998</v>
      </c>
      <c r="T325" s="304">
        <f t="shared" ca="1" si="146"/>
        <v>25.456949999999999</v>
      </c>
      <c r="U325" s="311">
        <f t="shared" ca="1" si="147"/>
        <v>0</v>
      </c>
      <c r="V325" s="306">
        <f t="shared" ca="1" si="148"/>
        <v>1.1576331770173325</v>
      </c>
      <c r="W325" s="304">
        <f t="shared" ca="1" si="149"/>
        <v>17.68659013812622</v>
      </c>
      <c r="Y325" s="314" t="str">
        <f t="shared" ref="Y325:Y388" ca="1" si="167">IF(AND(pos_z&lt;=0,K324&gt;0),"Impact balistique","") &amp; IF(AND(H326&lt;0,vit_z&gt;=0),"Apogée","") &amp; IF(AND(Poussee=0,Q324&gt;0),"Fin de propulsion","") &amp; IF(AND(L326&gt;L_rampe,pos_xz&lt;=L_rampe),"Sortie de rampe","")</f>
        <v/>
      </c>
      <c r="Z325" s="315" t="str">
        <f t="shared" ref="Z325:Z388" ca="1" si="168">IF(ABS(t-T_para)&lt;pas/2,"Para","")</f>
        <v/>
      </c>
      <c r="AA325" s="316" t="str">
        <f t="shared" ref="AA325:AA388" ca="1" si="169">IF(ABS(t-T_satellite)&lt;pas/2,"Satellite","")</f>
        <v/>
      </c>
      <c r="AC325" s="310" t="e">
        <f t="shared" ref="AC325:AC388" ca="1" si="170">IF(ABS(t-ROUND(t,0))&lt;0.001,t,NA())</f>
        <v>#N/A</v>
      </c>
      <c r="AD325" s="323" t="e">
        <f t="shared" ref="AD325:AD388" ca="1" si="171">IF(ABS(t-ROUND(t,0))&lt;0.001,pos_x,NA())</f>
        <v>#N/A</v>
      </c>
      <c r="AE325" s="324" t="e">
        <f t="shared" ca="1" si="150"/>
        <v>#N/A</v>
      </c>
      <c r="AG325" s="306">
        <f t="shared" ref="AG325:AG388" ca="1" si="172">IF(AND(L324&lt;L_rampe,Poussee&lt;Poids*SIN(M324)),0,(-W324+Poussee)/m-Poids*SIN(M324)/m)</f>
        <v>2.975984088354438</v>
      </c>
      <c r="AH325" s="304">
        <f t="shared" ref="AH325:AH388" ca="1" si="173">IF(AND(L324&lt;L_rampe,Poussee&lt;Poids*SIN(M324)), g*SIN(M324), (-W324+Poussee)/m)</f>
        <v>-6.7629486880593506</v>
      </c>
    </row>
    <row r="326" spans="1:34" x14ac:dyDescent="0.2">
      <c r="A326" s="347">
        <f t="shared" ca="1" si="151"/>
        <v>0.1</v>
      </c>
      <c r="B326" s="304">
        <f t="shared" ca="1" si="152"/>
        <v>26.400000000000084</v>
      </c>
      <c r="D326" s="306">
        <f t="shared" ca="1" si="153"/>
        <v>-0.80967198079408265</v>
      </c>
      <c r="E326" s="307">
        <f t="shared" ca="1" si="154"/>
        <v>-3.0426221709682473</v>
      </c>
      <c r="F326" s="304">
        <f t="shared" ca="1" si="155"/>
        <v>3.1485105036748</v>
      </c>
      <c r="G326" s="306">
        <f t="shared" ca="1" si="156"/>
        <v>10.180335514141969</v>
      </c>
      <c r="H326" s="307">
        <f t="shared" ca="1" si="157"/>
        <v>-86.06999713059254</v>
      </c>
      <c r="I326" s="304">
        <f t="shared" ca="1" si="158"/>
        <v>86.669969639089572</v>
      </c>
      <c r="J326" s="306">
        <f t="shared" ca="1" si="159"/>
        <v>540.50976676797848</v>
      </c>
      <c r="K326" s="307">
        <f t="shared" ca="1" si="160"/>
        <v>556.89033320106091</v>
      </c>
      <c r="L326" s="304">
        <f t="shared" ca="1" si="145"/>
        <v>776.06549413329992</v>
      </c>
      <c r="M326" s="306">
        <f t="shared" ca="1" si="161"/>
        <v>-1.4530635999080475</v>
      </c>
      <c r="N326" s="304">
        <f t="shared" ca="1" si="162"/>
        <v>-83.25441163881716</v>
      </c>
      <c r="P326" s="310">
        <f t="shared" ca="1" si="163"/>
        <v>23</v>
      </c>
      <c r="Q326" s="304">
        <f t="shared" ca="1" si="164"/>
        <v>0</v>
      </c>
      <c r="R326" s="306">
        <f t="shared" ca="1" si="165"/>
        <v>0</v>
      </c>
      <c r="S326" s="307">
        <f t="shared" ca="1" si="166"/>
        <v>2.5949999999999998</v>
      </c>
      <c r="T326" s="304">
        <f t="shared" ca="1" si="146"/>
        <v>25.456949999999999</v>
      </c>
      <c r="U326" s="311">
        <f t="shared" ca="1" si="147"/>
        <v>0</v>
      </c>
      <c r="V326" s="306">
        <f t="shared" ca="1" si="148"/>
        <v>1.1586290025277313</v>
      </c>
      <c r="W326" s="304">
        <f t="shared" ca="1" si="149"/>
        <v>17.821922621618167</v>
      </c>
      <c r="Y326" s="314" t="str">
        <f t="shared" ca="1" si="167"/>
        <v/>
      </c>
      <c r="Z326" s="315" t="str">
        <f t="shared" ca="1" si="168"/>
        <v/>
      </c>
      <c r="AA326" s="316" t="str">
        <f t="shared" ca="1" si="169"/>
        <v/>
      </c>
      <c r="AC326" s="310" t="e">
        <f t="shared" ca="1" si="170"/>
        <v>#N/A</v>
      </c>
      <c r="AD326" s="323" t="e">
        <f t="shared" ca="1" si="171"/>
        <v>#N/A</v>
      </c>
      <c r="AE326" s="324" t="e">
        <f t="shared" ca="1" si="150"/>
        <v>#N/A</v>
      </c>
      <c r="AG326" s="306">
        <f t="shared" ca="1" si="172"/>
        <v>2.924890430808504</v>
      </c>
      <c r="AH326" s="304">
        <f t="shared" ca="1" si="173"/>
        <v>-6.8156416717249408</v>
      </c>
    </row>
    <row r="327" spans="1:34" x14ac:dyDescent="0.2">
      <c r="A327" s="347">
        <f t="shared" ca="1" si="151"/>
        <v>0.1</v>
      </c>
      <c r="B327" s="304">
        <f t="shared" ca="1" si="152"/>
        <v>26.500000000000085</v>
      </c>
      <c r="D327" s="306">
        <f t="shared" ca="1" si="153"/>
        <v>-0.80669736513941126</v>
      </c>
      <c r="E327" s="307">
        <f t="shared" ca="1" si="154"/>
        <v>-2.9897493504655221</v>
      </c>
      <c r="F327" s="304">
        <f t="shared" ca="1" si="155"/>
        <v>3.0966694717925387</v>
      </c>
      <c r="G327" s="306">
        <f t="shared" ca="1" si="156"/>
        <v>10.099665777628028</v>
      </c>
      <c r="H327" s="307">
        <f t="shared" ca="1" si="157"/>
        <v>-86.368972065639099</v>
      </c>
      <c r="I327" s="304">
        <f t="shared" ca="1" si="158"/>
        <v>86.957475725178099</v>
      </c>
      <c r="J327" s="306">
        <f t="shared" ca="1" si="159"/>
        <v>541.52376683256693</v>
      </c>
      <c r="K327" s="307">
        <f t="shared" ca="1" si="160"/>
        <v>548.26838474124929</v>
      </c>
      <c r="L327" s="304">
        <f t="shared" ca="1" si="145"/>
        <v>770.61417827036564</v>
      </c>
      <c r="M327" s="306">
        <f t="shared" ca="1" si="161"/>
        <v>-1.45438872127605</v>
      </c>
      <c r="N327" s="304">
        <f t="shared" ca="1" si="162"/>
        <v>-83.330335500546298</v>
      </c>
      <c r="P327" s="310">
        <f t="shared" ca="1" si="163"/>
        <v>23</v>
      </c>
      <c r="Q327" s="304">
        <f t="shared" ca="1" si="164"/>
        <v>0</v>
      </c>
      <c r="R327" s="306">
        <f t="shared" ca="1" si="165"/>
        <v>0</v>
      </c>
      <c r="S327" s="307">
        <f t="shared" ca="1" si="166"/>
        <v>2.5949999999999998</v>
      </c>
      <c r="T327" s="304">
        <f t="shared" ca="1" si="146"/>
        <v>25.456949999999999</v>
      </c>
      <c r="U327" s="311">
        <f t="shared" ca="1" si="147"/>
        <v>0</v>
      </c>
      <c r="V327" s="306">
        <f t="shared" ca="1" si="148"/>
        <v>1.1596291610823259</v>
      </c>
      <c r="W327" s="304">
        <f t="shared" ca="1" si="149"/>
        <v>17.955844917504418</v>
      </c>
      <c r="Y327" s="314" t="str">
        <f t="shared" ca="1" si="167"/>
        <v/>
      </c>
      <c r="Z327" s="315" t="str">
        <f t="shared" ca="1" si="168"/>
        <v/>
      </c>
      <c r="AA327" s="316" t="str">
        <f t="shared" ca="1" si="169"/>
        <v/>
      </c>
      <c r="AC327" s="310" t="e">
        <f t="shared" ca="1" si="170"/>
        <v>#N/A</v>
      </c>
      <c r="AD327" s="323" t="e">
        <f t="shared" ca="1" si="171"/>
        <v>#N/A</v>
      </c>
      <c r="AE327" s="324" t="e">
        <f t="shared" ca="1" si="150"/>
        <v>#N/A</v>
      </c>
      <c r="AG327" s="306">
        <f t="shared" ca="1" si="172"/>
        <v>2.8742973975602943</v>
      </c>
      <c r="AH327" s="304">
        <f t="shared" ca="1" si="173"/>
        <v>-6.8677929177719346</v>
      </c>
    </row>
    <row r="328" spans="1:34" x14ac:dyDescent="0.2">
      <c r="A328" s="347">
        <f t="shared" ca="1" si="151"/>
        <v>0.1</v>
      </c>
      <c r="B328" s="304">
        <f t="shared" ca="1" si="152"/>
        <v>26.600000000000087</v>
      </c>
      <c r="D328" s="306">
        <f t="shared" ca="1" si="153"/>
        <v>-0.80365298396486606</v>
      </c>
      <c r="E328" s="307">
        <f t="shared" ca="1" si="154"/>
        <v>-2.9374278128805056</v>
      </c>
      <c r="F328" s="304">
        <f t="shared" ca="1" si="155"/>
        <v>3.0453801527099347</v>
      </c>
      <c r="G328" s="306">
        <f t="shared" ca="1" si="156"/>
        <v>10.019300479231541</v>
      </c>
      <c r="H328" s="307">
        <f t="shared" ca="1" si="157"/>
        <v>-86.662714846927145</v>
      </c>
      <c r="I328" s="304">
        <f t="shared" ca="1" si="158"/>
        <v>87.239970923498916</v>
      </c>
      <c r="J328" s="306">
        <f t="shared" ca="1" si="159"/>
        <v>542.52971514540991</v>
      </c>
      <c r="K328" s="307">
        <f t="shared" ca="1" si="160"/>
        <v>539.616800395621</v>
      </c>
      <c r="L328" s="304">
        <f t="shared" ca="1" si="145"/>
        <v>765.1959115709958</v>
      </c>
      <c r="M328" s="306">
        <f t="shared" ca="1" si="161"/>
        <v>-1.4556947529110715</v>
      </c>
      <c r="N328" s="304">
        <f t="shared" ca="1" si="162"/>
        <v>-83.405165601143608</v>
      </c>
      <c r="P328" s="310">
        <f t="shared" ca="1" si="163"/>
        <v>23</v>
      </c>
      <c r="Q328" s="304">
        <f t="shared" ca="1" si="164"/>
        <v>0</v>
      </c>
      <c r="R328" s="306">
        <f t="shared" ca="1" si="165"/>
        <v>0</v>
      </c>
      <c r="S328" s="307">
        <f t="shared" ca="1" si="166"/>
        <v>2.5949999999999998</v>
      </c>
      <c r="T328" s="304">
        <f t="shared" ca="1" si="146"/>
        <v>25.456949999999999</v>
      </c>
      <c r="U328" s="311">
        <f t="shared" ca="1" si="147"/>
        <v>0</v>
      </c>
      <c r="V328" s="306">
        <f t="shared" ca="1" si="148"/>
        <v>1.1606336014533725</v>
      </c>
      <c r="W328" s="304">
        <f t="shared" ca="1" si="149"/>
        <v>18.088353357262672</v>
      </c>
      <c r="Y328" s="314" t="str">
        <f t="shared" ca="1" si="167"/>
        <v/>
      </c>
      <c r="Z328" s="315" t="str">
        <f t="shared" ca="1" si="168"/>
        <v/>
      </c>
      <c r="AA328" s="316" t="str">
        <f t="shared" ca="1" si="169"/>
        <v/>
      </c>
      <c r="AC328" s="310" t="e">
        <f t="shared" ca="1" si="170"/>
        <v>#N/A</v>
      </c>
      <c r="AD328" s="323" t="e">
        <f t="shared" ca="1" si="171"/>
        <v>#N/A</v>
      </c>
      <c r="AE328" s="324" t="e">
        <f t="shared" ca="1" si="150"/>
        <v>#N/A</v>
      </c>
      <c r="AG328" s="306">
        <f t="shared" ca="1" si="172"/>
        <v>2.8242079490948351</v>
      </c>
      <c r="AH328" s="304">
        <f t="shared" ca="1" si="173"/>
        <v>-6.9194007389227048</v>
      </c>
    </row>
    <row r="329" spans="1:34" x14ac:dyDescent="0.2">
      <c r="A329" s="347">
        <f t="shared" ca="1" si="151"/>
        <v>0.1</v>
      </c>
      <c r="B329" s="304">
        <f t="shared" ca="1" si="152"/>
        <v>26.700000000000088</v>
      </c>
      <c r="D329" s="306">
        <f t="shared" ca="1" si="153"/>
        <v>-0.80054096494848859</v>
      </c>
      <c r="E329" s="307">
        <f t="shared" ca="1" si="154"/>
        <v>-2.8856589731565974</v>
      </c>
      <c r="F329" s="304">
        <f t="shared" ca="1" si="155"/>
        <v>2.9946441434534163</v>
      </c>
      <c r="G329" s="306">
        <f t="shared" ca="1" si="156"/>
        <v>9.9392463827366928</v>
      </c>
      <c r="H329" s="307">
        <f t="shared" ca="1" si="157"/>
        <v>-86.951280744242808</v>
      </c>
      <c r="I329" s="304">
        <f t="shared" ca="1" si="158"/>
        <v>87.517505915793066</v>
      </c>
      <c r="J329" s="306">
        <f t="shared" ca="1" si="159"/>
        <v>543.52764248850838</v>
      </c>
      <c r="K329" s="307">
        <f t="shared" ca="1" si="160"/>
        <v>530.9361006160625</v>
      </c>
      <c r="L329" s="304">
        <f t="shared" ca="1" si="145"/>
        <v>759.81276712523425</v>
      </c>
      <c r="M329" s="306">
        <f t="shared" ca="1" si="161"/>
        <v>-1.45698210127051</v>
      </c>
      <c r="N329" s="304">
        <f t="shared" ca="1" si="162"/>
        <v>-83.478925228902526</v>
      </c>
      <c r="P329" s="310">
        <f t="shared" ca="1" si="163"/>
        <v>23</v>
      </c>
      <c r="Q329" s="304">
        <f t="shared" ca="1" si="164"/>
        <v>0</v>
      </c>
      <c r="R329" s="306">
        <f t="shared" ca="1" si="165"/>
        <v>0</v>
      </c>
      <c r="S329" s="307">
        <f t="shared" ca="1" si="166"/>
        <v>2.5949999999999998</v>
      </c>
      <c r="T329" s="304">
        <f t="shared" ca="1" si="146"/>
        <v>25.456949999999999</v>
      </c>
      <c r="U329" s="311">
        <f t="shared" ca="1" si="147"/>
        <v>0</v>
      </c>
      <c r="V329" s="306">
        <f t="shared" ca="1" si="148"/>
        <v>1.1616422729029721</v>
      </c>
      <c r="W329" s="304">
        <f t="shared" ca="1" si="149"/>
        <v>18.219444963237812</v>
      </c>
      <c r="Y329" s="314" t="str">
        <f t="shared" ca="1" si="167"/>
        <v/>
      </c>
      <c r="Z329" s="315" t="str">
        <f t="shared" ca="1" si="168"/>
        <v/>
      </c>
      <c r="AA329" s="316" t="str">
        <f t="shared" ca="1" si="169"/>
        <v/>
      </c>
      <c r="AC329" s="310" t="e">
        <f t="shared" ca="1" si="170"/>
        <v>#N/A</v>
      </c>
      <c r="AD329" s="323" t="e">
        <f t="shared" ca="1" si="171"/>
        <v>#N/A</v>
      </c>
      <c r="AE329" s="324" t="e">
        <f t="shared" ca="1" si="150"/>
        <v>#N/A</v>
      </c>
      <c r="AG329" s="306">
        <f t="shared" ca="1" si="172"/>
        <v>2.7746247241950108</v>
      </c>
      <c r="AH329" s="304">
        <f t="shared" ca="1" si="173"/>
        <v>-6.9704637214885068</v>
      </c>
    </row>
    <row r="330" spans="1:34" x14ac:dyDescent="0.2">
      <c r="A330" s="347">
        <f t="shared" ca="1" si="151"/>
        <v>0.1</v>
      </c>
      <c r="B330" s="304">
        <f t="shared" ca="1" si="152"/>
        <v>26.80000000000009</v>
      </c>
      <c r="D330" s="306">
        <f t="shared" ca="1" si="153"/>
        <v>-0.79736341289130852</v>
      </c>
      <c r="E330" s="307">
        <f t="shared" ca="1" si="154"/>
        <v>-2.8344439769678127</v>
      </c>
      <c r="F330" s="304">
        <f t="shared" ca="1" si="155"/>
        <v>2.9444627813553335</v>
      </c>
      <c r="G330" s="306">
        <f t="shared" ca="1" si="156"/>
        <v>9.859510041447562</v>
      </c>
      <c r="H330" s="307">
        <f t="shared" ca="1" si="157"/>
        <v>-87.234725141939592</v>
      </c>
      <c r="I330" s="304">
        <f t="shared" ca="1" si="158"/>
        <v>87.790131614248949</v>
      </c>
      <c r="J330" s="306">
        <f t="shared" ca="1" si="159"/>
        <v>544.51758030971757</v>
      </c>
      <c r="K330" s="307">
        <f t="shared" ca="1" si="160"/>
        <v>522.22680032175333</v>
      </c>
      <c r="L330" s="304">
        <f t="shared" ca="1" si="145"/>
        <v>754.46684900043556</v>
      </c>
      <c r="M330" s="306">
        <f t="shared" ca="1" si="161"/>
        <v>-1.4582511606627837</v>
      </c>
      <c r="N330" s="304">
        <f t="shared" ca="1" si="162"/>
        <v>-83.551636976031247</v>
      </c>
      <c r="P330" s="310">
        <f t="shared" ca="1" si="163"/>
        <v>23</v>
      </c>
      <c r="Q330" s="304">
        <f t="shared" ca="1" si="164"/>
        <v>0</v>
      </c>
      <c r="R330" s="306">
        <f t="shared" ca="1" si="165"/>
        <v>0</v>
      </c>
      <c r="S330" s="307">
        <f t="shared" ca="1" si="166"/>
        <v>2.5949999999999998</v>
      </c>
      <c r="T330" s="304">
        <f t="shared" ca="1" si="146"/>
        <v>25.456949999999999</v>
      </c>
      <c r="U330" s="311">
        <f t="shared" ca="1" si="147"/>
        <v>0</v>
      </c>
      <c r="V330" s="306">
        <f t="shared" ca="1" si="148"/>
        <v>1.1626551251851367</v>
      </c>
      <c r="W330" s="304">
        <f t="shared" ca="1" si="149"/>
        <v>18.349117429614516</v>
      </c>
      <c r="Y330" s="314" t="str">
        <f t="shared" ca="1" si="167"/>
        <v/>
      </c>
      <c r="Z330" s="315" t="str">
        <f t="shared" ca="1" si="168"/>
        <v/>
      </c>
      <c r="AA330" s="316" t="str">
        <f t="shared" ca="1" si="169"/>
        <v/>
      </c>
      <c r="AC330" s="310" t="e">
        <f t="shared" ca="1" si="170"/>
        <v>#N/A</v>
      </c>
      <c r="AD330" s="323" t="e">
        <f t="shared" ca="1" si="171"/>
        <v>#N/A</v>
      </c>
      <c r="AE330" s="324" t="e">
        <f t="shared" ca="1" si="150"/>
        <v>#N/A</v>
      </c>
      <c r="AG330" s="306">
        <f t="shared" ca="1" si="172"/>
        <v>2.7255500494650766</v>
      </c>
      <c r="AH330" s="304">
        <f t="shared" ca="1" si="173"/>
        <v>-7.0209807180107182</v>
      </c>
    </row>
    <row r="331" spans="1:34" x14ac:dyDescent="0.2">
      <c r="A331" s="347">
        <f t="shared" ca="1" si="151"/>
        <v>0.1</v>
      </c>
      <c r="B331" s="304">
        <f t="shared" ca="1" si="152"/>
        <v>26.900000000000091</v>
      </c>
      <c r="D331" s="306">
        <f t="shared" ca="1" si="153"/>
        <v>-0.79412240905607612</v>
      </c>
      <c r="E331" s="307">
        <f t="shared" ca="1" si="154"/>
        <v>-2.7837837081313213</v>
      </c>
      <c r="F331" s="304">
        <f t="shared" ca="1" si="155"/>
        <v>2.8948371515894284</v>
      </c>
      <c r="G331" s="306">
        <f t="shared" ca="1" si="156"/>
        <v>9.7800978005419541</v>
      </c>
      <c r="H331" s="307">
        <f t="shared" ca="1" si="157"/>
        <v>-87.513103512752721</v>
      </c>
      <c r="I331" s="304">
        <f t="shared" ca="1" si="158"/>
        <v>88.057899131321193</v>
      </c>
      <c r="J331" s="306">
        <f t="shared" ca="1" si="159"/>
        <v>545.49956070181702</v>
      </c>
      <c r="K331" s="307">
        <f t="shared" ca="1" si="160"/>
        <v>513.4894088890187</v>
      </c>
      <c r="L331" s="304">
        <f t="shared" ca="1" si="145"/>
        <v>749.16029243885384</v>
      </c>
      <c r="M331" s="306">
        <f t="shared" ca="1" si="161"/>
        <v>-1.4595023136993279</v>
      </c>
      <c r="N331" s="304">
        <f t="shared" ca="1" si="162"/>
        <v>-83.623322764550196</v>
      </c>
      <c r="P331" s="310">
        <f t="shared" ca="1" si="163"/>
        <v>23</v>
      </c>
      <c r="Q331" s="304">
        <f t="shared" ca="1" si="164"/>
        <v>0</v>
      </c>
      <c r="R331" s="306">
        <f t="shared" ca="1" si="165"/>
        <v>0</v>
      </c>
      <c r="S331" s="307">
        <f t="shared" ca="1" si="166"/>
        <v>2.5949999999999998</v>
      </c>
      <c r="T331" s="304">
        <f t="shared" ca="1" si="146"/>
        <v>25.456949999999999</v>
      </c>
      <c r="U331" s="311">
        <f t="shared" ca="1" si="147"/>
        <v>0</v>
      </c>
      <c r="V331" s="306">
        <f t="shared" ca="1" si="148"/>
        <v>1.1636721085476103</v>
      </c>
      <c r="W331" s="304">
        <f t="shared" ca="1" si="149"/>
        <v>18.477369103477443</v>
      </c>
      <c r="Y331" s="314" t="str">
        <f t="shared" ca="1" si="167"/>
        <v/>
      </c>
      <c r="Z331" s="315" t="str">
        <f t="shared" ca="1" si="168"/>
        <v/>
      </c>
      <c r="AA331" s="316" t="str">
        <f t="shared" ca="1" si="169"/>
        <v/>
      </c>
      <c r="AC331" s="310" t="e">
        <f t="shared" ca="1" si="170"/>
        <v>#N/A</v>
      </c>
      <c r="AD331" s="323" t="e">
        <f t="shared" ca="1" si="171"/>
        <v>#N/A</v>
      </c>
      <c r="AE331" s="324" t="e">
        <f t="shared" ca="1" si="150"/>
        <v>#N/A</v>
      </c>
      <c r="AG331" s="306">
        <f t="shared" ca="1" si="172"/>
        <v>2.6769859487153802</v>
      </c>
      <c r="AH331" s="304">
        <f t="shared" ca="1" si="173"/>
        <v>-7.070950839928523</v>
      </c>
    </row>
    <row r="332" spans="1:34" x14ac:dyDescent="0.2">
      <c r="A332" s="347">
        <f t="shared" ca="1" si="151"/>
        <v>0.1</v>
      </c>
      <c r="B332" s="304">
        <f t="shared" ca="1" si="152"/>
        <v>27.000000000000092</v>
      </c>
      <c r="D332" s="306">
        <f t="shared" ca="1" si="153"/>
        <v>-0.79082001055092732</v>
      </c>
      <c r="E332" s="307">
        <f t="shared" ca="1" si="154"/>
        <v>-2.7336787959866342</v>
      </c>
      <c r="F332" s="304">
        <f t="shared" ca="1" si="155"/>
        <v>2.8457680946828225</v>
      </c>
      <c r="G332" s="306">
        <f t="shared" ca="1" si="156"/>
        <v>9.7010157994868607</v>
      </c>
      <c r="H332" s="307">
        <f t="shared" ca="1" si="157"/>
        <v>-87.786471392351388</v>
      </c>
      <c r="I332" s="304">
        <f t="shared" ca="1" si="158"/>
        <v>88.32085975046904</v>
      </c>
      <c r="J332" s="306">
        <f t="shared" ca="1" si="159"/>
        <v>546.47361638181849</v>
      </c>
      <c r="K332" s="307">
        <f t="shared" ca="1" si="160"/>
        <v>504.72443014376347</v>
      </c>
      <c r="L332" s="304">
        <f t="shared" ca="1" si="145"/>
        <v>743.89526398907105</v>
      </c>
      <c r="M332" s="306">
        <f t="shared" ca="1" si="161"/>
        <v>-1.4607359317268578</v>
      </c>
      <c r="N332" s="304">
        <f t="shared" ca="1" si="162"/>
        <v>-83.694003871058911</v>
      </c>
      <c r="P332" s="310">
        <f t="shared" ca="1" si="163"/>
        <v>23</v>
      </c>
      <c r="Q332" s="304">
        <f t="shared" ca="1" si="164"/>
        <v>0</v>
      </c>
      <c r="R332" s="306">
        <f t="shared" ca="1" si="165"/>
        <v>0</v>
      </c>
      <c r="S332" s="307">
        <f t="shared" ca="1" si="166"/>
        <v>2.5949999999999998</v>
      </c>
      <c r="T332" s="304">
        <f t="shared" ca="1" si="146"/>
        <v>25.456949999999999</v>
      </c>
      <c r="U332" s="311">
        <f t="shared" ca="1" si="147"/>
        <v>0</v>
      </c>
      <c r="V332" s="306">
        <f t="shared" ca="1" si="148"/>
        <v>1.1646931737334474</v>
      </c>
      <c r="W332" s="304">
        <f t="shared" ca="1" si="149"/>
        <v>18.604198965976757</v>
      </c>
      <c r="Y332" s="314" t="str">
        <f t="shared" ca="1" si="167"/>
        <v/>
      </c>
      <c r="Z332" s="315" t="str">
        <f t="shared" ca="1" si="168"/>
        <v/>
      </c>
      <c r="AA332" s="316" t="str">
        <f t="shared" ca="1" si="169"/>
        <v/>
      </c>
      <c r="AC332" s="310">
        <f t="shared" ca="1" si="170"/>
        <v>27.000000000000092</v>
      </c>
      <c r="AD332" s="323">
        <f t="shared" ca="1" si="171"/>
        <v>546.47361638181849</v>
      </c>
      <c r="AE332" s="324" t="e">
        <f t="shared" ca="1" si="150"/>
        <v>#N/A</v>
      </c>
      <c r="AG332" s="306">
        <f t="shared" ca="1" si="172"/>
        <v>2.6289341522075969</v>
      </c>
      <c r="AH332" s="304">
        <f t="shared" ca="1" si="173"/>
        <v>-7.1203734502803258</v>
      </c>
    </row>
    <row r="333" spans="1:34" x14ac:dyDescent="0.2">
      <c r="A333" s="347">
        <f t="shared" ca="1" si="151"/>
        <v>0.1</v>
      </c>
      <c r="B333" s="304">
        <f t="shared" ca="1" si="152"/>
        <v>27.100000000000094</v>
      </c>
      <c r="D333" s="306">
        <f t="shared" ca="1" si="153"/>
        <v>-0.78745824975682555</v>
      </c>
      <c r="E333" s="307">
        <f t="shared" ca="1" si="154"/>
        <v>-2.6841296227344333</v>
      </c>
      <c r="F333" s="304">
        <f t="shared" ca="1" si="155"/>
        <v>2.7972562139980268</v>
      </c>
      <c r="G333" s="306">
        <f t="shared" ca="1" si="156"/>
        <v>9.6222699745111786</v>
      </c>
      <c r="H333" s="307">
        <f t="shared" ca="1" si="157"/>
        <v>-88.054884354624832</v>
      </c>
      <c r="I333" s="304">
        <f t="shared" ca="1" si="158"/>
        <v>88.579064897800379</v>
      </c>
      <c r="J333" s="306">
        <f t="shared" ca="1" si="159"/>
        <v>547.43978067051842</v>
      </c>
      <c r="K333" s="307">
        <f t="shared" ca="1" si="160"/>
        <v>495.93236235641467</v>
      </c>
      <c r="L333" s="304">
        <f t="shared" ca="1" si="145"/>
        <v>738.67396156423399</v>
      </c>
      <c r="M333" s="306">
        <f t="shared" ca="1" si="161"/>
        <v>-1.4619523752408907</v>
      </c>
      <c r="N333" s="304">
        <f t="shared" ca="1" si="162"/>
        <v>-83.763700950429069</v>
      </c>
      <c r="P333" s="310">
        <f t="shared" ca="1" si="163"/>
        <v>23</v>
      </c>
      <c r="Q333" s="304">
        <f t="shared" ca="1" si="164"/>
        <v>0</v>
      </c>
      <c r="R333" s="306">
        <f t="shared" ca="1" si="165"/>
        <v>0</v>
      </c>
      <c r="S333" s="307">
        <f t="shared" ca="1" si="166"/>
        <v>2.5949999999999998</v>
      </c>
      <c r="T333" s="304">
        <f t="shared" ca="1" si="146"/>
        <v>25.456949999999999</v>
      </c>
      <c r="U333" s="311">
        <f t="shared" ca="1" si="147"/>
        <v>0</v>
      </c>
      <c r="V333" s="306">
        <f t="shared" ca="1" si="148"/>
        <v>1.1657182719823571</v>
      </c>
      <c r="W333" s="304">
        <f t="shared" ca="1" si="149"/>
        <v>18.729606613615786</v>
      </c>
      <c r="Y333" s="314" t="str">
        <f t="shared" ca="1" si="167"/>
        <v/>
      </c>
      <c r="Z333" s="315" t="str">
        <f t="shared" ca="1" si="168"/>
        <v/>
      </c>
      <c r="AA333" s="316" t="str">
        <f t="shared" ca="1" si="169"/>
        <v/>
      </c>
      <c r="AC333" s="310" t="e">
        <f t="shared" ca="1" si="170"/>
        <v>#N/A</v>
      </c>
      <c r="AD333" s="323" t="e">
        <f t="shared" ca="1" si="171"/>
        <v>#N/A</v>
      </c>
      <c r="AE333" s="324" t="e">
        <f t="shared" ca="1" si="150"/>
        <v>#N/A</v>
      </c>
      <c r="AG333" s="306">
        <f t="shared" ca="1" si="172"/>
        <v>2.5813961057597314</v>
      </c>
      <c r="AH333" s="304">
        <f t="shared" ca="1" si="173"/>
        <v>-7.1692481564457644</v>
      </c>
    </row>
    <row r="334" spans="1:34" x14ac:dyDescent="0.2">
      <c r="A334" s="347">
        <f t="shared" ca="1" si="151"/>
        <v>0.1</v>
      </c>
      <c r="B334" s="304">
        <f t="shared" ca="1" si="152"/>
        <v>27.200000000000095</v>
      </c>
      <c r="D334" s="306">
        <f t="shared" ca="1" si="153"/>
        <v>-0.78403913379754464</v>
      </c>
      <c r="E334" s="307">
        <f t="shared" ca="1" si="154"/>
        <v>-2.6351363307284226</v>
      </c>
      <c r="F334" s="304">
        <f t="shared" ca="1" si="155"/>
        <v>2.749301883178866</v>
      </c>
      <c r="G334" s="306">
        <f t="shared" ca="1" si="156"/>
        <v>9.5438660611314248</v>
      </c>
      <c r="H334" s="307">
        <f t="shared" ca="1" si="157"/>
        <v>-88.318397987697679</v>
      </c>
      <c r="I334" s="304">
        <f t="shared" ca="1" si="158"/>
        <v>88.832566114607872</v>
      </c>
      <c r="J334" s="306">
        <f t="shared" ca="1" si="159"/>
        <v>548.39808747230052</v>
      </c>
      <c r="K334" s="307">
        <f t="shared" ca="1" si="160"/>
        <v>487.11369823929857</v>
      </c>
      <c r="L334" s="304">
        <f t="shared" ca="1" si="145"/>
        <v>733.49861441971609</v>
      </c>
      <c r="M334" s="306">
        <f t="shared" ca="1" si="161"/>
        <v>-1.463151994281455</v>
      </c>
      <c r="N334" s="304">
        <f t="shared" ca="1" si="162"/>
        <v>-83.832434058476935</v>
      </c>
      <c r="P334" s="310">
        <f t="shared" ca="1" si="163"/>
        <v>23</v>
      </c>
      <c r="Q334" s="304">
        <f t="shared" ca="1" si="164"/>
        <v>0</v>
      </c>
      <c r="R334" s="306">
        <f t="shared" ca="1" si="165"/>
        <v>0</v>
      </c>
      <c r="S334" s="307">
        <f t="shared" ca="1" si="166"/>
        <v>2.5949999999999998</v>
      </c>
      <c r="T334" s="304">
        <f t="shared" ca="1" si="146"/>
        <v>25.456949999999999</v>
      </c>
      <c r="U334" s="311">
        <f t="shared" ca="1" si="147"/>
        <v>0</v>
      </c>
      <c r="V334" s="306">
        <f t="shared" ca="1" si="148"/>
        <v>1.1667473550318195</v>
      </c>
      <c r="W334" s="304">
        <f t="shared" ca="1" si="149"/>
        <v>18.853592239676981</v>
      </c>
      <c r="Y334" s="314" t="str">
        <f t="shared" ca="1" si="167"/>
        <v/>
      </c>
      <c r="Z334" s="315" t="str">
        <f t="shared" ca="1" si="168"/>
        <v/>
      </c>
      <c r="AA334" s="316" t="str">
        <f t="shared" ca="1" si="169"/>
        <v/>
      </c>
      <c r="AC334" s="310" t="e">
        <f t="shared" ca="1" si="170"/>
        <v>#N/A</v>
      </c>
      <c r="AD334" s="323" t="e">
        <f t="shared" ca="1" si="171"/>
        <v>#N/A</v>
      </c>
      <c r="AE334" s="324" t="e">
        <f t="shared" ca="1" si="150"/>
        <v>#N/A</v>
      </c>
      <c r="AG334" s="306">
        <f t="shared" ca="1" si="172"/>
        <v>2.5343729797101791</v>
      </c>
      <c r="AH334" s="304">
        <f t="shared" ca="1" si="173"/>
        <v>-7.2175748029347933</v>
      </c>
    </row>
    <row r="335" spans="1:34" x14ac:dyDescent="0.2">
      <c r="A335" s="347">
        <f t="shared" ca="1" si="151"/>
        <v>0.1</v>
      </c>
      <c r="B335" s="304">
        <f t="shared" ca="1" si="152"/>
        <v>27.300000000000097</v>
      </c>
      <c r="D335" s="306">
        <f t="shared" ca="1" si="153"/>
        <v>-0.78056464405103365</v>
      </c>
      <c r="E335" s="307">
        <f t="shared" ca="1" si="154"/>
        <v>-2.5866988297138631</v>
      </c>
      <c r="F335" s="304">
        <f t="shared" ca="1" si="155"/>
        <v>2.7019052535545329</v>
      </c>
      <c r="G335" s="306">
        <f t="shared" ca="1" si="156"/>
        <v>9.4658095967263218</v>
      </c>
      <c r="H335" s="307">
        <f t="shared" ca="1" si="157"/>
        <v>-88.577067870669069</v>
      </c>
      <c r="I335" s="304">
        <f t="shared" ca="1" si="158"/>
        <v>89.081415030782878</v>
      </c>
      <c r="J335" s="306">
        <f t="shared" ca="1" si="159"/>
        <v>549.34857125519341</v>
      </c>
      <c r="K335" s="307">
        <f t="shared" ca="1" si="160"/>
        <v>478.26892494638025</v>
      </c>
      <c r="L335" s="304">
        <f t="shared" ca="1" si="145"/>
        <v>728.37148304247103</v>
      </c>
      <c r="M335" s="306">
        <f t="shared" ca="1" si="161"/>
        <v>-1.464335128811866</v>
      </c>
      <c r="N335" s="304">
        <f t="shared" ca="1" si="162"/>
        <v>-83.900222673665681</v>
      </c>
      <c r="P335" s="310">
        <f t="shared" ca="1" si="163"/>
        <v>23</v>
      </c>
      <c r="Q335" s="304">
        <f t="shared" ca="1" si="164"/>
        <v>0</v>
      </c>
      <c r="R335" s="306">
        <f t="shared" ca="1" si="165"/>
        <v>0</v>
      </c>
      <c r="S335" s="307">
        <f t="shared" ca="1" si="166"/>
        <v>2.5949999999999998</v>
      </c>
      <c r="T335" s="304">
        <f t="shared" ca="1" si="146"/>
        <v>25.456949999999999</v>
      </c>
      <c r="U335" s="311">
        <f t="shared" ca="1" si="147"/>
        <v>0</v>
      </c>
      <c r="V335" s="306">
        <f t="shared" ca="1" si="148"/>
        <v>1.1677803751179765</v>
      </c>
      <c r="W335" s="304">
        <f t="shared" ca="1" si="149"/>
        <v>18.976156615801042</v>
      </c>
      <c r="Y335" s="314" t="str">
        <f t="shared" ca="1" si="167"/>
        <v/>
      </c>
      <c r="Z335" s="315" t="str">
        <f t="shared" ca="1" si="168"/>
        <v/>
      </c>
      <c r="AA335" s="316" t="str">
        <f t="shared" ca="1" si="169"/>
        <v/>
      </c>
      <c r="AC335" s="310" t="e">
        <f t="shared" ca="1" si="170"/>
        <v>#N/A</v>
      </c>
      <c r="AD335" s="323" t="e">
        <f t="shared" ca="1" si="171"/>
        <v>#N/A</v>
      </c>
      <c r="AE335" s="324" t="e">
        <f t="shared" ca="1" si="150"/>
        <v>#N/A</v>
      </c>
      <c r="AG335" s="306">
        <f t="shared" ca="1" si="172"/>
        <v>2.4878656777400074</v>
      </c>
      <c r="AH335" s="304">
        <f t="shared" ca="1" si="173"/>
        <v>-7.265353464230051</v>
      </c>
    </row>
    <row r="336" spans="1:34" x14ac:dyDescent="0.2">
      <c r="A336" s="347">
        <f t="shared" ca="1" si="151"/>
        <v>0.1</v>
      </c>
      <c r="B336" s="304">
        <f t="shared" ca="1" si="152"/>
        <v>27.400000000000098</v>
      </c>
      <c r="D336" s="306">
        <f t="shared" ca="1" si="153"/>
        <v>-0.77703673570095044</v>
      </c>
      <c r="E336" s="307">
        <f t="shared" ca="1" si="154"/>
        <v>-2.5388168040069443</v>
      </c>
      <c r="F336" s="304">
        <f t="shared" ca="1" si="155"/>
        <v>2.6550662614964669</v>
      </c>
      <c r="G336" s="306">
        <f t="shared" ca="1" si="156"/>
        <v>9.3881059231562265</v>
      </c>
      <c r="H336" s="307">
        <f t="shared" ca="1" si="157"/>
        <v>-88.830949551069764</v>
      </c>
      <c r="I336" s="304">
        <f t="shared" ca="1" si="158"/>
        <v>89.325663339093666</v>
      </c>
      <c r="J336" s="306">
        <f t="shared" ca="1" si="159"/>
        <v>550.29126703118754</v>
      </c>
      <c r="K336" s="307">
        <f t="shared" ca="1" si="160"/>
        <v>469.39852407529332</v>
      </c>
      <c r="L336" s="304">
        <f t="shared" ca="1" si="145"/>
        <v>723.29485894402251</v>
      </c>
      <c r="M336" s="306">
        <f t="shared" ca="1" si="161"/>
        <v>-1.4655021090813996</v>
      </c>
      <c r="N336" s="304">
        <f t="shared" ca="1" si="162"/>
        <v>-83.967085717884984</v>
      </c>
      <c r="P336" s="310">
        <f t="shared" ca="1" si="163"/>
        <v>23</v>
      </c>
      <c r="Q336" s="304">
        <f t="shared" ca="1" si="164"/>
        <v>0</v>
      </c>
      <c r="R336" s="306">
        <f t="shared" ca="1" si="165"/>
        <v>0</v>
      </c>
      <c r="S336" s="307">
        <f t="shared" ca="1" si="166"/>
        <v>2.5949999999999998</v>
      </c>
      <c r="T336" s="304">
        <f t="shared" ca="1" si="146"/>
        <v>25.456949999999999</v>
      </c>
      <c r="U336" s="311">
        <f t="shared" ca="1" si="147"/>
        <v>0</v>
      </c>
      <c r="V336" s="306">
        <f t="shared" ca="1" si="148"/>
        <v>1.1688172849763099</v>
      </c>
      <c r="W336" s="304">
        <f t="shared" ca="1" si="149"/>
        <v>19.097301073733654</v>
      </c>
      <c r="Y336" s="314" t="str">
        <f t="shared" ca="1" si="167"/>
        <v/>
      </c>
      <c r="Z336" s="315" t="str">
        <f t="shared" ca="1" si="168"/>
        <v/>
      </c>
      <c r="AA336" s="316" t="str">
        <f t="shared" ca="1" si="169"/>
        <v/>
      </c>
      <c r="AC336" s="310" t="e">
        <f t="shared" ca="1" si="170"/>
        <v>#N/A</v>
      </c>
      <c r="AD336" s="323" t="e">
        <f t="shared" ca="1" si="171"/>
        <v>#N/A</v>
      </c>
      <c r="AE336" s="324" t="e">
        <f t="shared" ca="1" si="150"/>
        <v>#N/A</v>
      </c>
      <c r="AG336" s="306">
        <f t="shared" ca="1" si="172"/>
        <v>2.4418748455527268</v>
      </c>
      <c r="AH336" s="304">
        <f t="shared" ca="1" si="173"/>
        <v>-7.3125844376882636</v>
      </c>
    </row>
    <row r="337" spans="1:34" x14ac:dyDescent="0.2">
      <c r="A337" s="347">
        <f t="shared" ca="1" si="151"/>
        <v>0.1</v>
      </c>
      <c r="B337" s="304">
        <f t="shared" ca="1" si="152"/>
        <v>27.500000000000099</v>
      </c>
      <c r="D337" s="306">
        <f t="shared" ca="1" si="153"/>
        <v>-0.77345733732718069</v>
      </c>
      <c r="E337" s="307">
        <f t="shared" ca="1" si="154"/>
        <v>-2.4914897196093113</v>
      </c>
      <c r="F337" s="304">
        <f t="shared" ca="1" si="155"/>
        <v>2.608784635722952</v>
      </c>
      <c r="G337" s="306">
        <f t="shared" ca="1" si="156"/>
        <v>9.3107601894235081</v>
      </c>
      <c r="H337" s="307">
        <f t="shared" ca="1" si="157"/>
        <v>-89.080098523030699</v>
      </c>
      <c r="I337" s="304">
        <f t="shared" ca="1" si="158"/>
        <v>89.565362770313229</v>
      </c>
      <c r="J337" s="306">
        <f t="shared" ca="1" si="159"/>
        <v>551.22621033681651</v>
      </c>
      <c r="K337" s="307">
        <f t="shared" ca="1" si="160"/>
        <v>460.50297167158828</v>
      </c>
      <c r="L337" s="304">
        <f t="shared" ca="1" si="145"/>
        <v>718.2710643487261</v>
      </c>
      <c r="M337" s="306">
        <f t="shared" ca="1" si="161"/>
        <v>-1.4666532559726473</v>
      </c>
      <c r="N337" s="304">
        <f t="shared" ca="1" si="162"/>
        <v>-84.033041576353085</v>
      </c>
      <c r="P337" s="310">
        <f t="shared" ca="1" si="163"/>
        <v>23</v>
      </c>
      <c r="Q337" s="304">
        <f t="shared" ca="1" si="164"/>
        <v>0</v>
      </c>
      <c r="R337" s="306">
        <f t="shared" ca="1" si="165"/>
        <v>0</v>
      </c>
      <c r="S337" s="307">
        <f t="shared" ca="1" si="166"/>
        <v>2.5949999999999998</v>
      </c>
      <c r="T337" s="304">
        <f t="shared" ca="1" si="146"/>
        <v>25.456949999999999</v>
      </c>
      <c r="U337" s="311">
        <f t="shared" ca="1" si="147"/>
        <v>0</v>
      </c>
      <c r="V337" s="306">
        <f t="shared" ca="1" si="148"/>
        <v>1.1698580378421062</v>
      </c>
      <c r="W337" s="304">
        <f t="shared" ca="1" si="149"/>
        <v>19.217027487252906</v>
      </c>
      <c r="Y337" s="314" t="str">
        <f t="shared" ca="1" si="167"/>
        <v/>
      </c>
      <c r="Z337" s="315" t="str">
        <f t="shared" ca="1" si="168"/>
        <v/>
      </c>
      <c r="AA337" s="316" t="str">
        <f t="shared" ca="1" si="169"/>
        <v/>
      </c>
      <c r="AC337" s="310" t="e">
        <f t="shared" ca="1" si="170"/>
        <v>#N/A</v>
      </c>
      <c r="AD337" s="323" t="e">
        <f t="shared" ca="1" si="171"/>
        <v>#N/A</v>
      </c>
      <c r="AE337" s="324" t="e">
        <f t="shared" ca="1" si="150"/>
        <v>#N/A</v>
      </c>
      <c r="AG337" s="306">
        <f t="shared" ca="1" si="172"/>
        <v>2.3964008794107636</v>
      </c>
      <c r="AH337" s="304">
        <f t="shared" ca="1" si="173"/>
        <v>-7.3592682365062254</v>
      </c>
    </row>
    <row r="338" spans="1:34" x14ac:dyDescent="0.2">
      <c r="A338" s="347">
        <f t="shared" ca="1" si="151"/>
        <v>0.1</v>
      </c>
      <c r="B338" s="304">
        <f t="shared" ca="1" si="152"/>
        <v>27.600000000000101</v>
      </c>
      <c r="D338" s="306">
        <f t="shared" ca="1" si="153"/>
        <v>-0.76982835053415133</v>
      </c>
      <c r="E338" s="307">
        <f t="shared" ca="1" si="154"/>
        <v>-2.4447168312525962</v>
      </c>
      <c r="F338" s="304">
        <f t="shared" ca="1" si="155"/>
        <v>2.5630599045468814</v>
      </c>
      <c r="G338" s="306">
        <f t="shared" ca="1" si="156"/>
        <v>9.2337773543700923</v>
      </c>
      <c r="H338" s="307">
        <f t="shared" ca="1" si="157"/>
        <v>-89.324570206155954</v>
      </c>
      <c r="I338" s="304">
        <f t="shared" ca="1" si="158"/>
        <v>89.800565069182952</v>
      </c>
      <c r="J338" s="306">
        <f t="shared" ca="1" si="159"/>
        <v>552.1534372140062</v>
      </c>
      <c r="K338" s="307">
        <f t="shared" ca="1" si="160"/>
        <v>451.58273823512894</v>
      </c>
      <c r="L338" s="304">
        <f t="shared" ca="1" si="145"/>
        <v>713.30245176865787</v>
      </c>
      <c r="M338" s="306">
        <f t="shared" ca="1" si="161"/>
        <v>-1.4677888813342959</v>
      </c>
      <c r="N338" s="304">
        <f t="shared" ca="1" si="162"/>
        <v>-84.098108116683576</v>
      </c>
      <c r="P338" s="310">
        <f t="shared" ca="1" si="163"/>
        <v>23</v>
      </c>
      <c r="Q338" s="304">
        <f t="shared" ca="1" si="164"/>
        <v>0</v>
      </c>
      <c r="R338" s="306">
        <f t="shared" ca="1" si="165"/>
        <v>0</v>
      </c>
      <c r="S338" s="307">
        <f t="shared" ca="1" si="166"/>
        <v>2.5949999999999998</v>
      </c>
      <c r="T338" s="304">
        <f t="shared" ca="1" si="146"/>
        <v>25.456949999999999</v>
      </c>
      <c r="U338" s="311">
        <f t="shared" ca="1" si="147"/>
        <v>0</v>
      </c>
      <c r="V338" s="306">
        <f t="shared" ca="1" si="148"/>
        <v>1.1709025874507188</v>
      </c>
      <c r="W338" s="304">
        <f t="shared" ca="1" si="149"/>
        <v>19.335338254290008</v>
      </c>
      <c r="Y338" s="314" t="str">
        <f t="shared" ca="1" si="167"/>
        <v/>
      </c>
      <c r="Z338" s="315" t="str">
        <f t="shared" ca="1" si="168"/>
        <v/>
      </c>
      <c r="AA338" s="316" t="str">
        <f t="shared" ca="1" si="169"/>
        <v/>
      </c>
      <c r="AC338" s="310" t="e">
        <f t="shared" ca="1" si="170"/>
        <v>#N/A</v>
      </c>
      <c r="AD338" s="323" t="e">
        <f t="shared" ca="1" si="171"/>
        <v>#N/A</v>
      </c>
      <c r="AE338" s="324" t="e">
        <f t="shared" ca="1" si="150"/>
        <v>#N/A</v>
      </c>
      <c r="AG338" s="306">
        <f t="shared" ca="1" si="172"/>
        <v>2.3514439345279641</v>
      </c>
      <c r="AH338" s="304">
        <f t="shared" ca="1" si="173"/>
        <v>-7.4054055827564191</v>
      </c>
    </row>
    <row r="339" spans="1:34" x14ac:dyDescent="0.2">
      <c r="A339" s="347">
        <f t="shared" ca="1" si="151"/>
        <v>0.1</v>
      </c>
      <c r="B339" s="304">
        <f t="shared" ca="1" si="152"/>
        <v>27.700000000000102</v>
      </c>
      <c r="D339" s="306">
        <f t="shared" ca="1" si="153"/>
        <v>-0.76615164961574667</v>
      </c>
      <c r="E339" s="307">
        <f t="shared" ca="1" si="154"/>
        <v>-2.3984971893680154</v>
      </c>
      <c r="F339" s="304">
        <f t="shared" ca="1" si="155"/>
        <v>2.5178914030623321</v>
      </c>
      <c r="G339" s="306">
        <f t="shared" ca="1" si="156"/>
        <v>9.1571621894085169</v>
      </c>
      <c r="H339" s="307">
        <f t="shared" ca="1" si="157"/>
        <v>-89.56441992509275</v>
      </c>
      <c r="I339" s="304">
        <f t="shared" ca="1" si="158"/>
        <v>90.031321971197798</v>
      </c>
      <c r="J339" s="306">
        <f t="shared" ca="1" si="159"/>
        <v>553.07298419119513</v>
      </c>
      <c r="K339" s="307">
        <f t="shared" ca="1" si="160"/>
        <v>442.63828872856652</v>
      </c>
      <c r="L339" s="304">
        <f t="shared" ca="1" si="145"/>
        <v>708.39140345624457</v>
      </c>
      <c r="M339" s="306">
        <f t="shared" ca="1" si="161"/>
        <v>-1.4689092883000292</v>
      </c>
      <c r="N339" s="304">
        <f t="shared" ca="1" si="162"/>
        <v>-84.162302707157153</v>
      </c>
      <c r="P339" s="310">
        <f t="shared" ca="1" si="163"/>
        <v>23</v>
      </c>
      <c r="Q339" s="304">
        <f t="shared" ca="1" si="164"/>
        <v>0</v>
      </c>
      <c r="R339" s="306">
        <f t="shared" ca="1" si="165"/>
        <v>0</v>
      </c>
      <c r="S339" s="307">
        <f t="shared" ca="1" si="166"/>
        <v>2.5949999999999998</v>
      </c>
      <c r="T339" s="304">
        <f t="shared" ca="1" si="146"/>
        <v>25.456949999999999</v>
      </c>
      <c r="U339" s="311">
        <f t="shared" ca="1" si="147"/>
        <v>0</v>
      </c>
      <c r="V339" s="306">
        <f t="shared" ca="1" si="148"/>
        <v>1.1719508880376306</v>
      </c>
      <c r="W339" s="304">
        <f t="shared" ca="1" si="149"/>
        <v>19.452236279254965</v>
      </c>
      <c r="Y339" s="314" t="str">
        <f t="shared" ca="1" si="167"/>
        <v/>
      </c>
      <c r="Z339" s="315" t="str">
        <f t="shared" ca="1" si="168"/>
        <v/>
      </c>
      <c r="AA339" s="316" t="str">
        <f t="shared" ca="1" si="169"/>
        <v/>
      </c>
      <c r="AC339" s="310" t="e">
        <f t="shared" ca="1" si="170"/>
        <v>#N/A</v>
      </c>
      <c r="AD339" s="323" t="e">
        <f t="shared" ca="1" si="171"/>
        <v>#N/A</v>
      </c>
      <c r="AE339" s="324" t="e">
        <f t="shared" ca="1" si="150"/>
        <v>#N/A</v>
      </c>
      <c r="AG339" s="306">
        <f t="shared" ca="1" si="172"/>
        <v>2.3070039333174641</v>
      </c>
      <c r="AH339" s="304">
        <f t="shared" ca="1" si="173"/>
        <v>-7.4509974004971138</v>
      </c>
    </row>
    <row r="340" spans="1:34" x14ac:dyDescent="0.2">
      <c r="A340" s="347">
        <f t="shared" ca="1" si="151"/>
        <v>0.1</v>
      </c>
      <c r="B340" s="304">
        <f t="shared" ca="1" si="152"/>
        <v>27.800000000000104</v>
      </c>
      <c r="D340" s="306">
        <f t="shared" ca="1" si="153"/>
        <v>-0.76242908125567033</v>
      </c>
      <c r="E340" s="307">
        <f t="shared" ca="1" si="154"/>
        <v>-2.3528296469764376</v>
      </c>
      <c r="F340" s="304">
        <f t="shared" ca="1" si="155"/>
        <v>2.4732782802660185</v>
      </c>
      <c r="G340" s="306">
        <f t="shared" ca="1" si="156"/>
        <v>9.0809192812829505</v>
      </c>
      <c r="H340" s="307">
        <f t="shared" ca="1" si="157"/>
        <v>-89.799702889790396</v>
      </c>
      <c r="I340" s="304">
        <f t="shared" ca="1" si="158"/>
        <v>90.257685180198408</v>
      </c>
      <c r="J340" s="306">
        <f t="shared" ca="1" si="159"/>
        <v>553.98488826472976</v>
      </c>
      <c r="K340" s="307">
        <f t="shared" ca="1" si="160"/>
        <v>433.67008258782238</v>
      </c>
      <c r="L340" s="304">
        <f t="shared" ca="1" si="145"/>
        <v>703.5403307255483</v>
      </c>
      <c r="M340" s="306">
        <f t="shared" ca="1" si="161"/>
        <v>-1.4700147715942191</v>
      </c>
      <c r="N340" s="304">
        <f t="shared" ca="1" si="162"/>
        <v>-84.225642234236446</v>
      </c>
      <c r="P340" s="310">
        <f t="shared" ca="1" si="163"/>
        <v>23</v>
      </c>
      <c r="Q340" s="304">
        <f t="shared" ca="1" si="164"/>
        <v>0</v>
      </c>
      <c r="R340" s="306">
        <f t="shared" ca="1" si="165"/>
        <v>0</v>
      </c>
      <c r="S340" s="307">
        <f t="shared" ca="1" si="166"/>
        <v>2.5949999999999998</v>
      </c>
      <c r="T340" s="304">
        <f t="shared" ca="1" si="146"/>
        <v>25.456949999999999</v>
      </c>
      <c r="U340" s="311">
        <f t="shared" ca="1" si="147"/>
        <v>0</v>
      </c>
      <c r="V340" s="306">
        <f t="shared" ca="1" si="148"/>
        <v>1.1730028943383233</v>
      </c>
      <c r="W340" s="304">
        <f t="shared" ca="1" si="149"/>
        <v>19.56772495557794</v>
      </c>
      <c r="Y340" s="314" t="str">
        <f t="shared" ca="1" si="167"/>
        <v/>
      </c>
      <c r="Z340" s="315" t="str">
        <f t="shared" ca="1" si="168"/>
        <v/>
      </c>
      <c r="AA340" s="316" t="str">
        <f t="shared" ca="1" si="169"/>
        <v/>
      </c>
      <c r="AC340" s="310" t="e">
        <f t="shared" ca="1" si="170"/>
        <v>#N/A</v>
      </c>
      <c r="AD340" s="323" t="e">
        <f t="shared" ca="1" si="171"/>
        <v>#N/A</v>
      </c>
      <c r="AE340" s="324" t="e">
        <f t="shared" ca="1" si="150"/>
        <v>#N/A</v>
      </c>
      <c r="AG340" s="306">
        <f t="shared" ca="1" si="172"/>
        <v>2.2630805734942694</v>
      </c>
      <c r="AH340" s="304">
        <f t="shared" ca="1" si="173"/>
        <v>-7.496044808961452</v>
      </c>
    </row>
    <row r="341" spans="1:34" x14ac:dyDescent="0.2">
      <c r="A341" s="347">
        <f t="shared" ca="1" si="151"/>
        <v>0.1</v>
      </c>
      <c r="B341" s="304">
        <f t="shared" ca="1" si="152"/>
        <v>27.900000000000105</v>
      </c>
      <c r="D341" s="306">
        <f t="shared" ca="1" si="153"/>
        <v>-0.75866246426206063</v>
      </c>
      <c r="E341" s="307">
        <f t="shared" ca="1" si="154"/>
        <v>-2.3077128664947031</v>
      </c>
      <c r="F341" s="304">
        <f t="shared" ca="1" si="155"/>
        <v>2.4292195061100141</v>
      </c>
      <c r="G341" s="306">
        <f t="shared" ca="1" si="156"/>
        <v>9.0050530348567452</v>
      </c>
      <c r="H341" s="307">
        <f t="shared" ca="1" si="157"/>
        <v>-90.030474176439867</v>
      </c>
      <c r="I341" s="304">
        <f t="shared" ca="1" si="158"/>
        <v>90.479706346755947</v>
      </c>
      <c r="J341" s="306">
        <f t="shared" ca="1" si="159"/>
        <v>554.88918688053673</v>
      </c>
      <c r="K341" s="307">
        <f t="shared" ca="1" si="160"/>
        <v>424.67857373451085</v>
      </c>
      <c r="L341" s="304">
        <f t="shared" ca="1" si="145"/>
        <v>698.75167313296754</v>
      </c>
      <c r="M341" s="306">
        <f t="shared" ca="1" si="161"/>
        <v>-1.4711056178250306</v>
      </c>
      <c r="N341" s="304">
        <f t="shared" ca="1" si="162"/>
        <v>-84.288143119359702</v>
      </c>
      <c r="P341" s="310">
        <f t="shared" ca="1" si="163"/>
        <v>23</v>
      </c>
      <c r="Q341" s="304">
        <f t="shared" ca="1" si="164"/>
        <v>0</v>
      </c>
      <c r="R341" s="306">
        <f t="shared" ca="1" si="165"/>
        <v>0</v>
      </c>
      <c r="S341" s="307">
        <f t="shared" ca="1" si="166"/>
        <v>2.5949999999999998</v>
      </c>
      <c r="T341" s="304">
        <f t="shared" ca="1" si="146"/>
        <v>25.456949999999999</v>
      </c>
      <c r="U341" s="311">
        <f t="shared" ca="1" si="147"/>
        <v>0</v>
      </c>
      <c r="V341" s="306">
        <f t="shared" ca="1" si="148"/>
        <v>1.1740585615879628</v>
      </c>
      <c r="W341" s="304">
        <f t="shared" ca="1" si="149"/>
        <v>19.681808148476481</v>
      </c>
      <c r="Y341" s="314" t="str">
        <f t="shared" ca="1" si="167"/>
        <v/>
      </c>
      <c r="Z341" s="315" t="str">
        <f t="shared" ca="1" si="168"/>
        <v/>
      </c>
      <c r="AA341" s="316" t="str">
        <f t="shared" ca="1" si="169"/>
        <v/>
      </c>
      <c r="AC341" s="310" t="e">
        <f t="shared" ca="1" si="170"/>
        <v>#N/A</v>
      </c>
      <c r="AD341" s="323" t="e">
        <f t="shared" ca="1" si="171"/>
        <v>#N/A</v>
      </c>
      <c r="AE341" s="324" t="e">
        <f t="shared" ca="1" si="150"/>
        <v>#N/A</v>
      </c>
      <c r="AG341" s="306">
        <f t="shared" ca="1" si="172"/>
        <v>2.2196733360321215</v>
      </c>
      <c r="AH341" s="304">
        <f t="shared" ca="1" si="173"/>
        <v>-7.5405491158296503</v>
      </c>
    </row>
    <row r="342" spans="1:34" x14ac:dyDescent="0.2">
      <c r="A342" s="347">
        <f t="shared" ca="1" si="151"/>
        <v>0.1</v>
      </c>
      <c r="B342" s="304">
        <f t="shared" ca="1" si="152"/>
        <v>28.000000000000107</v>
      </c>
      <c r="D342" s="306">
        <f t="shared" ca="1" si="153"/>
        <v>-0.75485358933520952</v>
      </c>
      <c r="E342" s="307">
        <f t="shared" ca="1" si="154"/>
        <v>-2.2631453264541888</v>
      </c>
      <c r="F342" s="304">
        <f t="shared" ca="1" si="155"/>
        <v>2.3857138784824312</v>
      </c>
      <c r="G342" s="306">
        <f t="shared" ca="1" si="156"/>
        <v>8.9295676759232236</v>
      </c>
      <c r="H342" s="307">
        <f t="shared" ca="1" si="157"/>
        <v>-90.256788709085285</v>
      </c>
      <c r="I342" s="304">
        <f t="shared" ca="1" si="158"/>
        <v>90.697437047335342</v>
      </c>
      <c r="J342" s="306">
        <f t="shared" ca="1" si="159"/>
        <v>555.78591791607573</v>
      </c>
      <c r="K342" s="307">
        <f t="shared" ca="1" si="160"/>
        <v>415.66421059023457</v>
      </c>
      <c r="L342" s="304">
        <f t="shared" ca="1" si="145"/>
        <v>694.02789750803083</v>
      </c>
      <c r="M342" s="306">
        <f t="shared" ca="1" si="161"/>
        <v>-1.4721821057655347</v>
      </c>
      <c r="N342" s="304">
        <f t="shared" ca="1" si="162"/>
        <v>-84.349821335047309</v>
      </c>
      <c r="P342" s="310">
        <f t="shared" ca="1" si="163"/>
        <v>23</v>
      </c>
      <c r="Q342" s="304">
        <f t="shared" ca="1" si="164"/>
        <v>0</v>
      </c>
      <c r="R342" s="306">
        <f t="shared" ca="1" si="165"/>
        <v>0</v>
      </c>
      <c r="S342" s="307">
        <f t="shared" ca="1" si="166"/>
        <v>2.5949999999999998</v>
      </c>
      <c r="T342" s="304">
        <f t="shared" ca="1" si="146"/>
        <v>25.456949999999999</v>
      </c>
      <c r="U342" s="311">
        <f t="shared" ca="1" si="147"/>
        <v>0</v>
      </c>
      <c r="V342" s="306">
        <f t="shared" ca="1" si="148"/>
        <v>1.1751178455209008</v>
      </c>
      <c r="W342" s="304">
        <f t="shared" ca="1" si="149"/>
        <v>19.794490177957826</v>
      </c>
      <c r="Y342" s="314" t="str">
        <f t="shared" ca="1" si="167"/>
        <v/>
      </c>
      <c r="Z342" s="315" t="str">
        <f t="shared" ca="1" si="168"/>
        <v/>
      </c>
      <c r="AA342" s="316" t="str">
        <f t="shared" ca="1" si="169"/>
        <v/>
      </c>
      <c r="AC342" s="310">
        <f t="shared" ca="1" si="170"/>
        <v>28.000000000000107</v>
      </c>
      <c r="AD342" s="323">
        <f t="shared" ca="1" si="171"/>
        <v>555.78591791607573</v>
      </c>
      <c r="AE342" s="324" t="e">
        <f t="shared" ca="1" si="150"/>
        <v>#N/A</v>
      </c>
      <c r="AG342" s="306">
        <f t="shared" ca="1" si="172"/>
        <v>2.1767814929740927</v>
      </c>
      <c r="AH342" s="304">
        <f t="shared" ca="1" si="173"/>
        <v>-7.5845118105882401</v>
      </c>
    </row>
    <row r="343" spans="1:34" x14ac:dyDescent="0.2">
      <c r="A343" s="347">
        <f t="shared" ca="1" si="151"/>
        <v>0.1</v>
      </c>
      <c r="B343" s="304">
        <f t="shared" ca="1" si="152"/>
        <v>28.100000000000108</v>
      </c>
      <c r="D343" s="306">
        <f t="shared" ca="1" si="153"/>
        <v>-0.75100421886724189</v>
      </c>
      <c r="E343" s="307">
        <f t="shared" ca="1" si="154"/>
        <v>-2.2191253281280199</v>
      </c>
      <c r="F343" s="304">
        <f t="shared" ca="1" si="155"/>
        <v>2.3427600301131331</v>
      </c>
      <c r="G343" s="306">
        <f t="shared" ca="1" si="156"/>
        <v>8.8544672540364999</v>
      </c>
      <c r="H343" s="307">
        <f t="shared" ca="1" si="157"/>
        <v>-90.478701241898094</v>
      </c>
      <c r="I343" s="304">
        <f t="shared" ca="1" si="158"/>
        <v>90.910928764222049</v>
      </c>
      <c r="J343" s="306">
        <f t="shared" ca="1" si="159"/>
        <v>556.67511966257371</v>
      </c>
      <c r="K343" s="307">
        <f t="shared" ca="1" si="160"/>
        <v>406.6274360926854</v>
      </c>
      <c r="L343" s="304">
        <f t="shared" ca="1" si="145"/>
        <v>689.37149682493521</v>
      </c>
      <c r="M343" s="306">
        <f t="shared" ca="1" si="161"/>
        <v>-1.4732445066233921</v>
      </c>
      <c r="N343" s="304">
        <f t="shared" ca="1" si="162"/>
        <v>-84.410692420353627</v>
      </c>
      <c r="P343" s="310">
        <f t="shared" ca="1" si="163"/>
        <v>23</v>
      </c>
      <c r="Q343" s="304">
        <f t="shared" ca="1" si="164"/>
        <v>0</v>
      </c>
      <c r="R343" s="306">
        <f t="shared" ca="1" si="165"/>
        <v>0</v>
      </c>
      <c r="S343" s="307">
        <f t="shared" ca="1" si="166"/>
        <v>2.5949999999999998</v>
      </c>
      <c r="T343" s="304">
        <f t="shared" ca="1" si="146"/>
        <v>25.456949999999999</v>
      </c>
      <c r="U343" s="311">
        <f t="shared" ca="1" si="147"/>
        <v>0</v>
      </c>
      <c r="V343" s="306">
        <f t="shared" ca="1" si="148"/>
        <v>1.1761807023700028</v>
      </c>
      <c r="W343" s="304">
        <f t="shared" ca="1" si="149"/>
        <v>19.905775802064898</v>
      </c>
      <c r="Y343" s="314" t="str">
        <f t="shared" ca="1" si="167"/>
        <v/>
      </c>
      <c r="Z343" s="315" t="str">
        <f t="shared" ca="1" si="168"/>
        <v/>
      </c>
      <c r="AA343" s="316" t="str">
        <f t="shared" ca="1" si="169"/>
        <v/>
      </c>
      <c r="AC343" s="310" t="e">
        <f t="shared" ca="1" si="170"/>
        <v>#N/A</v>
      </c>
      <c r="AD343" s="323" t="e">
        <f t="shared" ca="1" si="171"/>
        <v>#N/A</v>
      </c>
      <c r="AE343" s="324" t="e">
        <f t="shared" ca="1" si="150"/>
        <v>#N/A</v>
      </c>
      <c r="AG343" s="306">
        <f t="shared" ca="1" si="172"/>
        <v>2.1344041150966451</v>
      </c>
      <c r="AH343" s="304">
        <f t="shared" ca="1" si="173"/>
        <v>-7.6279345579798949</v>
      </c>
    </row>
    <row r="344" spans="1:34" x14ac:dyDescent="0.2">
      <c r="A344" s="347">
        <f t="shared" ca="1" si="151"/>
        <v>0.1</v>
      </c>
      <c r="B344" s="304">
        <f t="shared" ca="1" si="152"/>
        <v>28.200000000000109</v>
      </c>
      <c r="D344" s="306">
        <f t="shared" ca="1" si="153"/>
        <v>-0.74711608677260999</v>
      </c>
      <c r="E344" s="307">
        <f t="shared" ca="1" si="154"/>
        <v>-2.1756510020635087</v>
      </c>
      <c r="F344" s="304">
        <f t="shared" ca="1" si="155"/>
        <v>2.3003564354017763</v>
      </c>
      <c r="G344" s="306">
        <f t="shared" ca="1" si="156"/>
        <v>8.7797556453592396</v>
      </c>
      <c r="H344" s="307">
        <f t="shared" ca="1" si="157"/>
        <v>-90.696266342104451</v>
      </c>
      <c r="I344" s="304">
        <f t="shared" ca="1" si="158"/>
        <v>91.12023286619808</v>
      </c>
      <c r="J344" s="306">
        <f t="shared" ca="1" si="159"/>
        <v>557.55683080754352</v>
      </c>
      <c r="K344" s="307">
        <f t="shared" ca="1" si="160"/>
        <v>397.56868771348525</v>
      </c>
      <c r="L344" s="304">
        <f t="shared" ca="1" si="145"/>
        <v>684.78498890555011</v>
      </c>
      <c r="M344" s="306">
        <f t="shared" ca="1" si="161"/>
        <v>-1.4742930842996407</v>
      </c>
      <c r="N344" s="304">
        <f t="shared" ca="1" si="162"/>
        <v>-84.470771495694308</v>
      </c>
      <c r="P344" s="310">
        <f t="shared" ca="1" si="163"/>
        <v>23</v>
      </c>
      <c r="Q344" s="304">
        <f t="shared" ca="1" si="164"/>
        <v>0</v>
      </c>
      <c r="R344" s="306">
        <f t="shared" ca="1" si="165"/>
        <v>0</v>
      </c>
      <c r="S344" s="307">
        <f t="shared" ca="1" si="166"/>
        <v>2.5949999999999998</v>
      </c>
      <c r="T344" s="304">
        <f t="shared" ca="1" si="146"/>
        <v>25.456949999999999</v>
      </c>
      <c r="U344" s="311">
        <f t="shared" ca="1" si="147"/>
        <v>0</v>
      </c>
      <c r="V344" s="306">
        <f t="shared" ca="1" si="148"/>
        <v>1.177247088865804</v>
      </c>
      <c r="W344" s="304">
        <f t="shared" ca="1" si="149"/>
        <v>20.015670200373673</v>
      </c>
      <c r="Y344" s="314" t="str">
        <f t="shared" ca="1" si="167"/>
        <v/>
      </c>
      <c r="Z344" s="315" t="str">
        <f t="shared" ca="1" si="168"/>
        <v/>
      </c>
      <c r="AA344" s="316" t="str">
        <f t="shared" ca="1" si="169"/>
        <v/>
      </c>
      <c r="AC344" s="310" t="e">
        <f t="shared" ca="1" si="170"/>
        <v>#N/A</v>
      </c>
      <c r="AD344" s="323" t="e">
        <f t="shared" ca="1" si="171"/>
        <v>#N/A</v>
      </c>
      <c r="AE344" s="324" t="e">
        <f t="shared" ca="1" si="150"/>
        <v>#N/A</v>
      </c>
      <c r="AG344" s="306">
        <f t="shared" ca="1" si="172"/>
        <v>2.0925400794267883</v>
      </c>
      <c r="AH344" s="304">
        <f t="shared" ca="1" si="173"/>
        <v>-7.6708191915471673</v>
      </c>
    </row>
    <row r="345" spans="1:34" x14ac:dyDescent="0.2">
      <c r="A345" s="347">
        <f t="shared" ca="1" si="151"/>
        <v>0.1</v>
      </c>
      <c r="B345" s="304">
        <f t="shared" ca="1" si="152"/>
        <v>28.300000000000111</v>
      </c>
      <c r="D345" s="306">
        <f t="shared" ca="1" si="153"/>
        <v>-0.74319089834827257</v>
      </c>
      <c r="E345" s="307">
        <f t="shared" ca="1" si="154"/>
        <v>-2.1327203145168188</v>
      </c>
      <c r="F345" s="304">
        <f t="shared" ca="1" si="155"/>
        <v>2.2585014171659115</v>
      </c>
      <c r="G345" s="306">
        <f t="shared" ca="1" si="156"/>
        <v>8.7054365555244129</v>
      </c>
      <c r="H345" s="307">
        <f t="shared" ca="1" si="157"/>
        <v>-90.909538373556131</v>
      </c>
      <c r="I345" s="304">
        <f t="shared" ca="1" si="158"/>
        <v>91.325400589952721</v>
      </c>
      <c r="J345" s="306">
        <f t="shared" ca="1" si="159"/>
        <v>558.43109041758771</v>
      </c>
      <c r="K345" s="307">
        <f t="shared" ca="1" si="160"/>
        <v>388.48839747770222</v>
      </c>
      <c r="L345" s="304">
        <f t="shared" ca="1" si="145"/>
        <v>680.27091494475133</v>
      </c>
      <c r="M345" s="306">
        <f t="shared" ca="1" si="161"/>
        <v>-1.4753280956370891</v>
      </c>
      <c r="N345" s="304">
        <f t="shared" ca="1" si="162"/>
        <v>-84.530073277078287</v>
      </c>
      <c r="P345" s="310">
        <f t="shared" ca="1" si="163"/>
        <v>23</v>
      </c>
      <c r="Q345" s="304">
        <f t="shared" ca="1" si="164"/>
        <v>0</v>
      </c>
      <c r="R345" s="306">
        <f t="shared" ca="1" si="165"/>
        <v>0</v>
      </c>
      <c r="S345" s="307">
        <f t="shared" ca="1" si="166"/>
        <v>2.5949999999999998</v>
      </c>
      <c r="T345" s="304">
        <f t="shared" ca="1" si="146"/>
        <v>25.456949999999999</v>
      </c>
      <c r="U345" s="311">
        <f t="shared" ca="1" si="147"/>
        <v>0</v>
      </c>
      <c r="V345" s="306">
        <f t="shared" ca="1" si="148"/>
        <v>1.1783169622355072</v>
      </c>
      <c r="W345" s="304">
        <f t="shared" ca="1" si="149"/>
        <v>20.124178957749422</v>
      </c>
      <c r="Y345" s="314" t="str">
        <f t="shared" ca="1" si="167"/>
        <v/>
      </c>
      <c r="Z345" s="315" t="str">
        <f t="shared" ca="1" si="168"/>
        <v/>
      </c>
      <c r="AA345" s="316" t="str">
        <f t="shared" ca="1" si="169"/>
        <v/>
      </c>
      <c r="AC345" s="310" t="e">
        <f t="shared" ca="1" si="170"/>
        <v>#N/A</v>
      </c>
      <c r="AD345" s="323" t="e">
        <f t="shared" ca="1" si="171"/>
        <v>#N/A</v>
      </c>
      <c r="AE345" s="324" t="e">
        <f t="shared" ca="1" si="150"/>
        <v>#N/A</v>
      </c>
      <c r="AG345" s="306">
        <f t="shared" ca="1" si="172"/>
        <v>2.0511880766122941</v>
      </c>
      <c r="AH345" s="304">
        <f t="shared" ca="1" si="173"/>
        <v>-7.7131677072730929</v>
      </c>
    </row>
    <row r="346" spans="1:34" x14ac:dyDescent="0.2">
      <c r="A346" s="347">
        <f t="shared" ca="1" si="151"/>
        <v>0.1</v>
      </c>
      <c r="B346" s="304">
        <f t="shared" ca="1" si="152"/>
        <v>28.400000000000112</v>
      </c>
      <c r="D346" s="306">
        <f t="shared" ca="1" si="153"/>
        <v>-0.73923033016246564</v>
      </c>
      <c r="E346" s="307">
        <f t="shared" ca="1" si="154"/>
        <v>-2.0903310737869116</v>
      </c>
      <c r="F346" s="304">
        <f t="shared" ca="1" si="155"/>
        <v>2.2171931533069578</v>
      </c>
      <c r="G346" s="306">
        <f t="shared" ca="1" si="156"/>
        <v>8.6315135225081665</v>
      </c>
      <c r="H346" s="307">
        <f t="shared" ca="1" si="157"/>
        <v>-91.118571480934818</v>
      </c>
      <c r="I346" s="304">
        <f t="shared" ca="1" si="158"/>
        <v>91.526483022213128</v>
      </c>
      <c r="J346" s="306">
        <f t="shared" ca="1" si="159"/>
        <v>559.29793792148939</v>
      </c>
      <c r="K346" s="307">
        <f t="shared" ca="1" si="160"/>
        <v>379.38699198497767</v>
      </c>
      <c r="L346" s="304">
        <f t="shared" ca="1" si="145"/>
        <v>675.83183784920914</v>
      </c>
      <c r="M346" s="306">
        <f t="shared" ca="1" si="161"/>
        <v>-1.4763497906587959</v>
      </c>
      <c r="N346" s="304">
        <f t="shared" ca="1" si="162"/>
        <v>-84.588612089771615</v>
      </c>
      <c r="P346" s="310">
        <f t="shared" ca="1" si="163"/>
        <v>23</v>
      </c>
      <c r="Q346" s="304">
        <f t="shared" ca="1" si="164"/>
        <v>0</v>
      </c>
      <c r="R346" s="306">
        <f t="shared" ca="1" si="165"/>
        <v>0</v>
      </c>
      <c r="S346" s="307">
        <f t="shared" ca="1" si="166"/>
        <v>2.5949999999999998</v>
      </c>
      <c r="T346" s="304">
        <f t="shared" ca="1" si="146"/>
        <v>25.456949999999999</v>
      </c>
      <c r="U346" s="311">
        <f t="shared" ca="1" si="147"/>
        <v>0</v>
      </c>
      <c r="V346" s="306">
        <f t="shared" ca="1" si="148"/>
        <v>1.1793902802018157</v>
      </c>
      <c r="W346" s="304">
        <f t="shared" ca="1" si="149"/>
        <v>20.231308048367733</v>
      </c>
      <c r="Y346" s="314" t="str">
        <f t="shared" ca="1" si="167"/>
        <v/>
      </c>
      <c r="Z346" s="315" t="str">
        <f t="shared" ca="1" si="168"/>
        <v/>
      </c>
      <c r="AA346" s="316" t="str">
        <f t="shared" ca="1" si="169"/>
        <v/>
      </c>
      <c r="AC346" s="310" t="e">
        <f t="shared" ca="1" si="170"/>
        <v>#N/A</v>
      </c>
      <c r="AD346" s="323" t="e">
        <f t="shared" ca="1" si="171"/>
        <v>#N/A</v>
      </c>
      <c r="AE346" s="324" t="e">
        <f t="shared" ca="1" si="150"/>
        <v>#N/A</v>
      </c>
      <c r="AG346" s="306">
        <f t="shared" ca="1" si="172"/>
        <v>2.010346618144677</v>
      </c>
      <c r="AH346" s="304">
        <f t="shared" ca="1" si="173"/>
        <v>-7.7549822573215508</v>
      </c>
    </row>
    <row r="347" spans="1:34" x14ac:dyDescent="0.2">
      <c r="A347" s="347">
        <f t="shared" ca="1" si="151"/>
        <v>0.1</v>
      </c>
      <c r="B347" s="304">
        <f t="shared" ca="1" si="152"/>
        <v>28.500000000000114</v>
      </c>
      <c r="D347" s="306">
        <f t="shared" ca="1" si="153"/>
        <v>-0.73523602997095894</v>
      </c>
      <c r="E347" s="307">
        <f t="shared" ca="1" si="154"/>
        <v>-2.048480936446424</v>
      </c>
      <c r="F347" s="304">
        <f t="shared" ca="1" si="155"/>
        <v>2.1764296833924766</v>
      </c>
      <c r="G347" s="306">
        <f t="shared" ca="1" si="156"/>
        <v>8.5579899195110709</v>
      </c>
      <c r="H347" s="307">
        <f t="shared" ca="1" si="157"/>
        <v>-91.323419574579461</v>
      </c>
      <c r="I347" s="304">
        <f t="shared" ca="1" si="158"/>
        <v>91.723531082580635</v>
      </c>
      <c r="J347" s="306">
        <f t="shared" ca="1" si="159"/>
        <v>560.15741309359032</v>
      </c>
      <c r="K347" s="307">
        <f t="shared" ca="1" si="160"/>
        <v>370.26489243220198</v>
      </c>
      <c r="L347" s="304">
        <f t="shared" ca="1" si="145"/>
        <v>671.47034038111713</v>
      </c>
      <c r="M347" s="306">
        <f t="shared" ca="1" si="161"/>
        <v>-1.4773584127970889</v>
      </c>
      <c r="N347" s="304">
        <f t="shared" ca="1" si="162"/>
        <v>-84.646401881419266</v>
      </c>
      <c r="P347" s="310">
        <f t="shared" ca="1" si="163"/>
        <v>23</v>
      </c>
      <c r="Q347" s="304">
        <f t="shared" ca="1" si="164"/>
        <v>0</v>
      </c>
      <c r="R347" s="306">
        <f t="shared" ca="1" si="165"/>
        <v>0</v>
      </c>
      <c r="S347" s="307">
        <f t="shared" ca="1" si="166"/>
        <v>2.5949999999999998</v>
      </c>
      <c r="T347" s="304">
        <f t="shared" ca="1" si="146"/>
        <v>25.456949999999999</v>
      </c>
      <c r="U347" s="311">
        <f t="shared" ca="1" si="147"/>
        <v>0</v>
      </c>
      <c r="V347" s="306">
        <f t="shared" ca="1" si="148"/>
        <v>1.1804670009816165</v>
      </c>
      <c r="W347" s="304">
        <f t="shared" ca="1" si="149"/>
        <v>20.337063820006751</v>
      </c>
      <c r="Y347" s="314" t="str">
        <f t="shared" ca="1" si="167"/>
        <v/>
      </c>
      <c r="Z347" s="315" t="str">
        <f t="shared" ca="1" si="168"/>
        <v/>
      </c>
      <c r="AA347" s="316" t="str">
        <f t="shared" ca="1" si="169"/>
        <v/>
      </c>
      <c r="AC347" s="310" t="e">
        <f t="shared" ca="1" si="170"/>
        <v>#N/A</v>
      </c>
      <c r="AD347" s="323" t="e">
        <f t="shared" ca="1" si="171"/>
        <v>#N/A</v>
      </c>
      <c r="AE347" s="324" t="e">
        <f t="shared" ca="1" si="150"/>
        <v>#N/A</v>
      </c>
      <c r="AG347" s="306">
        <f t="shared" ca="1" si="172"/>
        <v>1.9700140434352322</v>
      </c>
      <c r="AH347" s="304">
        <f t="shared" ca="1" si="173"/>
        <v>-7.7962651438796664</v>
      </c>
    </row>
    <row r="348" spans="1:34" x14ac:dyDescent="0.2">
      <c r="A348" s="347">
        <f t="shared" ca="1" si="151"/>
        <v>0.1</v>
      </c>
      <c r="B348" s="304">
        <f t="shared" ca="1" si="152"/>
        <v>28.600000000000115</v>
      </c>
      <c r="D348" s="306">
        <f t="shared" ca="1" si="153"/>
        <v>-0.73120961665971063</v>
      </c>
      <c r="E348" s="307">
        <f t="shared" ca="1" si="154"/>
        <v>-2.0071674134669726</v>
      </c>
      <c r="F348" s="304">
        <f t="shared" ca="1" si="155"/>
        <v>2.1362089151530426</v>
      </c>
      <c r="G348" s="306">
        <f t="shared" ca="1" si="156"/>
        <v>8.4848689578450998</v>
      </c>
      <c r="H348" s="307">
        <f t="shared" ca="1" si="157"/>
        <v>-91.524136315926157</v>
      </c>
      <c r="I348" s="304">
        <f t="shared" ca="1" si="158"/>
        <v>91.916595507057565</v>
      </c>
      <c r="J348" s="306">
        <f t="shared" ca="1" si="159"/>
        <v>561.00955603745808</v>
      </c>
      <c r="K348" s="307">
        <f t="shared" ca="1" si="160"/>
        <v>361.12251463767672</v>
      </c>
      <c r="L348" s="304">
        <f t="shared" ca="1" si="145"/>
        <v>667.18902309884027</v>
      </c>
      <c r="M348" s="306">
        <f t="shared" ca="1" si="161"/>
        <v>-1.4783541991135523</v>
      </c>
      <c r="N348" s="304">
        <f t="shared" ca="1" si="162"/>
        <v>-84.703456234649494</v>
      </c>
      <c r="P348" s="310">
        <f t="shared" ca="1" si="163"/>
        <v>23</v>
      </c>
      <c r="Q348" s="304">
        <f t="shared" ca="1" si="164"/>
        <v>0</v>
      </c>
      <c r="R348" s="306">
        <f t="shared" ca="1" si="165"/>
        <v>0</v>
      </c>
      <c r="S348" s="307">
        <f t="shared" ca="1" si="166"/>
        <v>2.5949999999999998</v>
      </c>
      <c r="T348" s="304">
        <f t="shared" ca="1" si="146"/>
        <v>25.456949999999999</v>
      </c>
      <c r="U348" s="311">
        <f t="shared" ca="1" si="147"/>
        <v>0</v>
      </c>
      <c r="V348" s="306">
        <f t="shared" ca="1" si="148"/>
        <v>1.1815470832845163</v>
      </c>
      <c r="W348" s="304">
        <f t="shared" ca="1" si="149"/>
        <v>20.441452978615317</v>
      </c>
      <c r="Y348" s="314" t="str">
        <f t="shared" ca="1" si="167"/>
        <v/>
      </c>
      <c r="Z348" s="315" t="str">
        <f t="shared" ca="1" si="168"/>
        <v/>
      </c>
      <c r="AA348" s="316" t="str">
        <f t="shared" ca="1" si="169"/>
        <v/>
      </c>
      <c r="AC348" s="310" t="e">
        <f t="shared" ca="1" si="170"/>
        <v>#N/A</v>
      </c>
      <c r="AD348" s="323" t="e">
        <f t="shared" ca="1" si="171"/>
        <v>#N/A</v>
      </c>
      <c r="AE348" s="324" t="e">
        <f t="shared" ca="1" si="150"/>
        <v>#N/A</v>
      </c>
      <c r="AG348" s="306">
        <f t="shared" ca="1" si="172"/>
        <v>1.930188526744006</v>
      </c>
      <c r="AH348" s="304">
        <f t="shared" ca="1" si="173"/>
        <v>-7.8370188131047218</v>
      </c>
    </row>
    <row r="349" spans="1:34" x14ac:dyDescent="0.2">
      <c r="A349" s="347">
        <f t="shared" ca="1" si="151"/>
        <v>0.1</v>
      </c>
      <c r="B349" s="304">
        <f t="shared" ca="1" si="152"/>
        <v>28.700000000000117</v>
      </c>
      <c r="D349" s="306">
        <f t="shared" ca="1" si="153"/>
        <v>-0.72715268021287216</v>
      </c>
      <c r="E349" s="307">
        <f t="shared" ca="1" si="154"/>
        <v>-1.9663878762370208</v>
      </c>
      <c r="F349" s="304">
        <f t="shared" ca="1" si="155"/>
        <v>2.0965286308926725</v>
      </c>
      <c r="G349" s="306">
        <f t="shared" ca="1" si="156"/>
        <v>8.4121536898238123</v>
      </c>
      <c r="H349" s="307">
        <f t="shared" ca="1" si="157"/>
        <v>-91.720775103549855</v>
      </c>
      <c r="I349" s="304">
        <f t="shared" ca="1" si="158"/>
        <v>92.105726832250696</v>
      </c>
      <c r="J349" s="306">
        <f t="shared" ca="1" si="159"/>
        <v>561.85440716984158</v>
      </c>
      <c r="K349" s="307">
        <f t="shared" ca="1" si="160"/>
        <v>351.96026906670289</v>
      </c>
      <c r="L349" s="304">
        <f t="shared" ca="1" si="145"/>
        <v>662.99050208708115</v>
      </c>
      <c r="M349" s="306">
        <f t="shared" ca="1" si="161"/>
        <v>-1.4793373805103895</v>
      </c>
      <c r="N349" s="304">
        <f t="shared" ca="1" si="162"/>
        <v>-84.759788379184045</v>
      </c>
      <c r="P349" s="310">
        <f t="shared" ca="1" si="163"/>
        <v>23</v>
      </c>
      <c r="Q349" s="304">
        <f t="shared" ca="1" si="164"/>
        <v>0</v>
      </c>
      <c r="R349" s="306">
        <f t="shared" ca="1" si="165"/>
        <v>0</v>
      </c>
      <c r="S349" s="307">
        <f t="shared" ca="1" si="166"/>
        <v>2.5949999999999998</v>
      </c>
      <c r="T349" s="304">
        <f t="shared" ca="1" si="146"/>
        <v>25.456949999999999</v>
      </c>
      <c r="U349" s="311">
        <f t="shared" ca="1" si="147"/>
        <v>0</v>
      </c>
      <c r="V349" s="306">
        <f t="shared" ca="1" si="148"/>
        <v>1.1826304863112354</v>
      </c>
      <c r="W349" s="304">
        <f t="shared" ca="1" si="149"/>
        <v>20.544482573161897</v>
      </c>
      <c r="Y349" s="314" t="str">
        <f t="shared" ca="1" si="167"/>
        <v/>
      </c>
      <c r="Z349" s="315" t="str">
        <f t="shared" ca="1" si="168"/>
        <v/>
      </c>
      <c r="AA349" s="316" t="str">
        <f t="shared" ca="1" si="169"/>
        <v/>
      </c>
      <c r="AC349" s="310" t="e">
        <f t="shared" ca="1" si="170"/>
        <v>#N/A</v>
      </c>
      <c r="AD349" s="323" t="e">
        <f t="shared" ca="1" si="171"/>
        <v>#N/A</v>
      </c>
      <c r="AE349" s="324" t="e">
        <f t="shared" ca="1" si="150"/>
        <v>#N/A</v>
      </c>
      <c r="AG349" s="306">
        <f t="shared" ca="1" si="172"/>
        <v>1.8908680839621042</v>
      </c>
      <c r="AH349" s="304">
        <f t="shared" ca="1" si="173"/>
        <v>-7.8772458491773865</v>
      </c>
    </row>
    <row r="350" spans="1:34" x14ac:dyDescent="0.2">
      <c r="A350" s="347">
        <f t="shared" ca="1" si="151"/>
        <v>0.1</v>
      </c>
      <c r="B350" s="304">
        <f t="shared" ca="1" si="152"/>
        <v>28.800000000000118</v>
      </c>
      <c r="D350" s="306">
        <f t="shared" ca="1" si="153"/>
        <v>-0.72306678170509586</v>
      </c>
      <c r="E350" s="307">
        <f t="shared" ca="1" si="154"/>
        <v>-1.9261395624703939</v>
      </c>
      <c r="F350" s="304">
        <f t="shared" ca="1" si="155"/>
        <v>2.0573864938117499</v>
      </c>
      <c r="G350" s="306">
        <f t="shared" ca="1" si="156"/>
        <v>8.339847011653303</v>
      </c>
      <c r="H350" s="307">
        <f t="shared" ca="1" si="157"/>
        <v>-91.913389059796899</v>
      </c>
      <c r="I350" s="304">
        <f t="shared" ca="1" si="158"/>
        <v>92.290975380236262</v>
      </c>
      <c r="J350" s="306">
        <f t="shared" ca="1" si="159"/>
        <v>562.6920072049154</v>
      </c>
      <c r="K350" s="307">
        <f t="shared" ca="1" si="160"/>
        <v>342.77856085853557</v>
      </c>
      <c r="L350" s="304">
        <f t="shared" ca="1" si="145"/>
        <v>658.87740646993302</v>
      </c>
      <c r="M350" s="306">
        <f t="shared" ca="1" si="161"/>
        <v>-1.4803081819335524</v>
      </c>
      <c r="N350" s="304">
        <f t="shared" ca="1" si="162"/>
        <v>-84.815411203476572</v>
      </c>
      <c r="P350" s="310">
        <f t="shared" ca="1" si="163"/>
        <v>23</v>
      </c>
      <c r="Q350" s="304">
        <f t="shared" ca="1" si="164"/>
        <v>0</v>
      </c>
      <c r="R350" s="306">
        <f t="shared" ca="1" si="165"/>
        <v>0</v>
      </c>
      <c r="S350" s="307">
        <f t="shared" ca="1" si="166"/>
        <v>2.5949999999999998</v>
      </c>
      <c r="T350" s="304">
        <f t="shared" ca="1" si="146"/>
        <v>25.456949999999999</v>
      </c>
      <c r="U350" s="311">
        <f t="shared" ca="1" si="147"/>
        <v>0</v>
      </c>
      <c r="V350" s="306">
        <f t="shared" ca="1" si="148"/>
        <v>1.1837171697518607</v>
      </c>
      <c r="W350" s="304">
        <f t="shared" ca="1" si="149"/>
        <v>20.6461599807682</v>
      </c>
      <c r="Y350" s="314" t="str">
        <f t="shared" ca="1" si="167"/>
        <v/>
      </c>
      <c r="Z350" s="315" t="str">
        <f t="shared" ca="1" si="168"/>
        <v/>
      </c>
      <c r="AA350" s="316" t="str">
        <f t="shared" ca="1" si="169"/>
        <v/>
      </c>
      <c r="AC350" s="310" t="e">
        <f t="shared" ca="1" si="170"/>
        <v>#N/A</v>
      </c>
      <c r="AD350" s="323" t="e">
        <f t="shared" ca="1" si="171"/>
        <v>#N/A</v>
      </c>
      <c r="AE350" s="324" t="e">
        <f t="shared" ca="1" si="150"/>
        <v>#N/A</v>
      </c>
      <c r="AG350" s="306">
        <f t="shared" ca="1" si="172"/>
        <v>1.8520505792475594</v>
      </c>
      <c r="AH350" s="304">
        <f t="shared" ca="1" si="173"/>
        <v>-7.9169489684631591</v>
      </c>
    </row>
    <row r="351" spans="1:34" x14ac:dyDescent="0.2">
      <c r="A351" s="347">
        <f t="shared" ca="1" si="151"/>
        <v>0.1</v>
      </c>
      <c r="B351" s="304">
        <f t="shared" ca="1" si="152"/>
        <v>28.900000000000119</v>
      </c>
      <c r="D351" s="306">
        <f t="shared" ca="1" si="153"/>
        <v>-0.71895345331710192</v>
      </c>
      <c r="E351" s="307">
        <f t="shared" ca="1" si="154"/>
        <v>-1.8864195820039038</v>
      </c>
      <c r="F351" s="304">
        <f t="shared" ca="1" si="155"/>
        <v>2.0187800542417613</v>
      </c>
      <c r="G351" s="306">
        <f t="shared" ca="1" si="156"/>
        <v>8.2679516663215935</v>
      </c>
      <c r="H351" s="307">
        <f t="shared" ca="1" si="157"/>
        <v>-92.102031017997291</v>
      </c>
      <c r="I351" s="304">
        <f t="shared" ca="1" si="158"/>
        <v>92.472391244072213</v>
      </c>
      <c r="J351" s="306">
        <f t="shared" ca="1" si="159"/>
        <v>563.5223971388142</v>
      </c>
      <c r="K351" s="307">
        <f t="shared" ca="1" si="160"/>
        <v>333.57778985464586</v>
      </c>
      <c r="L351" s="304">
        <f t="shared" ca="1" si="145"/>
        <v>654.85237570110849</v>
      </c>
      <c r="M351" s="306">
        <f t="shared" ca="1" si="161"/>
        <v>-1.4812668225679984</v>
      </c>
      <c r="N351" s="304">
        <f t="shared" ca="1" si="162"/>
        <v>-84.870337265900062</v>
      </c>
      <c r="P351" s="310">
        <f t="shared" ca="1" si="163"/>
        <v>23</v>
      </c>
      <c r="Q351" s="304">
        <f t="shared" ca="1" si="164"/>
        <v>0</v>
      </c>
      <c r="R351" s="306">
        <f t="shared" ca="1" si="165"/>
        <v>0</v>
      </c>
      <c r="S351" s="307">
        <f t="shared" ca="1" si="166"/>
        <v>2.5949999999999998</v>
      </c>
      <c r="T351" s="304">
        <f t="shared" ca="1" si="146"/>
        <v>25.456949999999999</v>
      </c>
      <c r="U351" s="311">
        <f t="shared" ca="1" si="147"/>
        <v>0</v>
      </c>
      <c r="V351" s="306">
        <f t="shared" ca="1" si="148"/>
        <v>1.1848070937839745</v>
      </c>
      <c r="W351" s="304">
        <f t="shared" ca="1" si="149"/>
        <v>20.746492892130981</v>
      </c>
      <c r="Y351" s="314" t="str">
        <f t="shared" ca="1" si="167"/>
        <v/>
      </c>
      <c r="Z351" s="315" t="str">
        <f t="shared" ca="1" si="168"/>
        <v/>
      </c>
      <c r="AA351" s="316" t="str">
        <f t="shared" ca="1" si="169"/>
        <v/>
      </c>
      <c r="AC351" s="310" t="e">
        <f t="shared" ca="1" si="170"/>
        <v>#N/A</v>
      </c>
      <c r="AD351" s="323" t="e">
        <f t="shared" ca="1" si="171"/>
        <v>#N/A</v>
      </c>
      <c r="AE351" s="324" t="e">
        <f t="shared" ca="1" si="150"/>
        <v>#N/A</v>
      </c>
      <c r="AG351" s="306">
        <f t="shared" ca="1" si="172"/>
        <v>1.813733731515268</v>
      </c>
      <c r="AH351" s="304">
        <f t="shared" ca="1" si="173"/>
        <v>-7.9561310137835077</v>
      </c>
    </row>
    <row r="352" spans="1:34" x14ac:dyDescent="0.2">
      <c r="A352" s="347">
        <f t="shared" ca="1" si="151"/>
        <v>0.1</v>
      </c>
      <c r="B352" s="304">
        <f t="shared" ca="1" si="152"/>
        <v>29.000000000000121</v>
      </c>
      <c r="D352" s="306">
        <f t="shared" ca="1" si="153"/>
        <v>-0.71481419837352445</v>
      </c>
      <c r="E352" s="307">
        <f t="shared" ca="1" si="154"/>
        <v>-1.8472249224826971</v>
      </c>
      <c r="F352" s="304">
        <f t="shared" ca="1" si="155"/>
        <v>1.9807067557913742</v>
      </c>
      <c r="G352" s="306">
        <f t="shared" ca="1" si="156"/>
        <v>8.1964702464842407</v>
      </c>
      <c r="H352" s="307">
        <f t="shared" ca="1" si="157"/>
        <v>-92.286753510245561</v>
      </c>
      <c r="I352" s="304">
        <f t="shared" ca="1" si="158"/>
        <v>92.650024273943515</v>
      </c>
      <c r="J352" s="306">
        <f t="shared" ca="1" si="159"/>
        <v>564.34561823445449</v>
      </c>
      <c r="K352" s="307">
        <f t="shared" ca="1" si="160"/>
        <v>324.35835062823372</v>
      </c>
      <c r="L352" s="304">
        <f t="shared" ca="1" si="145"/>
        <v>650.91805662671311</v>
      </c>
      <c r="M352" s="306">
        <f t="shared" ca="1" si="161"/>
        <v>-1.4822135160254308</v>
      </c>
      <c r="N352" s="304">
        <f t="shared" ca="1" si="162"/>
        <v>-84.9245788055036</v>
      </c>
      <c r="P352" s="310">
        <f t="shared" ca="1" si="163"/>
        <v>23</v>
      </c>
      <c r="Q352" s="304">
        <f t="shared" ca="1" si="164"/>
        <v>0</v>
      </c>
      <c r="R352" s="306">
        <f t="shared" ca="1" si="165"/>
        <v>0</v>
      </c>
      <c r="S352" s="307">
        <f t="shared" ca="1" si="166"/>
        <v>2.5949999999999998</v>
      </c>
      <c r="T352" s="304">
        <f t="shared" ca="1" si="146"/>
        <v>25.456949999999999</v>
      </c>
      <c r="U352" s="311">
        <f t="shared" ca="1" si="147"/>
        <v>0</v>
      </c>
      <c r="V352" s="306">
        <f t="shared" ca="1" si="148"/>
        <v>1.18590021907065</v>
      </c>
      <c r="W352" s="304">
        <f t="shared" ca="1" si="149"/>
        <v>20.845489297234955</v>
      </c>
      <c r="Y352" s="314" t="str">
        <f t="shared" ca="1" si="167"/>
        <v/>
      </c>
      <c r="Z352" s="315" t="str">
        <f t="shared" ca="1" si="168"/>
        <v/>
      </c>
      <c r="AA352" s="316" t="str">
        <f t="shared" ca="1" si="169"/>
        <v/>
      </c>
      <c r="AC352" s="310">
        <f t="shared" ca="1" si="170"/>
        <v>29.000000000000121</v>
      </c>
      <c r="AD352" s="323">
        <f t="shared" ca="1" si="171"/>
        <v>564.34561823445449</v>
      </c>
      <c r="AE352" s="324" t="e">
        <f t="shared" ca="1" si="150"/>
        <v>#N/A</v>
      </c>
      <c r="AG352" s="306">
        <f t="shared" ca="1" si="172"/>
        <v>1.7759151207814536</v>
      </c>
      <c r="AH352" s="304">
        <f t="shared" ca="1" si="173"/>
        <v>-7.9947949487980665</v>
      </c>
    </row>
    <row r="353" spans="1:34" x14ac:dyDescent="0.2">
      <c r="A353" s="347">
        <f t="shared" ca="1" si="151"/>
        <v>0.1</v>
      </c>
      <c r="B353" s="304">
        <f t="shared" ca="1" si="152"/>
        <v>29.100000000000122</v>
      </c>
      <c r="D353" s="306">
        <f t="shared" ca="1" si="153"/>
        <v>-0.71065049140201619</v>
      </c>
      <c r="E353" s="307">
        <f t="shared" ca="1" si="154"/>
        <v>-1.8085524549321779</v>
      </c>
      <c r="F353" s="304">
        <f t="shared" ca="1" si="155"/>
        <v>1.9431639414035899</v>
      </c>
      <c r="G353" s="306">
        <f t="shared" ca="1" si="156"/>
        <v>8.1254051973440387</v>
      </c>
      <c r="H353" s="307">
        <f t="shared" ca="1" si="157"/>
        <v>-92.46760875573878</v>
      </c>
      <c r="I353" s="304">
        <f t="shared" ca="1" si="158"/>
        <v>92.823924063925489</v>
      </c>
      <c r="J353" s="306">
        <f t="shared" ca="1" si="159"/>
        <v>565.16171200664587</v>
      </c>
      <c r="K353" s="307">
        <f t="shared" ca="1" si="160"/>
        <v>315.12063251493453</v>
      </c>
      <c r="L353" s="304">
        <f t="shared" ca="1" si="145"/>
        <v>647.07710031718432</v>
      </c>
      <c r="M353" s="306">
        <f t="shared" ca="1" si="161"/>
        <v>-1.4831484705248492</v>
      </c>
      <c r="N353" s="304">
        <f t="shared" ca="1" si="162"/>
        <v>-84.978147752357032</v>
      </c>
      <c r="P353" s="310">
        <f t="shared" ca="1" si="163"/>
        <v>23</v>
      </c>
      <c r="Q353" s="304">
        <f t="shared" ca="1" si="164"/>
        <v>0</v>
      </c>
      <c r="R353" s="306">
        <f t="shared" ca="1" si="165"/>
        <v>0</v>
      </c>
      <c r="S353" s="307">
        <f t="shared" ca="1" si="166"/>
        <v>2.5949999999999998</v>
      </c>
      <c r="T353" s="304">
        <f t="shared" ca="1" si="146"/>
        <v>25.456949999999999</v>
      </c>
      <c r="U353" s="311">
        <f t="shared" ca="1" si="147"/>
        <v>0</v>
      </c>
      <c r="V353" s="306">
        <f t="shared" ca="1" si="148"/>
        <v>1.186996506758325</v>
      </c>
      <c r="W353" s="304">
        <f t="shared" ca="1" si="149"/>
        <v>20.943157471359093</v>
      </c>
      <c r="Y353" s="314" t="str">
        <f t="shared" ca="1" si="167"/>
        <v/>
      </c>
      <c r="Z353" s="315" t="str">
        <f t="shared" ca="1" si="168"/>
        <v/>
      </c>
      <c r="AA353" s="316" t="str">
        <f t="shared" ca="1" si="169"/>
        <v/>
      </c>
      <c r="AC353" s="310" t="e">
        <f t="shared" ca="1" si="170"/>
        <v>#N/A</v>
      </c>
      <c r="AD353" s="323" t="e">
        <f t="shared" ca="1" si="171"/>
        <v>#N/A</v>
      </c>
      <c r="AE353" s="324" t="e">
        <f t="shared" ca="1" si="150"/>
        <v>#N/A</v>
      </c>
      <c r="AG353" s="306">
        <f t="shared" ca="1" si="172"/>
        <v>1.73859219436331</v>
      </c>
      <c r="AH353" s="304">
        <f t="shared" ca="1" si="173"/>
        <v>-8.0329438524990202</v>
      </c>
    </row>
    <row r="354" spans="1:34" x14ac:dyDescent="0.2">
      <c r="A354" s="347">
        <f t="shared" ca="1" si="151"/>
        <v>0.1</v>
      </c>
      <c r="B354" s="304">
        <f t="shared" ca="1" si="152"/>
        <v>29.200000000000124</v>
      </c>
      <c r="D354" s="306">
        <f t="shared" ca="1" si="153"/>
        <v>-0.70646377821267003</v>
      </c>
      <c r="E354" s="307">
        <f t="shared" ca="1" si="154"/>
        <v>-1.7703989392156121</v>
      </c>
      <c r="F354" s="304">
        <f t="shared" ca="1" si="155"/>
        <v>1.9061488593240259</v>
      </c>
      <c r="G354" s="306">
        <f t="shared" ca="1" si="156"/>
        <v>8.0547588195227711</v>
      </c>
      <c r="H354" s="307">
        <f t="shared" ca="1" si="157"/>
        <v>-92.64464864966034</v>
      </c>
      <c r="I354" s="304">
        <f t="shared" ca="1" si="158"/>
        <v>92.994139939351513</v>
      </c>
      <c r="J354" s="306">
        <f t="shared" ca="1" si="159"/>
        <v>565.97072020748919</v>
      </c>
      <c r="K354" s="307">
        <f t="shared" ca="1" si="160"/>
        <v>305.86501964466459</v>
      </c>
      <c r="L354" s="304">
        <f t="shared" ca="1" si="145"/>
        <v>643.33215866643502</v>
      </c>
      <c r="M354" s="306">
        <f t="shared" ca="1" si="161"/>
        <v>-1.4840718890662272</v>
      </c>
      <c r="N354" s="304">
        <f t="shared" ca="1" si="162"/>
        <v>-85.031055737502129</v>
      </c>
      <c r="P354" s="310">
        <f t="shared" ca="1" si="163"/>
        <v>23</v>
      </c>
      <c r="Q354" s="304">
        <f t="shared" ca="1" si="164"/>
        <v>0</v>
      </c>
      <c r="R354" s="306">
        <f t="shared" ca="1" si="165"/>
        <v>0</v>
      </c>
      <c r="S354" s="307">
        <f t="shared" ca="1" si="166"/>
        <v>2.5949999999999998</v>
      </c>
      <c r="T354" s="304">
        <f t="shared" ca="1" si="146"/>
        <v>25.456949999999999</v>
      </c>
      <c r="U354" s="311">
        <f t="shared" ca="1" si="147"/>
        <v>0</v>
      </c>
      <c r="V354" s="306">
        <f t="shared" ca="1" si="148"/>
        <v>1.1880959184745659</v>
      </c>
      <c r="W354" s="304">
        <f t="shared" ca="1" si="149"/>
        <v>21.039505961378484</v>
      </c>
      <c r="Y354" s="314" t="str">
        <f t="shared" ca="1" si="167"/>
        <v/>
      </c>
      <c r="Z354" s="315" t="str">
        <f t="shared" ca="1" si="168"/>
        <v/>
      </c>
      <c r="AA354" s="316" t="str">
        <f t="shared" ca="1" si="169"/>
        <v/>
      </c>
      <c r="AC354" s="310" t="e">
        <f t="shared" ca="1" si="170"/>
        <v>#N/A</v>
      </c>
      <c r="AD354" s="323" t="e">
        <f t="shared" ca="1" si="171"/>
        <v>#N/A</v>
      </c>
      <c r="AE354" s="324" t="e">
        <f t="shared" ca="1" si="150"/>
        <v>#N/A</v>
      </c>
      <c r="AG354" s="306">
        <f t="shared" ca="1" si="172"/>
        <v>1.7017622729346531</v>
      </c>
      <c r="AH354" s="304">
        <f t="shared" ca="1" si="173"/>
        <v>-8.0705809138185334</v>
      </c>
    </row>
    <row r="355" spans="1:34" x14ac:dyDescent="0.2">
      <c r="A355" s="347">
        <f t="shared" ca="1" si="151"/>
        <v>0.1</v>
      </c>
      <c r="B355" s="304">
        <f t="shared" ca="1" si="152"/>
        <v>29.300000000000125</v>
      </c>
      <c r="D355" s="306">
        <f t="shared" ca="1" si="153"/>
        <v>-0.70225547599678873</v>
      </c>
      <c r="E355" s="307">
        <f t="shared" ca="1" si="154"/>
        <v>-1.7327610293765208</v>
      </c>
      <c r="F355" s="304">
        <f t="shared" ca="1" si="155"/>
        <v>1.869658668980372</v>
      </c>
      <c r="G355" s="306">
        <f t="shared" ca="1" si="156"/>
        <v>7.9845332719230919</v>
      </c>
      <c r="H355" s="307">
        <f t="shared" ca="1" si="157"/>
        <v>-92.817924752597989</v>
      </c>
      <c r="I355" s="304">
        <f t="shared" ca="1" si="158"/>
        <v>93.160720944770432</v>
      </c>
      <c r="J355" s="306">
        <f t="shared" ca="1" si="159"/>
        <v>566.77268481206147</v>
      </c>
      <c r="K355" s="307">
        <f t="shared" ca="1" si="160"/>
        <v>296.59189097455169</v>
      </c>
      <c r="L355" s="304">
        <f t="shared" ca="1" si="145"/>
        <v>639.68588075783941</v>
      </c>
      <c r="M355" s="306">
        <f t="shared" ca="1" si="161"/>
        <v>-1.4849839695976152</v>
      </c>
      <c r="N355" s="304">
        <f t="shared" ca="1" si="162"/>
        <v>-85.083314102526714</v>
      </c>
      <c r="P355" s="310">
        <f t="shared" ca="1" si="163"/>
        <v>23</v>
      </c>
      <c r="Q355" s="304">
        <f t="shared" ca="1" si="164"/>
        <v>0</v>
      </c>
      <c r="R355" s="306">
        <f t="shared" ca="1" si="165"/>
        <v>0</v>
      </c>
      <c r="S355" s="307">
        <f t="shared" ca="1" si="166"/>
        <v>2.5949999999999998</v>
      </c>
      <c r="T355" s="304">
        <f t="shared" ca="1" si="146"/>
        <v>25.456949999999999</v>
      </c>
      <c r="U355" s="311">
        <f t="shared" ca="1" si="147"/>
        <v>0</v>
      </c>
      <c r="V355" s="306">
        <f t="shared" ca="1" si="148"/>
        <v>1.1891984163257097</v>
      </c>
      <c r="W355" s="304">
        <f t="shared" ca="1" si="149"/>
        <v>21.134543572363</v>
      </c>
      <c r="Y355" s="314" t="str">
        <f t="shared" ca="1" si="167"/>
        <v/>
      </c>
      <c r="Z355" s="315" t="str">
        <f t="shared" ca="1" si="168"/>
        <v/>
      </c>
      <c r="AA355" s="316" t="str">
        <f t="shared" ca="1" si="169"/>
        <v/>
      </c>
      <c r="AC355" s="310" t="e">
        <f t="shared" ca="1" si="170"/>
        <v>#N/A</v>
      </c>
      <c r="AD355" s="323" t="e">
        <f t="shared" ca="1" si="171"/>
        <v>#N/A</v>
      </c>
      <c r="AE355" s="324" t="e">
        <f t="shared" ca="1" si="150"/>
        <v>#N/A</v>
      </c>
      <c r="AG355" s="306">
        <f t="shared" ca="1" si="172"/>
        <v>1.6654225564382195</v>
      </c>
      <c r="AH355" s="304">
        <f t="shared" ca="1" si="173"/>
        <v>-8.1077094263500911</v>
      </c>
    </row>
    <row r="356" spans="1:34" x14ac:dyDescent="0.2">
      <c r="A356" s="347">
        <f t="shared" ca="1" si="151"/>
        <v>0.1</v>
      </c>
      <c r="B356" s="304">
        <f t="shared" ca="1" si="152"/>
        <v>29.400000000000126</v>
      </c>
      <c r="D356" s="306">
        <f t="shared" ca="1" si="153"/>
        <v>-0.69802697344409836</v>
      </c>
      <c r="E356" s="307">
        <f t="shared" ca="1" si="154"/>
        <v>-1.6956352788654261</v>
      </c>
      <c r="F356" s="304">
        <f t="shared" ca="1" si="155"/>
        <v>1.833690446773544</v>
      </c>
      <c r="G356" s="306">
        <f t="shared" ca="1" si="156"/>
        <v>7.914730574578682</v>
      </c>
      <c r="H356" s="307">
        <f t="shared" ca="1" si="157"/>
        <v>-92.987488280484527</v>
      </c>
      <c r="I356" s="304">
        <f t="shared" ca="1" si="158"/>
        <v>93.323715832479678</v>
      </c>
      <c r="J356" s="306">
        <f t="shared" ca="1" si="159"/>
        <v>567.56764800438657</v>
      </c>
      <c r="K356" s="307">
        <f t="shared" ca="1" si="160"/>
        <v>287.30162032289758</v>
      </c>
      <c r="L356" s="304">
        <f t="shared" ca="1" si="145"/>
        <v>636.14090899846519</v>
      </c>
      <c r="M356" s="306">
        <f t="shared" ca="1" si="161"/>
        <v>-1.4858849051759571</v>
      </c>
      <c r="N356" s="304">
        <f t="shared" ca="1" si="162"/>
        <v>-85.134933908778876</v>
      </c>
      <c r="P356" s="310">
        <f t="shared" ca="1" si="163"/>
        <v>23</v>
      </c>
      <c r="Q356" s="304">
        <f t="shared" ca="1" si="164"/>
        <v>0</v>
      </c>
      <c r="R356" s="306">
        <f t="shared" ca="1" si="165"/>
        <v>0</v>
      </c>
      <c r="S356" s="307">
        <f t="shared" ca="1" si="166"/>
        <v>2.5949999999999998</v>
      </c>
      <c r="T356" s="304">
        <f t="shared" ca="1" si="146"/>
        <v>25.456949999999999</v>
      </c>
      <c r="U356" s="311">
        <f t="shared" ca="1" si="147"/>
        <v>0</v>
      </c>
      <c r="V356" s="306">
        <f t="shared" ca="1" si="148"/>
        <v>1.1903039628944061</v>
      </c>
      <c r="W356" s="304">
        <f t="shared" ca="1" si="149"/>
        <v>21.228279354473838</v>
      </c>
      <c r="Y356" s="314" t="str">
        <f t="shared" ca="1" si="167"/>
        <v/>
      </c>
      <c r="Z356" s="315" t="str">
        <f t="shared" ca="1" si="168"/>
        <v/>
      </c>
      <c r="AA356" s="316" t="str">
        <f t="shared" ca="1" si="169"/>
        <v/>
      </c>
      <c r="AC356" s="310" t="e">
        <f t="shared" ca="1" si="170"/>
        <v>#N/A</v>
      </c>
      <c r="AD356" s="323" t="e">
        <f t="shared" ca="1" si="171"/>
        <v>#N/A</v>
      </c>
      <c r="AE356" s="324" t="e">
        <f t="shared" ca="1" si="150"/>
        <v>#N/A</v>
      </c>
      <c r="AG356" s="306">
        <f t="shared" ca="1" si="172"/>
        <v>1.6295701298556704</v>
      </c>
      <c r="AH356" s="304">
        <f t="shared" ca="1" si="173"/>
        <v>-8.1443327831842005</v>
      </c>
    </row>
    <row r="357" spans="1:34" x14ac:dyDescent="0.2">
      <c r="A357" s="347">
        <f t="shared" ca="1" si="151"/>
        <v>0.1</v>
      </c>
      <c r="B357" s="304">
        <f t="shared" ca="1" si="152"/>
        <v>29.500000000000128</v>
      </c>
      <c r="D357" s="306">
        <f t="shared" ca="1" si="153"/>
        <v>-0.69377963087745764</v>
      </c>
      <c r="E357" s="307">
        <f t="shared" ca="1" si="154"/>
        <v>-1.6590181456504407</v>
      </c>
      <c r="F357" s="304">
        <f t="shared" ca="1" si="155"/>
        <v>1.7982411917809824</v>
      </c>
      <c r="G357" s="306">
        <f t="shared" ca="1" si="156"/>
        <v>7.8453526114909362</v>
      </c>
      <c r="H357" s="307">
        <f t="shared" ca="1" si="157"/>
        <v>-93.153390095049573</v>
      </c>
      <c r="I357" s="304">
        <f t="shared" ca="1" si="158"/>
        <v>93.483173051619872</v>
      </c>
      <c r="J357" s="306">
        <f t="shared" ca="1" si="159"/>
        <v>568.35565216369002</v>
      </c>
      <c r="K357" s="307">
        <f t="shared" ca="1" si="160"/>
        <v>277.99457640412089</v>
      </c>
      <c r="L357" s="304">
        <f t="shared" ca="1" si="145"/>
        <v>632.69987502489676</v>
      </c>
      <c r="M357" s="306">
        <f t="shared" ca="1" si="161"/>
        <v>-1.486774884121884</v>
      </c>
      <c r="N357" s="304">
        <f t="shared" ca="1" si="162"/>
        <v>-85.185925946235983</v>
      </c>
      <c r="P357" s="310">
        <f t="shared" ca="1" si="163"/>
        <v>23</v>
      </c>
      <c r="Q357" s="304">
        <f t="shared" ca="1" si="164"/>
        <v>0</v>
      </c>
      <c r="R357" s="306">
        <f t="shared" ca="1" si="165"/>
        <v>0</v>
      </c>
      <c r="S357" s="307">
        <f t="shared" ca="1" si="166"/>
        <v>2.5949999999999998</v>
      </c>
      <c r="T357" s="304">
        <f t="shared" ca="1" si="146"/>
        <v>25.456949999999999</v>
      </c>
      <c r="U357" s="311">
        <f t="shared" ca="1" si="147"/>
        <v>0</v>
      </c>
      <c r="V357" s="306">
        <f t="shared" ca="1" si="148"/>
        <v>1.1914125212370545</v>
      </c>
      <c r="W357" s="304">
        <f t="shared" ca="1" si="149"/>
        <v>21.320722590158525</v>
      </c>
      <c r="Y357" s="314" t="str">
        <f t="shared" ca="1" si="167"/>
        <v/>
      </c>
      <c r="Z357" s="315" t="str">
        <f t="shared" ca="1" si="168"/>
        <v/>
      </c>
      <c r="AA357" s="316" t="str">
        <f t="shared" ca="1" si="169"/>
        <v/>
      </c>
      <c r="AC357" s="310" t="e">
        <f t="shared" ca="1" si="170"/>
        <v>#N/A</v>
      </c>
      <c r="AD357" s="323" t="e">
        <f t="shared" ca="1" si="171"/>
        <v>#N/A</v>
      </c>
      <c r="AE357" s="324" t="e">
        <f t="shared" ca="1" si="150"/>
        <v>#N/A</v>
      </c>
      <c r="AG357" s="306">
        <f t="shared" ca="1" si="172"/>
        <v>1.5942019688362716</v>
      </c>
      <c r="AH357" s="304">
        <f t="shared" ca="1" si="173"/>
        <v>-8.1804544718588978</v>
      </c>
    </row>
    <row r="358" spans="1:34" x14ac:dyDescent="0.2">
      <c r="A358" s="347">
        <f t="shared" ca="1" si="151"/>
        <v>0.1</v>
      </c>
      <c r="B358" s="304">
        <f t="shared" ca="1" si="152"/>
        <v>29.600000000000129</v>
      </c>
      <c r="D358" s="306">
        <f t="shared" ca="1" si="153"/>
        <v>-0.68951478040423575</v>
      </c>
      <c r="E358" s="307">
        <f t="shared" ca="1" si="154"/>
        <v>-1.6229059972115483</v>
      </c>
      <c r="F358" s="304">
        <f t="shared" ca="1" si="155"/>
        <v>1.7633078313729318</v>
      </c>
      <c r="G358" s="306">
        <f t="shared" ca="1" si="156"/>
        <v>7.7764011334505128</v>
      </c>
      <c r="H358" s="307">
        <f t="shared" ca="1" si="157"/>
        <v>-93.315680694770734</v>
      </c>
      <c r="I358" s="304">
        <f t="shared" ca="1" si="158"/>
        <v>93.6391407378172</v>
      </c>
      <c r="J358" s="306">
        <f t="shared" ca="1" si="159"/>
        <v>569.13673985093715</v>
      </c>
      <c r="K358" s="307">
        <f t="shared" ca="1" si="160"/>
        <v>268.67112286462987</v>
      </c>
      <c r="L358" s="304">
        <f t="shared" ca="1" si="145"/>
        <v>629.36539538609395</v>
      </c>
      <c r="M358" s="306">
        <f t="shared" ca="1" si="161"/>
        <v>-1.4876540901687525</v>
      </c>
      <c r="N358" s="304">
        <f t="shared" ca="1" si="162"/>
        <v>-85.236300742043937</v>
      </c>
      <c r="P358" s="310">
        <f t="shared" ca="1" si="163"/>
        <v>23</v>
      </c>
      <c r="Q358" s="304">
        <f t="shared" ca="1" si="164"/>
        <v>0</v>
      </c>
      <c r="R358" s="306">
        <f t="shared" ca="1" si="165"/>
        <v>0</v>
      </c>
      <c r="S358" s="307">
        <f t="shared" ca="1" si="166"/>
        <v>2.5949999999999998</v>
      </c>
      <c r="T358" s="304">
        <f t="shared" ca="1" si="146"/>
        <v>25.456949999999999</v>
      </c>
      <c r="U358" s="311">
        <f t="shared" ca="1" si="147"/>
        <v>0</v>
      </c>
      <c r="V358" s="306">
        <f t="shared" ca="1" si="148"/>
        <v>1.1925240548811415</v>
      </c>
      <c r="W358" s="304">
        <f t="shared" ca="1" si="149"/>
        <v>21.411882781644614</v>
      </c>
      <c r="Y358" s="314" t="str">
        <f t="shared" ca="1" si="167"/>
        <v/>
      </c>
      <c r="Z358" s="315" t="str">
        <f t="shared" ca="1" si="168"/>
        <v/>
      </c>
      <c r="AA358" s="316" t="str">
        <f t="shared" ca="1" si="169"/>
        <v/>
      </c>
      <c r="AC358" s="310" t="e">
        <f t="shared" ca="1" si="170"/>
        <v>#N/A</v>
      </c>
      <c r="AD358" s="323" t="e">
        <f t="shared" ca="1" si="171"/>
        <v>#N/A</v>
      </c>
      <c r="AE358" s="324" t="e">
        <f t="shared" ca="1" si="150"/>
        <v>#N/A</v>
      </c>
      <c r="AG358" s="306">
        <f t="shared" ca="1" si="172"/>
        <v>1.5593149451853225</v>
      </c>
      <c r="AH358" s="304">
        <f t="shared" ca="1" si="173"/>
        <v>-8.2160780694252509</v>
      </c>
    </row>
    <row r="359" spans="1:34" x14ac:dyDescent="0.2">
      <c r="A359" s="347">
        <f t="shared" ca="1" si="151"/>
        <v>0.1</v>
      </c>
      <c r="B359" s="304">
        <f t="shared" ca="1" si="152"/>
        <v>29.700000000000131</v>
      </c>
      <c r="D359" s="306">
        <f t="shared" ca="1" si="153"/>
        <v>-0.68523372608343136</v>
      </c>
      <c r="E359" s="307">
        <f t="shared" ca="1" si="154"/>
        <v>-1.5872951154183923</v>
      </c>
      <c r="F359" s="304">
        <f t="shared" ca="1" si="155"/>
        <v>1.7288872267424704</v>
      </c>
      <c r="G359" s="306">
        <f t="shared" ca="1" si="156"/>
        <v>7.7078777608421696</v>
      </c>
      <c r="H359" s="307">
        <f t="shared" ca="1" si="157"/>
        <v>-93.474410206312569</v>
      </c>
      <c r="I359" s="304">
        <f t="shared" ca="1" si="158"/>
        <v>93.79166670335951</v>
      </c>
      <c r="J359" s="306">
        <f t="shared" ca="1" si="159"/>
        <v>569.91095379565184</v>
      </c>
      <c r="K359" s="307">
        <f t="shared" ca="1" si="160"/>
        <v>259.33161831957568</v>
      </c>
      <c r="L359" s="304">
        <f t="shared" ca="1" si="145"/>
        <v>626.14006701098413</v>
      </c>
      <c r="M359" s="306">
        <f t="shared" ca="1" si="161"/>
        <v>-1.4885227026061632</v>
      </c>
      <c r="N359" s="304">
        <f t="shared" ca="1" si="162"/>
        <v>-85.286068568740134</v>
      </c>
      <c r="P359" s="310">
        <f t="shared" ca="1" si="163"/>
        <v>23</v>
      </c>
      <c r="Q359" s="304">
        <f t="shared" ca="1" si="164"/>
        <v>0</v>
      </c>
      <c r="R359" s="306">
        <f t="shared" ca="1" si="165"/>
        <v>0</v>
      </c>
      <c r="S359" s="307">
        <f t="shared" ca="1" si="166"/>
        <v>2.5949999999999998</v>
      </c>
      <c r="T359" s="304">
        <f t="shared" ca="1" si="146"/>
        <v>25.456949999999999</v>
      </c>
      <c r="U359" s="311">
        <f t="shared" ca="1" si="147"/>
        <v>0</v>
      </c>
      <c r="V359" s="306">
        <f t="shared" ca="1" si="148"/>
        <v>1.1936385278224861</v>
      </c>
      <c r="W359" s="304">
        <f t="shared" ca="1" si="149"/>
        <v>21.501769638731815</v>
      </c>
      <c r="Y359" s="314" t="str">
        <f t="shared" ca="1" si="167"/>
        <v/>
      </c>
      <c r="Z359" s="315" t="str">
        <f t="shared" ca="1" si="168"/>
        <v/>
      </c>
      <c r="AA359" s="316" t="str">
        <f t="shared" ca="1" si="169"/>
        <v/>
      </c>
      <c r="AC359" s="310" t="e">
        <f t="shared" ca="1" si="170"/>
        <v>#N/A</v>
      </c>
      <c r="AD359" s="323" t="e">
        <f t="shared" ca="1" si="171"/>
        <v>#N/A</v>
      </c>
      <c r="AE359" s="324" t="e">
        <f t="shared" ca="1" si="150"/>
        <v>#N/A</v>
      </c>
      <c r="AG359" s="306">
        <f t="shared" ca="1" si="172"/>
        <v>1.5249058322135003</v>
      </c>
      <c r="AH359" s="304">
        <f t="shared" ca="1" si="173"/>
        <v>-8.2512072376279839</v>
      </c>
    </row>
    <row r="360" spans="1:34" x14ac:dyDescent="0.2">
      <c r="A360" s="347">
        <f t="shared" ca="1" si="151"/>
        <v>0.1</v>
      </c>
      <c r="B360" s="304">
        <f t="shared" ca="1" si="152"/>
        <v>29.800000000000132</v>
      </c>
      <c r="D360" s="306">
        <f t="shared" ca="1" si="153"/>
        <v>-0.68093774410774799</v>
      </c>
      <c r="E360" s="307">
        <f t="shared" ca="1" si="154"/>
        <v>-1.5521817012917563</v>
      </c>
      <c r="F360" s="304">
        <f t="shared" ca="1" si="155"/>
        <v>1.6949761783504569</v>
      </c>
      <c r="G360" s="306">
        <f t="shared" ca="1" si="156"/>
        <v>7.6397839864313948</v>
      </c>
      <c r="H360" s="307">
        <f t="shared" ca="1" si="157"/>
        <v>-93.629628376441744</v>
      </c>
      <c r="I360" s="304">
        <f t="shared" ca="1" si="158"/>
        <v>93.940798427892432</v>
      </c>
      <c r="J360" s="306">
        <f t="shared" ca="1" si="159"/>
        <v>570.6783368830155</v>
      </c>
      <c r="K360" s="307">
        <f t="shared" ca="1" si="160"/>
        <v>249.97641639043798</v>
      </c>
      <c r="L360" s="304">
        <f t="shared" ca="1" si="145"/>
        <v>623.02646247087307</v>
      </c>
      <c r="M360" s="306">
        <f t="shared" ca="1" si="161"/>
        <v>-1.4893808964181992</v>
      </c>
      <c r="N360" s="304">
        <f t="shared" ca="1" si="162"/>
        <v>-85.335239452174037</v>
      </c>
      <c r="P360" s="310">
        <f t="shared" ca="1" si="163"/>
        <v>23</v>
      </c>
      <c r="Q360" s="304">
        <f t="shared" ca="1" si="164"/>
        <v>0</v>
      </c>
      <c r="R360" s="306">
        <f t="shared" ca="1" si="165"/>
        <v>0</v>
      </c>
      <c r="S360" s="307">
        <f t="shared" ca="1" si="166"/>
        <v>2.5949999999999998</v>
      </c>
      <c r="T360" s="304">
        <f t="shared" ca="1" si="146"/>
        <v>25.456949999999999</v>
      </c>
      <c r="U360" s="311">
        <f t="shared" ca="1" si="147"/>
        <v>0</v>
      </c>
      <c r="V360" s="306">
        <f t="shared" ca="1" si="148"/>
        <v>1.1947559045223946</v>
      </c>
      <c r="W360" s="304">
        <f t="shared" ca="1" si="149"/>
        <v>21.590393066881937</v>
      </c>
      <c r="Y360" s="314" t="str">
        <f t="shared" ca="1" si="167"/>
        <v/>
      </c>
      <c r="Z360" s="315" t="str">
        <f t="shared" ca="1" si="168"/>
        <v/>
      </c>
      <c r="AA360" s="316" t="str">
        <f t="shared" ca="1" si="169"/>
        <v/>
      </c>
      <c r="AC360" s="310" t="e">
        <f t="shared" ca="1" si="170"/>
        <v>#N/A</v>
      </c>
      <c r="AD360" s="323" t="e">
        <f t="shared" ca="1" si="171"/>
        <v>#N/A</v>
      </c>
      <c r="AE360" s="324" t="e">
        <f t="shared" ca="1" si="150"/>
        <v>#N/A</v>
      </c>
      <c r="AG360" s="306">
        <f t="shared" ca="1" si="172"/>
        <v>1.4909713099483994</v>
      </c>
      <c r="AH360" s="304">
        <f t="shared" ca="1" si="173"/>
        <v>-8.2858457182010863</v>
      </c>
    </row>
    <row r="361" spans="1:34" x14ac:dyDescent="0.2">
      <c r="A361" s="347">
        <f t="shared" ca="1" si="151"/>
        <v>0.1</v>
      </c>
      <c r="B361" s="304">
        <f t="shared" ca="1" si="152"/>
        <v>29.900000000000134</v>
      </c>
      <c r="D361" s="306">
        <f t="shared" ca="1" si="153"/>
        <v>-0.67662808299976085</v>
      </c>
      <c r="E361" s="307">
        <f t="shared" ca="1" si="154"/>
        <v>-1.5175618796488752</v>
      </c>
      <c r="F361" s="304">
        <f t="shared" ca="1" si="155"/>
        <v>1.6615714312864671</v>
      </c>
      <c r="G361" s="306">
        <f t="shared" ca="1" si="156"/>
        <v>7.5721211781314191</v>
      </c>
      <c r="H361" s="307">
        <f t="shared" ca="1" si="157"/>
        <v>-93.781384564406636</v>
      </c>
      <c r="I361" s="304">
        <f t="shared" ca="1" si="158"/>
        <v>94.086583049622092</v>
      </c>
      <c r="J361" s="306">
        <f t="shared" ca="1" si="159"/>
        <v>571.43893214124364</v>
      </c>
      <c r="K361" s="307">
        <f t="shared" ca="1" si="160"/>
        <v>240.60586574339555</v>
      </c>
      <c r="L361" s="304">
        <f t="shared" ca="1" si="145"/>
        <v>620.02712504926251</v>
      </c>
      <c r="M361" s="306">
        <f t="shared" ca="1" si="161"/>
        <v>-1.490228842416605</v>
      </c>
      <c r="N361" s="304">
        <f t="shared" ca="1" si="162"/>
        <v>-85.383823179137707</v>
      </c>
      <c r="P361" s="310">
        <f t="shared" ca="1" si="163"/>
        <v>23</v>
      </c>
      <c r="Q361" s="304">
        <f t="shared" ca="1" si="164"/>
        <v>0</v>
      </c>
      <c r="R361" s="306">
        <f t="shared" ca="1" si="165"/>
        <v>0</v>
      </c>
      <c r="S361" s="307">
        <f t="shared" ca="1" si="166"/>
        <v>2.5949999999999998</v>
      </c>
      <c r="T361" s="304">
        <f t="shared" ca="1" si="146"/>
        <v>25.456949999999999</v>
      </c>
      <c r="U361" s="311">
        <f t="shared" ca="1" si="147"/>
        <v>0</v>
      </c>
      <c r="V361" s="306">
        <f t="shared" ca="1" si="148"/>
        <v>1.1958761499047317</v>
      </c>
      <c r="W361" s="304">
        <f t="shared" ca="1" si="149"/>
        <v>21.677763155605955</v>
      </c>
      <c r="Y361" s="314" t="str">
        <f t="shared" ca="1" si="167"/>
        <v/>
      </c>
      <c r="Z361" s="315" t="str">
        <f t="shared" ca="1" si="168"/>
        <v/>
      </c>
      <c r="AA361" s="316" t="str">
        <f t="shared" ca="1" si="169"/>
        <v/>
      </c>
      <c r="AC361" s="310" t="e">
        <f t="shared" ca="1" si="170"/>
        <v>#N/A</v>
      </c>
      <c r="AD361" s="323" t="e">
        <f t="shared" ca="1" si="171"/>
        <v>#N/A</v>
      </c>
      <c r="AE361" s="324" t="e">
        <f t="shared" ca="1" si="150"/>
        <v>#N/A</v>
      </c>
      <c r="AG361" s="306">
        <f t="shared" ca="1" si="172"/>
        <v>1.4575079702096048</v>
      </c>
      <c r="AH361" s="304">
        <f t="shared" ca="1" si="173"/>
        <v>-8.3199973282782036</v>
      </c>
    </row>
    <row r="362" spans="1:34" x14ac:dyDescent="0.2">
      <c r="A362" s="347">
        <f t="shared" ca="1" si="151"/>
        <v>0.1</v>
      </c>
      <c r="B362" s="304">
        <f t="shared" ca="1" si="152"/>
        <v>30.000000000000135</v>
      </c>
      <c r="D362" s="306">
        <f t="shared" ca="1" si="153"/>
        <v>-0.67230596382140106</v>
      </c>
      <c r="E362" s="307">
        <f t="shared" ca="1" si="154"/>
        <v>-1.4834317036329132</v>
      </c>
      <c r="F362" s="304">
        <f t="shared" ca="1" si="155"/>
        <v>1.6286696805470011</v>
      </c>
      <c r="G362" s="306">
        <f t="shared" ca="1" si="156"/>
        <v>7.5048905817492786</v>
      </c>
      <c r="H362" s="307">
        <f t="shared" ca="1" si="157"/>
        <v>-93.929727734769926</v>
      </c>
      <c r="I362" s="304">
        <f t="shared" ca="1" si="158"/>
        <v>94.229067357010578</v>
      </c>
      <c r="J362" s="306">
        <f t="shared" ca="1" si="159"/>
        <v>572.19278272923771</v>
      </c>
      <c r="K362" s="307">
        <f t="shared" ca="1" si="160"/>
        <v>231.22031012843672</v>
      </c>
      <c r="L362" s="304">
        <f t="shared" ca="1" si="145"/>
        <v>617.14456363425825</v>
      </c>
      <c r="M362" s="306">
        <f t="shared" ca="1" si="161"/>
        <v>-1.491066707369116</v>
      </c>
      <c r="N362" s="304">
        <f t="shared" ca="1" si="162"/>
        <v>-85.431829304718505</v>
      </c>
      <c r="P362" s="310">
        <f t="shared" ca="1" si="163"/>
        <v>23</v>
      </c>
      <c r="Q362" s="304">
        <f t="shared" ca="1" si="164"/>
        <v>0</v>
      </c>
      <c r="R362" s="306">
        <f t="shared" ca="1" si="165"/>
        <v>0</v>
      </c>
      <c r="S362" s="307">
        <f t="shared" ca="1" si="166"/>
        <v>2.5949999999999998</v>
      </c>
      <c r="T362" s="304">
        <f t="shared" ca="1" si="146"/>
        <v>25.456949999999999</v>
      </c>
      <c r="U362" s="311">
        <f t="shared" ca="1" si="147"/>
        <v>0</v>
      </c>
      <c r="V362" s="306">
        <f t="shared" ca="1" si="148"/>
        <v>1.1969992293529095</v>
      </c>
      <c r="W362" s="304">
        <f t="shared" ca="1" si="149"/>
        <v>21.763890167146656</v>
      </c>
      <c r="Y362" s="314" t="str">
        <f t="shared" ca="1" si="167"/>
        <v/>
      </c>
      <c r="Z362" s="315" t="str">
        <f t="shared" ca="1" si="168"/>
        <v/>
      </c>
      <c r="AA362" s="316" t="str">
        <f t="shared" ca="1" si="169"/>
        <v/>
      </c>
      <c r="AC362" s="310">
        <f t="shared" ca="1" si="170"/>
        <v>30.000000000000135</v>
      </c>
      <c r="AD362" s="323">
        <f t="shared" ca="1" si="171"/>
        <v>572.19278272923771</v>
      </c>
      <c r="AE362" s="324" t="e">
        <f t="shared" ca="1" si="150"/>
        <v>#N/A</v>
      </c>
      <c r="AG362" s="306">
        <f t="shared" ca="1" si="172"/>
        <v>1.4245123215486295</v>
      </c>
      <c r="AH362" s="304">
        <f t="shared" ca="1" si="173"/>
        <v>-8.353665955917517</v>
      </c>
    </row>
    <row r="363" spans="1:34" x14ac:dyDescent="0.2">
      <c r="A363" s="347">
        <f t="shared" ca="1" si="151"/>
        <v>0.1</v>
      </c>
      <c r="B363" s="304">
        <f t="shared" ca="1" si="152"/>
        <v>30.100000000000136</v>
      </c>
      <c r="D363" s="306">
        <f t="shared" ca="1" si="153"/>
        <v>-0.66797258039597673</v>
      </c>
      <c r="E363" s="307">
        <f t="shared" ca="1" si="154"/>
        <v>-1.4497871591271796</v>
      </c>
      <c r="F363" s="304">
        <f t="shared" ca="1" si="155"/>
        <v>1.5962675762324179</v>
      </c>
      <c r="G363" s="306">
        <f t="shared" ca="1" si="156"/>
        <v>7.4380933237096807</v>
      </c>
      <c r="H363" s="307">
        <f t="shared" ca="1" si="157"/>
        <v>-94.07470645068264</v>
      </c>
      <c r="I363" s="304">
        <f t="shared" ca="1" si="158"/>
        <v>94.368297780951437</v>
      </c>
      <c r="J363" s="306">
        <f t="shared" ca="1" si="159"/>
        <v>572.93993192451069</v>
      </c>
      <c r="K363" s="307">
        <f t="shared" ca="1" si="160"/>
        <v>221.82008841916411</v>
      </c>
      <c r="L363" s="304">
        <f t="shared" ca="1" si="145"/>
        <v>614.3812474514084</v>
      </c>
      <c r="M363" s="306">
        <f t="shared" ca="1" si="161"/>
        <v>-1.4918946541231419</v>
      </c>
      <c r="N363" s="304">
        <f t="shared" ca="1" si="162"/>
        <v>-85.479267159385756</v>
      </c>
      <c r="P363" s="310">
        <f t="shared" ca="1" si="163"/>
        <v>23</v>
      </c>
      <c r="Q363" s="304">
        <f t="shared" ca="1" si="164"/>
        <v>0</v>
      </c>
      <c r="R363" s="306">
        <f t="shared" ca="1" si="165"/>
        <v>0</v>
      </c>
      <c r="S363" s="307">
        <f t="shared" ca="1" si="166"/>
        <v>2.5949999999999998</v>
      </c>
      <c r="T363" s="304">
        <f t="shared" ca="1" si="146"/>
        <v>25.456949999999999</v>
      </c>
      <c r="U363" s="311">
        <f t="shared" ca="1" si="147"/>
        <v>0</v>
      </c>
      <c r="V363" s="306">
        <f t="shared" ca="1" si="148"/>
        <v>1.1981251087067981</v>
      </c>
      <c r="W363" s="304">
        <f t="shared" ca="1" si="149"/>
        <v>21.848784525455621</v>
      </c>
      <c r="Y363" s="314" t="str">
        <f t="shared" ca="1" si="167"/>
        <v/>
      </c>
      <c r="Z363" s="315" t="str">
        <f t="shared" ca="1" si="168"/>
        <v/>
      </c>
      <c r="AA363" s="316" t="str">
        <f t="shared" ca="1" si="169"/>
        <v/>
      </c>
      <c r="AC363" s="310" t="e">
        <f t="shared" ca="1" si="170"/>
        <v>#N/A</v>
      </c>
      <c r="AD363" s="323" t="e">
        <f t="shared" ca="1" si="171"/>
        <v>#N/A</v>
      </c>
      <c r="AE363" s="324" t="e">
        <f t="shared" ca="1" si="150"/>
        <v>#N/A</v>
      </c>
      <c r="AG363" s="306">
        <f t="shared" ca="1" si="172"/>
        <v>1.3919807940552893</v>
      </c>
      <c r="AH363" s="304">
        <f t="shared" ca="1" si="173"/>
        <v>-8.3868555557405227</v>
      </c>
    </row>
    <row r="364" spans="1:34" x14ac:dyDescent="0.2">
      <c r="A364" s="347">
        <f t="shared" ca="1" si="151"/>
        <v>0.1</v>
      </c>
      <c r="B364" s="304">
        <f t="shared" ca="1" si="152"/>
        <v>30.200000000000138</v>
      </c>
      <c r="D364" s="306">
        <f t="shared" ca="1" si="153"/>
        <v>-0.66362909954196936</v>
      </c>
      <c r="E364" s="307">
        <f t="shared" ca="1" si="154"/>
        <v>-1.416624169054538</v>
      </c>
      <c r="F364" s="304">
        <f t="shared" ca="1" si="155"/>
        <v>1.5643617286639127</v>
      </c>
      <c r="G364" s="306">
        <f t="shared" ca="1" si="156"/>
        <v>7.3717304137554835</v>
      </c>
      <c r="H364" s="307">
        <f t="shared" ca="1" si="157"/>
        <v>-94.216368867588088</v>
      </c>
      <c r="I364" s="304">
        <f t="shared" ca="1" si="158"/>
        <v>94.50432038741144</v>
      </c>
      <c r="J364" s="306">
        <f t="shared" ca="1" si="159"/>
        <v>573.6804231113839</v>
      </c>
      <c r="K364" s="307">
        <f t="shared" ca="1" si="160"/>
        <v>212.40553465325058</v>
      </c>
      <c r="L364" s="304">
        <f t="shared" ca="1" si="145"/>
        <v>611.73960065749361</v>
      </c>
      <c r="M364" s="306">
        <f t="shared" ca="1" si="161"/>
        <v>-1.4927128417249969</v>
      </c>
      <c r="N364" s="304">
        <f t="shared" ca="1" si="162"/>
        <v>-85.526145855821966</v>
      </c>
      <c r="P364" s="310">
        <f t="shared" ca="1" si="163"/>
        <v>23</v>
      </c>
      <c r="Q364" s="304">
        <f t="shared" ca="1" si="164"/>
        <v>0</v>
      </c>
      <c r="R364" s="306">
        <f t="shared" ca="1" si="165"/>
        <v>0</v>
      </c>
      <c r="S364" s="307">
        <f t="shared" ca="1" si="166"/>
        <v>2.5949999999999998</v>
      </c>
      <c r="T364" s="304">
        <f t="shared" ca="1" si="146"/>
        <v>25.456949999999999</v>
      </c>
      <c r="U364" s="311">
        <f t="shared" ca="1" si="147"/>
        <v>0</v>
      </c>
      <c r="V364" s="306">
        <f t="shared" ca="1" si="148"/>
        <v>1.1992537542595674</v>
      </c>
      <c r="W364" s="304">
        <f t="shared" ca="1" si="149"/>
        <v>21.932456805462582</v>
      </c>
      <c r="Y364" s="314" t="str">
        <f t="shared" ca="1" si="167"/>
        <v/>
      </c>
      <c r="Z364" s="315" t="str">
        <f t="shared" ca="1" si="168"/>
        <v/>
      </c>
      <c r="AA364" s="316" t="str">
        <f t="shared" ca="1" si="169"/>
        <v/>
      </c>
      <c r="AC364" s="310" t="e">
        <f t="shared" ca="1" si="170"/>
        <v>#N/A</v>
      </c>
      <c r="AD364" s="323" t="e">
        <f t="shared" ca="1" si="171"/>
        <v>#N/A</v>
      </c>
      <c r="AE364" s="324" t="e">
        <f t="shared" ca="1" si="150"/>
        <v>#N/A</v>
      </c>
      <c r="AG364" s="306">
        <f t="shared" ca="1" si="172"/>
        <v>1.3599097440319596</v>
      </c>
      <c r="AH364" s="304">
        <f t="shared" ca="1" si="173"/>
        <v>-8.419570144684247</v>
      </c>
    </row>
    <row r="365" spans="1:34" x14ac:dyDescent="0.2">
      <c r="A365" s="347">
        <f t="shared" ca="1" si="151"/>
        <v>0.1</v>
      </c>
      <c r="B365" s="304">
        <f t="shared" ca="1" si="152"/>
        <v>30.300000000000139</v>
      </c>
      <c r="D365" s="306">
        <f t="shared" ca="1" si="153"/>
        <v>-0.65927666131788132</v>
      </c>
      <c r="E365" s="307">
        <f t="shared" ca="1" si="154"/>
        <v>-1.3839385975628158</v>
      </c>
      <c r="F365" s="304">
        <f t="shared" ca="1" si="155"/>
        <v>1.5329487134221371</v>
      </c>
      <c r="G365" s="306">
        <f t="shared" ca="1" si="156"/>
        <v>7.3058027476236953</v>
      </c>
      <c r="H365" s="307">
        <f t="shared" ca="1" si="157"/>
        <v>-94.354762727344365</v>
      </c>
      <c r="I365" s="304">
        <f t="shared" ca="1" si="158"/>
        <v>94.637180870525938</v>
      </c>
      <c r="J365" s="306">
        <f t="shared" ca="1" si="159"/>
        <v>574.4142997694529</v>
      </c>
      <c r="K365" s="307">
        <f t="shared" ca="1" si="160"/>
        <v>202.97697807350397</v>
      </c>
      <c r="L365" s="304">
        <f t="shared" ca="1" si="145"/>
        <v>609.22199681846894</v>
      </c>
      <c r="M365" s="306">
        <f t="shared" ca="1" si="161"/>
        <v>-1.4935214255348574</v>
      </c>
      <c r="N365" s="304">
        <f t="shared" ca="1" si="162"/>
        <v>-85.572474295509593</v>
      </c>
      <c r="P365" s="310">
        <f t="shared" ca="1" si="163"/>
        <v>23</v>
      </c>
      <c r="Q365" s="304">
        <f t="shared" ca="1" si="164"/>
        <v>0</v>
      </c>
      <c r="R365" s="306">
        <f t="shared" ca="1" si="165"/>
        <v>0</v>
      </c>
      <c r="S365" s="307">
        <f t="shared" ca="1" si="166"/>
        <v>2.5949999999999998</v>
      </c>
      <c r="T365" s="304">
        <f t="shared" ca="1" si="146"/>
        <v>25.456949999999999</v>
      </c>
      <c r="U365" s="311">
        <f t="shared" ca="1" si="147"/>
        <v>0</v>
      </c>
      <c r="V365" s="306">
        <f t="shared" ca="1" si="148"/>
        <v>1.2003851327544548</v>
      </c>
      <c r="W365" s="304">
        <f t="shared" ca="1" si="149"/>
        <v>22.014917722634994</v>
      </c>
      <c r="Y365" s="314" t="str">
        <f t="shared" ca="1" si="167"/>
        <v/>
      </c>
      <c r="Z365" s="315" t="str">
        <f t="shared" ca="1" si="168"/>
        <v/>
      </c>
      <c r="AA365" s="316" t="str">
        <f t="shared" ca="1" si="169"/>
        <v/>
      </c>
      <c r="AC365" s="310" t="e">
        <f t="shared" ca="1" si="170"/>
        <v>#N/A</v>
      </c>
      <c r="AD365" s="323" t="e">
        <f t="shared" ca="1" si="171"/>
        <v>#N/A</v>
      </c>
      <c r="AE365" s="324" t="e">
        <f t="shared" ca="1" si="150"/>
        <v>#N/A</v>
      </c>
      <c r="AG365" s="306">
        <f t="shared" ca="1" si="172"/>
        <v>1.3282954585373226</v>
      </c>
      <c r="AH365" s="304">
        <f t="shared" ca="1" si="173"/>
        <v>-8.4518137978661212</v>
      </c>
    </row>
    <row r="366" spans="1:34" x14ac:dyDescent="0.2">
      <c r="A366" s="347">
        <f t="shared" ca="1" si="151"/>
        <v>0.1</v>
      </c>
      <c r="B366" s="304">
        <f t="shared" ca="1" si="152"/>
        <v>30.400000000000141</v>
      </c>
      <c r="D366" s="306">
        <f t="shared" ca="1" si="153"/>
        <v>-0.6549163792774102</v>
      </c>
      <c r="E366" s="307">
        <f t="shared" ca="1" si="154"/>
        <v>-1.3517262540970059</v>
      </c>
      <c r="F366" s="304">
        <f t="shared" ca="1" si="155"/>
        <v>1.5020250763089662</v>
      </c>
      <c r="G366" s="306">
        <f t="shared" ca="1" si="156"/>
        <v>7.2403111096959547</v>
      </c>
      <c r="H366" s="307">
        <f t="shared" ca="1" si="157"/>
        <v>-94.48993535275406</v>
      </c>
      <c r="I366" s="304">
        <f t="shared" ca="1" si="158"/>
        <v>94.766924546134916</v>
      </c>
      <c r="J366" s="306">
        <f t="shared" ca="1" si="159"/>
        <v>575.14160546231892</v>
      </c>
      <c r="K366" s="307">
        <f t="shared" ca="1" si="160"/>
        <v>193.53474316949905</v>
      </c>
      <c r="L366" s="304">
        <f t="shared" ca="1" si="145"/>
        <v>606.83075329737346</v>
      </c>
      <c r="M366" s="306">
        <f t="shared" ca="1" si="161"/>
        <v>-1.4943205573376246</v>
      </c>
      <c r="N366" s="304">
        <f t="shared" ca="1" si="162"/>
        <v>-85.618261175082836</v>
      </c>
      <c r="P366" s="310">
        <f t="shared" ca="1" si="163"/>
        <v>23</v>
      </c>
      <c r="Q366" s="304">
        <f t="shared" ca="1" si="164"/>
        <v>0</v>
      </c>
      <c r="R366" s="306">
        <f t="shared" ca="1" si="165"/>
        <v>0</v>
      </c>
      <c r="S366" s="307">
        <f t="shared" ca="1" si="166"/>
        <v>2.5949999999999998</v>
      </c>
      <c r="T366" s="304">
        <f t="shared" ca="1" si="146"/>
        <v>25.456949999999999</v>
      </c>
      <c r="U366" s="311">
        <f t="shared" ca="1" si="147"/>
        <v>0</v>
      </c>
      <c r="V366" s="306">
        <f t="shared" ca="1" si="148"/>
        <v>1.2015192113814719</v>
      </c>
      <c r="W366" s="304">
        <f t="shared" ca="1" si="149"/>
        <v>22.096178122825634</v>
      </c>
      <c r="Y366" s="314" t="str">
        <f t="shared" ca="1" si="167"/>
        <v/>
      </c>
      <c r="Z366" s="315" t="str">
        <f t="shared" ca="1" si="168"/>
        <v/>
      </c>
      <c r="AA366" s="316" t="str">
        <f t="shared" ca="1" si="169"/>
        <v/>
      </c>
      <c r="AC366" s="310" t="e">
        <f t="shared" ca="1" si="170"/>
        <v>#N/A</v>
      </c>
      <c r="AD366" s="323" t="e">
        <f t="shared" ca="1" si="171"/>
        <v>#N/A</v>
      </c>
      <c r="AE366" s="324" t="e">
        <f t="shared" ca="1" si="150"/>
        <v>#N/A</v>
      </c>
      <c r="AG366" s="306">
        <f t="shared" ca="1" si="172"/>
        <v>1.2971341598013328</v>
      </c>
      <c r="AH366" s="304">
        <f t="shared" ca="1" si="173"/>
        <v>-8.4835906445606923</v>
      </c>
    </row>
    <row r="367" spans="1:34" x14ac:dyDescent="0.2">
      <c r="A367" s="347">
        <f t="shared" ca="1" si="151"/>
        <v>0.1</v>
      </c>
      <c r="B367" s="304">
        <f t="shared" ca="1" si="152"/>
        <v>30.500000000000142</v>
      </c>
      <c r="D367" s="306">
        <f t="shared" ca="1" si="153"/>
        <v>-0.65054934073428383</v>
      </c>
      <c r="E367" s="307">
        <f t="shared" ca="1" si="154"/>
        <v>-1.3199828973591394</v>
      </c>
      <c r="F367" s="304">
        <f t="shared" ca="1" si="155"/>
        <v>1.4715873382339357</v>
      </c>
      <c r="G367" s="306">
        <f t="shared" ca="1" si="156"/>
        <v>7.1752561756225264</v>
      </c>
      <c r="H367" s="307">
        <f t="shared" ca="1" si="157"/>
        <v>-94.621933642489978</v>
      </c>
      <c r="I367" s="304">
        <f t="shared" ca="1" si="158"/>
        <v>94.893596345747085</v>
      </c>
      <c r="J367" s="306">
        <f t="shared" ca="1" si="159"/>
        <v>575.86238382658485</v>
      </c>
      <c r="K367" s="307">
        <f t="shared" ca="1" si="160"/>
        <v>184.07914971973685</v>
      </c>
      <c r="L367" s="304">
        <f t="shared" ca="1" si="145"/>
        <v>604.56812558054878</v>
      </c>
      <c r="M367" s="306">
        <f t="shared" ca="1" si="161"/>
        <v>-1.495110385449856</v>
      </c>
      <c r="N367" s="304">
        <f t="shared" ca="1" si="162"/>
        <v>-85.663514992454466</v>
      </c>
      <c r="P367" s="310">
        <f t="shared" ca="1" si="163"/>
        <v>23</v>
      </c>
      <c r="Q367" s="304">
        <f t="shared" ca="1" si="164"/>
        <v>0</v>
      </c>
      <c r="R367" s="306">
        <f t="shared" ca="1" si="165"/>
        <v>0</v>
      </c>
      <c r="S367" s="307">
        <f t="shared" ca="1" si="166"/>
        <v>2.5949999999999998</v>
      </c>
      <c r="T367" s="304">
        <f t="shared" ca="1" si="146"/>
        <v>25.456949999999999</v>
      </c>
      <c r="U367" s="311">
        <f t="shared" ca="1" si="147"/>
        <v>0</v>
      </c>
      <c r="V367" s="306">
        <f t="shared" ca="1" si="148"/>
        <v>1.2026559577740452</v>
      </c>
      <c r="W367" s="304">
        <f t="shared" ca="1" si="149"/>
        <v>22.176248972405556</v>
      </c>
      <c r="Y367" s="314" t="str">
        <f t="shared" ca="1" si="167"/>
        <v/>
      </c>
      <c r="Z367" s="315" t="str">
        <f t="shared" ca="1" si="168"/>
        <v/>
      </c>
      <c r="AA367" s="316" t="str">
        <f t="shared" ca="1" si="169"/>
        <v/>
      </c>
      <c r="AC367" s="310" t="e">
        <f t="shared" ca="1" si="170"/>
        <v>#N/A</v>
      </c>
      <c r="AD367" s="323" t="e">
        <f t="shared" ca="1" si="171"/>
        <v>#N/A</v>
      </c>
      <c r="AE367" s="324" t="e">
        <f t="shared" ca="1" si="150"/>
        <v>#N/A</v>
      </c>
      <c r="AG367" s="306">
        <f t="shared" ca="1" si="172"/>
        <v>1.2664220095129917</v>
      </c>
      <c r="AH367" s="304">
        <f t="shared" ca="1" si="173"/>
        <v>-8.5149048642873364</v>
      </c>
    </row>
    <row r="368" spans="1:34" x14ac:dyDescent="0.2">
      <c r="A368" s="347">
        <f t="shared" ca="1" si="151"/>
        <v>0.1</v>
      </c>
      <c r="B368" s="304">
        <f t="shared" ca="1" si="152"/>
        <v>30.600000000000144</v>
      </c>
      <c r="D368" s="306">
        <f t="shared" ca="1" si="153"/>
        <v>-0.64617660703606505</v>
      </c>
      <c r="E368" s="307">
        <f t="shared" ca="1" si="154"/>
        <v>-1.2887042391568535</v>
      </c>
      <c r="F368" s="304">
        <f t="shared" ca="1" si="155"/>
        <v>1.4416320000268743</v>
      </c>
      <c r="G368" s="306">
        <f t="shared" ca="1" si="156"/>
        <v>7.1106385149189197</v>
      </c>
      <c r="H368" s="307">
        <f t="shared" ca="1" si="157"/>
        <v>-94.750804066405664</v>
      </c>
      <c r="I368" s="304">
        <f t="shared" ca="1" si="158"/>
        <v>95.017240810919375</v>
      </c>
      <c r="J368" s="306">
        <f t="shared" ca="1" si="159"/>
        <v>576.57667856111186</v>
      </c>
      <c r="K368" s="307">
        <f t="shared" ca="1" si="160"/>
        <v>174.61051283429205</v>
      </c>
      <c r="L368" s="304">
        <f t="shared" ca="1" si="145"/>
        <v>602.4363015728868</v>
      </c>
      <c r="M368" s="306">
        <f t="shared" ca="1" si="161"/>
        <v>-1.4958910548229287</v>
      </c>
      <c r="N368" s="304">
        <f t="shared" ca="1" si="162"/>
        <v>-85.70824405272667</v>
      </c>
      <c r="P368" s="310">
        <f t="shared" ca="1" si="163"/>
        <v>23</v>
      </c>
      <c r="Q368" s="304">
        <f t="shared" ca="1" si="164"/>
        <v>0</v>
      </c>
      <c r="R368" s="306">
        <f t="shared" ca="1" si="165"/>
        <v>0</v>
      </c>
      <c r="S368" s="307">
        <f t="shared" ca="1" si="166"/>
        <v>2.5949999999999998</v>
      </c>
      <c r="T368" s="304">
        <f t="shared" ca="1" si="146"/>
        <v>25.456949999999999</v>
      </c>
      <c r="U368" s="311">
        <f t="shared" ca="1" si="147"/>
        <v>0</v>
      </c>
      <c r="V368" s="306">
        <f t="shared" ca="1" si="148"/>
        <v>1.2037953400056041</v>
      </c>
      <c r="W368" s="304">
        <f t="shared" ca="1" si="149"/>
        <v>22.255141348679601</v>
      </c>
      <c r="Y368" s="314" t="str">
        <f t="shared" ca="1" si="167"/>
        <v/>
      </c>
      <c r="Z368" s="315" t="str">
        <f t="shared" ca="1" si="168"/>
        <v/>
      </c>
      <c r="AA368" s="316" t="str">
        <f t="shared" ca="1" si="169"/>
        <v/>
      </c>
      <c r="AC368" s="310" t="e">
        <f t="shared" ca="1" si="170"/>
        <v>#N/A</v>
      </c>
      <c r="AD368" s="323" t="e">
        <f t="shared" ca="1" si="171"/>
        <v>#N/A</v>
      </c>
      <c r="AE368" s="324" t="e">
        <f t="shared" ca="1" si="150"/>
        <v>#N/A</v>
      </c>
      <c r="AG368" s="306">
        <f t="shared" ca="1" si="172"/>
        <v>1.2361551129827557</v>
      </c>
      <c r="AH368" s="304">
        <f t="shared" ca="1" si="173"/>
        <v>-8.5457606830079218</v>
      </c>
    </row>
    <row r="369" spans="1:34" x14ac:dyDescent="0.2">
      <c r="A369" s="347">
        <f t="shared" ca="1" si="151"/>
        <v>0.1</v>
      </c>
      <c r="B369" s="304">
        <f t="shared" ca="1" si="152"/>
        <v>30.700000000000145</v>
      </c>
      <c r="D369" s="306">
        <f t="shared" ca="1" si="153"/>
        <v>-0.64179921384628469</v>
      </c>
      <c r="E369" s="307">
        <f t="shared" ca="1" si="154"/>
        <v>-1.2578859481417499</v>
      </c>
      <c r="F369" s="304">
        <f t="shared" ca="1" si="155"/>
        <v>1.4121555471782059</v>
      </c>
      <c r="G369" s="306">
        <f t="shared" ca="1" si="156"/>
        <v>7.0464585935342914</v>
      </c>
      <c r="H369" s="307">
        <f t="shared" ca="1" si="157"/>
        <v>-94.876592661219846</v>
      </c>
      <c r="I369" s="304">
        <f t="shared" ca="1" si="158"/>
        <v>95.137902088039695</v>
      </c>
      <c r="J369" s="306">
        <f t="shared" ca="1" si="159"/>
        <v>577.28453341653449</v>
      </c>
      <c r="K369" s="307">
        <f t="shared" ca="1" si="160"/>
        <v>165.12914299791078</v>
      </c>
      <c r="L369" s="304">
        <f t="shared" ca="1" si="145"/>
        <v>600.43739589500115</v>
      </c>
      <c r="M369" s="306">
        <f t="shared" ca="1" si="161"/>
        <v>-1.4966627071425811</v>
      </c>
      <c r="N369" s="304">
        <f t="shared" ca="1" si="162"/>
        <v>-85.752456473894227</v>
      </c>
      <c r="P369" s="310">
        <f t="shared" ca="1" si="163"/>
        <v>23</v>
      </c>
      <c r="Q369" s="304">
        <f t="shared" ca="1" si="164"/>
        <v>0</v>
      </c>
      <c r="R369" s="306">
        <f t="shared" ca="1" si="165"/>
        <v>0</v>
      </c>
      <c r="S369" s="307">
        <f t="shared" ca="1" si="166"/>
        <v>2.5949999999999998</v>
      </c>
      <c r="T369" s="304">
        <f t="shared" ca="1" si="146"/>
        <v>25.456949999999999</v>
      </c>
      <c r="U369" s="311">
        <f t="shared" ca="1" si="147"/>
        <v>0</v>
      </c>
      <c r="V369" s="306">
        <f t="shared" ca="1" si="148"/>
        <v>1.2049373265861103</v>
      </c>
      <c r="W369" s="304">
        <f t="shared" ca="1" si="149"/>
        <v>22.332866430581522</v>
      </c>
      <c r="Y369" s="314" t="str">
        <f t="shared" ca="1" si="167"/>
        <v/>
      </c>
      <c r="Z369" s="315" t="str">
        <f t="shared" ca="1" si="168"/>
        <v/>
      </c>
      <c r="AA369" s="316" t="str">
        <f t="shared" ca="1" si="169"/>
        <v/>
      </c>
      <c r="AC369" s="310" t="e">
        <f t="shared" ca="1" si="170"/>
        <v>#N/A</v>
      </c>
      <c r="AD369" s="323" t="e">
        <f t="shared" ca="1" si="171"/>
        <v>#N/A</v>
      </c>
      <c r="AE369" s="324" t="e">
        <f t="shared" ca="1" si="150"/>
        <v>#N/A</v>
      </c>
      <c r="AG369" s="306">
        <f t="shared" ca="1" si="172"/>
        <v>1.2063295231813491</v>
      </c>
      <c r="AH369" s="304">
        <f t="shared" ca="1" si="173"/>
        <v>-8.5761623694333728</v>
      </c>
    </row>
    <row r="370" spans="1:34" x14ac:dyDescent="0.2">
      <c r="A370" s="347">
        <f t="shared" ca="1" si="151"/>
        <v>0.1</v>
      </c>
      <c r="B370" s="304">
        <f t="shared" ca="1" si="152"/>
        <v>30.800000000000146</v>
      </c>
      <c r="D370" s="306">
        <f t="shared" ca="1" si="153"/>
        <v>-0.63741817143430013</v>
      </c>
      <c r="E370" s="307">
        <f t="shared" ca="1" si="154"/>
        <v>-1.227523653438686</v>
      </c>
      <c r="F370" s="304">
        <f t="shared" ca="1" si="155"/>
        <v>1.383154454508283</v>
      </c>
      <c r="G370" s="306">
        <f t="shared" ca="1" si="156"/>
        <v>6.9827167763908617</v>
      </c>
      <c r="H370" s="307">
        <f t="shared" ca="1" si="157"/>
        <v>-94.999345026563716</v>
      </c>
      <c r="I370" s="304">
        <f t="shared" ca="1" si="158"/>
        <v>95.255623923500622</v>
      </c>
      <c r="J370" s="306">
        <f t="shared" ca="1" si="159"/>
        <v>577.9859921850308</v>
      </c>
      <c r="K370" s="307">
        <f t="shared" ca="1" si="160"/>
        <v>155.63534611352159</v>
      </c>
      <c r="L370" s="304">
        <f t="shared" ca="1" si="145"/>
        <v>598.5734442171572</v>
      </c>
      <c r="M370" s="306">
        <f t="shared" ca="1" si="161"/>
        <v>-1.4974254809249823</v>
      </c>
      <c r="N370" s="304">
        <f t="shared" ca="1" si="162"/>
        <v>-85.796160192349049</v>
      </c>
      <c r="P370" s="310">
        <f t="shared" ca="1" si="163"/>
        <v>23</v>
      </c>
      <c r="Q370" s="304">
        <f t="shared" ca="1" si="164"/>
        <v>0</v>
      </c>
      <c r="R370" s="306">
        <f t="shared" ca="1" si="165"/>
        <v>0</v>
      </c>
      <c r="S370" s="307">
        <f t="shared" ca="1" si="166"/>
        <v>2.5949999999999998</v>
      </c>
      <c r="T370" s="304">
        <f t="shared" ca="1" si="146"/>
        <v>25.456949999999999</v>
      </c>
      <c r="U370" s="311">
        <f t="shared" ca="1" si="147"/>
        <v>0</v>
      </c>
      <c r="V370" s="306">
        <f t="shared" ca="1" si="148"/>
        <v>1.2060818864585356</v>
      </c>
      <c r="W370" s="304">
        <f t="shared" ca="1" si="149"/>
        <v>22.409435489645343</v>
      </c>
      <c r="Y370" s="314" t="str">
        <f t="shared" ca="1" si="167"/>
        <v/>
      </c>
      <c r="Z370" s="315" t="str">
        <f t="shared" ca="1" si="168"/>
        <v/>
      </c>
      <c r="AA370" s="316" t="str">
        <f t="shared" ca="1" si="169"/>
        <v/>
      </c>
      <c r="AC370" s="310" t="e">
        <f t="shared" ca="1" si="170"/>
        <v>#N/A</v>
      </c>
      <c r="AD370" s="323" t="e">
        <f t="shared" ca="1" si="171"/>
        <v>#N/A</v>
      </c>
      <c r="AE370" s="324" t="e">
        <f t="shared" ca="1" si="150"/>
        <v>#N/A</v>
      </c>
      <c r="AG370" s="306">
        <f t="shared" ca="1" si="172"/>
        <v>1.1769412446568221</v>
      </c>
      <c r="AH370" s="304">
        <f t="shared" ca="1" si="173"/>
        <v>-8.6061142314379673</v>
      </c>
    </row>
    <row r="371" spans="1:34" x14ac:dyDescent="0.2">
      <c r="A371" s="347">
        <f t="shared" ca="1" si="151"/>
        <v>0.1</v>
      </c>
      <c r="B371" s="304">
        <f t="shared" ca="1" si="152"/>
        <v>30.900000000000148</v>
      </c>
      <c r="D371" s="306">
        <f t="shared" ca="1" si="153"/>
        <v>-0.63303446497223614</v>
      </c>
      <c r="E371" s="307">
        <f t="shared" ca="1" si="154"/>
        <v>-1.1976129481673023</v>
      </c>
      <c r="F371" s="304">
        <f t="shared" ca="1" si="155"/>
        <v>1.3546251907670486</v>
      </c>
      <c r="G371" s="306">
        <f t="shared" ca="1" si="156"/>
        <v>6.9194133298936382</v>
      </c>
      <c r="H371" s="307">
        <f t="shared" ca="1" si="157"/>
        <v>-95.119106321380443</v>
      </c>
      <c r="I371" s="304">
        <f t="shared" ca="1" si="158"/>
        <v>95.370449659252344</v>
      </c>
      <c r="J371" s="306">
        <f t="shared" ca="1" si="159"/>
        <v>578.68109869034504</v>
      </c>
      <c r="K371" s="307">
        <f t="shared" ca="1" si="160"/>
        <v>146.12942354612437</v>
      </c>
      <c r="L371" s="304">
        <f t="shared" ca="1" si="145"/>
        <v>596.8463976664242</v>
      </c>
      <c r="M371" s="306">
        <f t="shared" ca="1" si="161"/>
        <v>-1.4981795116094658</v>
      </c>
      <c r="N371" s="304">
        <f t="shared" ca="1" si="162"/>
        <v>-85.839362968193313</v>
      </c>
      <c r="P371" s="310">
        <f t="shared" ca="1" si="163"/>
        <v>23</v>
      </c>
      <c r="Q371" s="304">
        <f t="shared" ca="1" si="164"/>
        <v>0</v>
      </c>
      <c r="R371" s="306">
        <f t="shared" ca="1" si="165"/>
        <v>0</v>
      </c>
      <c r="S371" s="307">
        <f t="shared" ca="1" si="166"/>
        <v>2.5949999999999998</v>
      </c>
      <c r="T371" s="304">
        <f t="shared" ca="1" si="146"/>
        <v>25.456949999999999</v>
      </c>
      <c r="U371" s="311">
        <f t="shared" ca="1" si="147"/>
        <v>0</v>
      </c>
      <c r="V371" s="306">
        <f t="shared" ca="1" si="148"/>
        <v>1.2072289889952974</v>
      </c>
      <c r="W371" s="304">
        <f t="shared" ca="1" si="149"/>
        <v>22.484859881249999</v>
      </c>
      <c r="Y371" s="314" t="str">
        <f t="shared" ca="1" si="167"/>
        <v/>
      </c>
      <c r="Z371" s="315" t="str">
        <f t="shared" ca="1" si="168"/>
        <v/>
      </c>
      <c r="AA371" s="316" t="str">
        <f t="shared" ca="1" si="169"/>
        <v/>
      </c>
      <c r="AC371" s="310" t="e">
        <f t="shared" ca="1" si="170"/>
        <v>#N/A</v>
      </c>
      <c r="AD371" s="323" t="e">
        <f t="shared" ca="1" si="171"/>
        <v>#N/A</v>
      </c>
      <c r="AE371" s="324" t="e">
        <f t="shared" ca="1" si="150"/>
        <v>#N/A</v>
      </c>
      <c r="AG371" s="306">
        <f t="shared" ca="1" si="172"/>
        <v>1.1479862373317786</v>
      </c>
      <c r="AH371" s="304">
        <f t="shared" ca="1" si="173"/>
        <v>-8.6356206125800945</v>
      </c>
    </row>
    <row r="372" spans="1:34" x14ac:dyDescent="0.2">
      <c r="A372" s="347">
        <f t="shared" ca="1" si="151"/>
        <v>0.1</v>
      </c>
      <c r="B372" s="304">
        <f t="shared" ca="1" si="152"/>
        <v>31.000000000000149</v>
      </c>
      <c r="D372" s="306">
        <f t="shared" ca="1" si="153"/>
        <v>-0.62864905483846145</v>
      </c>
      <c r="E372" s="307">
        <f t="shared" ca="1" si="154"/>
        <v>-1.1681493928569626</v>
      </c>
      <c r="F372" s="304">
        <f t="shared" ca="1" si="155"/>
        <v>1.3265642231650081</v>
      </c>
      <c r="G372" s="306">
        <f t="shared" ca="1" si="156"/>
        <v>6.8565484244097918</v>
      </c>
      <c r="H372" s="307">
        <f t="shared" ca="1" si="157"/>
        <v>-95.235921260666146</v>
      </c>
      <c r="I372" s="304">
        <f t="shared" ca="1" si="158"/>
        <v>95.482422228722697</v>
      </c>
      <c r="J372" s="306">
        <f t="shared" ca="1" si="159"/>
        <v>579.36989677806025</v>
      </c>
      <c r="K372" s="307">
        <f t="shared" ca="1" si="160"/>
        <v>136.61167216702205</v>
      </c>
      <c r="L372" s="304">
        <f t="shared" ca="1" si="145"/>
        <v>595.25811734481204</v>
      </c>
      <c r="M372" s="306">
        <f t="shared" ca="1" si="161"/>
        <v>-1.4989249316480582</v>
      </c>
      <c r="N372" s="304">
        <f t="shared" ca="1" si="162"/>
        <v>-85.882072390369132</v>
      </c>
      <c r="P372" s="310">
        <f t="shared" ca="1" si="163"/>
        <v>23</v>
      </c>
      <c r="Q372" s="304">
        <f t="shared" ca="1" si="164"/>
        <v>0</v>
      </c>
      <c r="R372" s="306">
        <f t="shared" ca="1" si="165"/>
        <v>0</v>
      </c>
      <c r="S372" s="307">
        <f t="shared" ca="1" si="166"/>
        <v>2.5949999999999998</v>
      </c>
      <c r="T372" s="304">
        <f t="shared" ca="1" si="146"/>
        <v>25.456949999999999</v>
      </c>
      <c r="U372" s="311">
        <f t="shared" ca="1" si="147"/>
        <v>0</v>
      </c>
      <c r="V372" s="306">
        <f t="shared" ca="1" si="148"/>
        <v>1.208378603994642</v>
      </c>
      <c r="W372" s="304">
        <f t="shared" ca="1" si="149"/>
        <v>22.559151036133134</v>
      </c>
      <c r="Y372" s="314" t="str">
        <f t="shared" ca="1" si="167"/>
        <v/>
      </c>
      <c r="Z372" s="315" t="str">
        <f t="shared" ca="1" si="168"/>
        <v/>
      </c>
      <c r="AA372" s="316" t="str">
        <f t="shared" ca="1" si="169"/>
        <v/>
      </c>
      <c r="AC372" s="310">
        <f t="shared" ca="1" si="170"/>
        <v>31.000000000000149</v>
      </c>
      <c r="AD372" s="323">
        <f t="shared" ca="1" si="171"/>
        <v>579.36989677806025</v>
      </c>
      <c r="AE372" s="324" t="e">
        <f t="shared" ca="1" si="150"/>
        <v>#N/A</v>
      </c>
      <c r="AG372" s="306">
        <f t="shared" ca="1" si="172"/>
        <v>1.1194604201825271</v>
      </c>
      <c r="AH372" s="304">
        <f t="shared" ca="1" si="173"/>
        <v>-8.6646858887283251</v>
      </c>
    </row>
    <row r="373" spans="1:34" x14ac:dyDescent="0.2">
      <c r="A373" s="347">
        <f t="shared" ca="1" si="151"/>
        <v>0.1</v>
      </c>
      <c r="B373" s="304">
        <f t="shared" ca="1" si="152"/>
        <v>31.100000000000151</v>
      </c>
      <c r="D373" s="306">
        <f t="shared" ca="1" si="153"/>
        <v>-0.62426287692702109</v>
      </c>
      <c r="E373" s="307">
        <f t="shared" ca="1" si="154"/>
        <v>-1.1391285187566922</v>
      </c>
      <c r="F373" s="304">
        <f t="shared" ca="1" si="155"/>
        <v>1.298968021836572</v>
      </c>
      <c r="G373" s="306">
        <f t="shared" ca="1" si="156"/>
        <v>6.7941221367170899</v>
      </c>
      <c r="H373" s="307">
        <f t="shared" ca="1" si="157"/>
        <v>-95.349834112541814</v>
      </c>
      <c r="I373" s="304">
        <f t="shared" ca="1" si="158"/>
        <v>95.591584153093066</v>
      </c>
      <c r="J373" s="306">
        <f t="shared" ca="1" si="159"/>
        <v>580.05243030611655</v>
      </c>
      <c r="K373" s="307">
        <f t="shared" ca="1" si="160"/>
        <v>127.08238439836165</v>
      </c>
      <c r="L373" s="304">
        <f t="shared" ca="1" si="145"/>
        <v>593.81036899704361</v>
      </c>
      <c r="M373" s="306">
        <f t="shared" ca="1" si="161"/>
        <v>-1.4996618705919322</v>
      </c>
      <c r="N373" s="304">
        <f t="shared" ca="1" si="162"/>
        <v>-85.92429588161194</v>
      </c>
      <c r="P373" s="310">
        <f t="shared" ca="1" si="163"/>
        <v>23</v>
      </c>
      <c r="Q373" s="304">
        <f t="shared" ca="1" si="164"/>
        <v>0</v>
      </c>
      <c r="R373" s="306">
        <f t="shared" ca="1" si="165"/>
        <v>0</v>
      </c>
      <c r="S373" s="307">
        <f t="shared" ca="1" si="166"/>
        <v>2.5949999999999998</v>
      </c>
      <c r="T373" s="304">
        <f t="shared" ca="1" si="146"/>
        <v>25.456949999999999</v>
      </c>
      <c r="U373" s="311">
        <f t="shared" ca="1" si="147"/>
        <v>0</v>
      </c>
      <c r="V373" s="306">
        <f t="shared" ca="1" si="148"/>
        <v>1.2095307016769938</v>
      </c>
      <c r="W373" s="304">
        <f t="shared" ca="1" si="149"/>
        <v>22.632320452170923</v>
      </c>
      <c r="Y373" s="314" t="str">
        <f t="shared" ca="1" si="167"/>
        <v/>
      </c>
      <c r="Z373" s="315" t="str">
        <f t="shared" ca="1" si="168"/>
        <v/>
      </c>
      <c r="AA373" s="316" t="str">
        <f t="shared" ca="1" si="169"/>
        <v/>
      </c>
      <c r="AC373" s="310" t="e">
        <f t="shared" ca="1" si="170"/>
        <v>#N/A</v>
      </c>
      <c r="AD373" s="323" t="e">
        <f t="shared" ca="1" si="171"/>
        <v>#N/A</v>
      </c>
      <c r="AE373" s="324" t="e">
        <f t="shared" ca="1" si="150"/>
        <v>#N/A</v>
      </c>
      <c r="AG373" s="306">
        <f t="shared" ca="1" si="172"/>
        <v>1.0913596748023568</v>
      </c>
      <c r="AH373" s="304">
        <f t="shared" ca="1" si="173"/>
        <v>-8.6933144647911895</v>
      </c>
    </row>
    <row r="374" spans="1:34" x14ac:dyDescent="0.2">
      <c r="A374" s="347">
        <f t="shared" ca="1" si="151"/>
        <v>0.1</v>
      </c>
      <c r="B374" s="304">
        <f t="shared" ca="1" si="152"/>
        <v>31.200000000000152</v>
      </c>
      <c r="D374" s="306">
        <f t="shared" ca="1" si="153"/>
        <v>-0.61987684296247358</v>
      </c>
      <c r="E374" s="307">
        <f t="shared" ca="1" si="154"/>
        <v>-1.1105458310413141</v>
      </c>
      <c r="F374" s="304">
        <f t="shared" ca="1" si="155"/>
        <v>1.2718330642361702</v>
      </c>
      <c r="G374" s="306">
        <f t="shared" ca="1" si="156"/>
        <v>6.7321344524208424</v>
      </c>
      <c r="H374" s="307">
        <f t="shared" ca="1" si="157"/>
        <v>-95.460888695645949</v>
      </c>
      <c r="I374" s="304">
        <f t="shared" ca="1" si="158"/>
        <v>95.697977537918618</v>
      </c>
      <c r="J374" s="306">
        <f t="shared" ca="1" si="159"/>
        <v>580.7287431355735</v>
      </c>
      <c r="K374" s="307">
        <f t="shared" ca="1" si="160"/>
        <v>117.54184825795227</v>
      </c>
      <c r="L374" s="304">
        <f t="shared" ca="1" si="145"/>
        <v>592.50481786709406</v>
      </c>
      <c r="M374" s="306">
        <f t="shared" ca="1" si="161"/>
        <v>-1.5003904551749012</v>
      </c>
      <c r="N374" s="304">
        <f t="shared" ca="1" si="162"/>
        <v>-85.96604070323437</v>
      </c>
      <c r="P374" s="310">
        <f t="shared" ca="1" si="163"/>
        <v>23</v>
      </c>
      <c r="Q374" s="304">
        <f t="shared" ca="1" si="164"/>
        <v>0</v>
      </c>
      <c r="R374" s="306">
        <f t="shared" ca="1" si="165"/>
        <v>0</v>
      </c>
      <c r="S374" s="307">
        <f t="shared" ca="1" si="166"/>
        <v>2.5949999999999998</v>
      </c>
      <c r="T374" s="304">
        <f t="shared" ca="1" si="146"/>
        <v>25.456949999999999</v>
      </c>
      <c r="U374" s="311">
        <f t="shared" ca="1" si="147"/>
        <v>0</v>
      </c>
      <c r="V374" s="306">
        <f t="shared" ca="1" si="148"/>
        <v>1.2106852526812606</v>
      </c>
      <c r="W374" s="304">
        <f t="shared" ca="1" si="149"/>
        <v>22.704379686419802</v>
      </c>
      <c r="Y374" s="314" t="str">
        <f t="shared" ca="1" si="167"/>
        <v/>
      </c>
      <c r="Z374" s="315" t="str">
        <f t="shared" ca="1" si="168"/>
        <v/>
      </c>
      <c r="AA374" s="316" t="str">
        <f t="shared" ca="1" si="169"/>
        <v/>
      </c>
      <c r="AC374" s="310" t="e">
        <f t="shared" ca="1" si="170"/>
        <v>#N/A</v>
      </c>
      <c r="AD374" s="323" t="e">
        <f t="shared" ca="1" si="171"/>
        <v>#N/A</v>
      </c>
      <c r="AE374" s="324" t="e">
        <f t="shared" ca="1" si="150"/>
        <v>#N/A</v>
      </c>
      <c r="AG374" s="306">
        <f t="shared" ca="1" si="172"/>
        <v>1.0636798488506329</v>
      </c>
      <c r="AH374" s="304">
        <f t="shared" ca="1" si="173"/>
        <v>-8.7215107715494895</v>
      </c>
    </row>
    <row r="375" spans="1:34" x14ac:dyDescent="0.2">
      <c r="A375" s="347">
        <f t="shared" ca="1" si="151"/>
        <v>0.1</v>
      </c>
      <c r="B375" s="304">
        <f t="shared" ca="1" si="152"/>
        <v>31.300000000000153</v>
      </c>
      <c r="D375" s="306">
        <f t="shared" ca="1" si="153"/>
        <v>-0.61549184081964048</v>
      </c>
      <c r="E375" s="307">
        <f t="shared" ca="1" si="154"/>
        <v>-1.0823968119154586</v>
      </c>
      <c r="F375" s="304">
        <f t="shared" ca="1" si="155"/>
        <v>1.2451558394676139</v>
      </c>
      <c r="G375" s="306">
        <f t="shared" ca="1" si="156"/>
        <v>6.6705852683388782</v>
      </c>
      <c r="H375" s="307">
        <f t="shared" ca="1" si="157"/>
        <v>-95.569128376837497</v>
      </c>
      <c r="I375" s="304">
        <f t="shared" ca="1" si="158"/>
        <v>95.801644070081736</v>
      </c>
      <c r="J375" s="306">
        <f t="shared" ca="1" si="159"/>
        <v>581.39887912161146</v>
      </c>
      <c r="K375" s="307">
        <f t="shared" ca="1" si="160"/>
        <v>107.99034740432809</v>
      </c>
      <c r="L375" s="304">
        <f t="shared" ca="1" si="145"/>
        <v>591.34302378262112</v>
      </c>
      <c r="M375" s="306">
        <f t="shared" ca="1" si="161"/>
        <v>-1.5011108093940735</v>
      </c>
      <c r="N375" s="304">
        <f t="shared" ca="1" si="162"/>
        <v>-86.007313959747378</v>
      </c>
      <c r="P375" s="310">
        <f t="shared" ca="1" si="163"/>
        <v>23</v>
      </c>
      <c r="Q375" s="304">
        <f t="shared" ca="1" si="164"/>
        <v>0</v>
      </c>
      <c r="R375" s="306">
        <f t="shared" ca="1" si="165"/>
        <v>0</v>
      </c>
      <c r="S375" s="307">
        <f t="shared" ca="1" si="166"/>
        <v>2.5949999999999998</v>
      </c>
      <c r="T375" s="304">
        <f t="shared" ca="1" si="146"/>
        <v>25.456949999999999</v>
      </c>
      <c r="U375" s="311">
        <f t="shared" ca="1" si="147"/>
        <v>0</v>
      </c>
      <c r="V375" s="306">
        <f t="shared" ca="1" si="148"/>
        <v>1.2118422280611074</v>
      </c>
      <c r="W375" s="304">
        <f t="shared" ca="1" si="149"/>
        <v>22.77534034741635</v>
      </c>
      <c r="Y375" s="314" t="str">
        <f t="shared" ca="1" si="167"/>
        <v/>
      </c>
      <c r="Z375" s="315" t="str">
        <f t="shared" ca="1" si="168"/>
        <v/>
      </c>
      <c r="AA375" s="316" t="str">
        <f t="shared" ca="1" si="169"/>
        <v/>
      </c>
      <c r="AC375" s="310" t="e">
        <f t="shared" ca="1" si="170"/>
        <v>#N/A</v>
      </c>
      <c r="AD375" s="323" t="e">
        <f t="shared" ca="1" si="171"/>
        <v>#N/A</v>
      </c>
      <c r="AE375" s="324" t="e">
        <f t="shared" ca="1" si="150"/>
        <v>#N/A</v>
      </c>
      <c r="AG375" s="306">
        <f t="shared" ca="1" si="172"/>
        <v>1.0364167593899083</v>
      </c>
      <c r="AH375" s="304">
        <f t="shared" ca="1" si="173"/>
        <v>-8.7492792625895195</v>
      </c>
    </row>
    <row r="376" spans="1:34" x14ac:dyDescent="0.2">
      <c r="A376" s="347">
        <f t="shared" ca="1" si="151"/>
        <v>0.1</v>
      </c>
      <c r="B376" s="304">
        <f t="shared" ca="1" si="152"/>
        <v>31.400000000000155</v>
      </c>
      <c r="D376" s="306">
        <f t="shared" ca="1" si="153"/>
        <v>-0.61110873484772699</v>
      </c>
      <c r="E376" s="307">
        <f t="shared" ca="1" si="154"/>
        <v>-1.0546769236168139</v>
      </c>
      <c r="F376" s="304">
        <f t="shared" ca="1" si="155"/>
        <v>1.218932852546446</v>
      </c>
      <c r="G376" s="306">
        <f t="shared" ca="1" si="156"/>
        <v>6.6094743948541055</v>
      </c>
      <c r="H376" s="307">
        <f t="shared" ca="1" si="157"/>
        <v>-95.674596069199183</v>
      </c>
      <c r="I376" s="304">
        <f t="shared" ca="1" si="158"/>
        <v>95.902625015067528</v>
      </c>
      <c r="J376" s="306">
        <f t="shared" ca="1" si="159"/>
        <v>582.06288210477112</v>
      </c>
      <c r="K376" s="307">
        <f t="shared" ca="1" si="160"/>
        <v>98.428161182026258</v>
      </c>
      <c r="L376" s="304">
        <f t="shared" ca="1" si="145"/>
        <v>590.3264365059282</v>
      </c>
      <c r="M376" s="306">
        <f t="shared" ca="1" si="161"/>
        <v>-1.5018230545877747</v>
      </c>
      <c r="N376" s="304">
        <f t="shared" ca="1" si="162"/>
        <v>-86.048122603324927</v>
      </c>
      <c r="P376" s="310">
        <f t="shared" ca="1" si="163"/>
        <v>23</v>
      </c>
      <c r="Q376" s="304">
        <f t="shared" ca="1" si="164"/>
        <v>0</v>
      </c>
      <c r="R376" s="306">
        <f t="shared" ca="1" si="165"/>
        <v>0</v>
      </c>
      <c r="S376" s="307">
        <f t="shared" ca="1" si="166"/>
        <v>2.5949999999999998</v>
      </c>
      <c r="T376" s="304">
        <f t="shared" ca="1" si="146"/>
        <v>25.456949999999999</v>
      </c>
      <c r="U376" s="311">
        <f t="shared" ca="1" si="147"/>
        <v>0</v>
      </c>
      <c r="V376" s="306">
        <f t="shared" ca="1" si="148"/>
        <v>1.2130015992811958</v>
      </c>
      <c r="W376" s="304">
        <f t="shared" ca="1" si="149"/>
        <v>22.845214087731044</v>
      </c>
      <c r="Y376" s="314" t="str">
        <f t="shared" ca="1" si="167"/>
        <v/>
      </c>
      <c r="Z376" s="315" t="str">
        <f t="shared" ca="1" si="168"/>
        <v/>
      </c>
      <c r="AA376" s="316" t="str">
        <f t="shared" ca="1" si="169"/>
        <v/>
      </c>
      <c r="AC376" s="310" t="e">
        <f t="shared" ca="1" si="170"/>
        <v>#N/A</v>
      </c>
      <c r="AD376" s="323" t="e">
        <f t="shared" ca="1" si="171"/>
        <v>#N/A</v>
      </c>
      <c r="AE376" s="324" t="e">
        <f t="shared" ca="1" si="150"/>
        <v>#N/A</v>
      </c>
      <c r="AG376" s="306">
        <f t="shared" ca="1" si="172"/>
        <v>1.0095661961129032</v>
      </c>
      <c r="AH376" s="304">
        <f t="shared" ca="1" si="173"/>
        <v>-8.7766244113357814</v>
      </c>
    </row>
    <row r="377" spans="1:34" x14ac:dyDescent="0.2">
      <c r="A377" s="347">
        <f t="shared" ca="1" si="151"/>
        <v>0.1</v>
      </c>
      <c r="B377" s="304">
        <f t="shared" ca="1" si="152"/>
        <v>31.500000000000156</v>
      </c>
      <c r="D377" s="306">
        <f t="shared" ca="1" si="153"/>
        <v>-0.60672836619835502</v>
      </c>
      <c r="E377" s="307">
        <f t="shared" ca="1" si="154"/>
        <v>-1.0273816113203686</v>
      </c>
      <c r="F377" s="304">
        <f t="shared" ca="1" si="155"/>
        <v>1.1931606285948937</v>
      </c>
      <c r="G377" s="306">
        <f t="shared" ca="1" si="156"/>
        <v>6.5488015582342696</v>
      </c>
      <c r="H377" s="307">
        <f t="shared" ca="1" si="157"/>
        <v>-95.777334230331221</v>
      </c>
      <c r="I377" s="304">
        <f t="shared" ca="1" si="158"/>
        <v>96.000961214550912</v>
      </c>
      <c r="J377" s="306">
        <f t="shared" ca="1" si="159"/>
        <v>582.72079590242549</v>
      </c>
      <c r="K377" s="307">
        <f t="shared" ca="1" si="160"/>
        <v>88.855564667049734</v>
      </c>
      <c r="L377" s="304">
        <f t="shared" ca="1" si="145"/>
        <v>589.45639138909712</v>
      </c>
      <c r="M377" s="306">
        <f t="shared" ca="1" si="161"/>
        <v>-1.5025273095108429</v>
      </c>
      <c r="N377" s="304">
        <f t="shared" ca="1" si="162"/>
        <v>-86.088473438118058</v>
      </c>
      <c r="P377" s="310">
        <f t="shared" ca="1" si="163"/>
        <v>23</v>
      </c>
      <c r="Q377" s="304">
        <f t="shared" ca="1" si="164"/>
        <v>0</v>
      </c>
      <c r="R377" s="306">
        <f t="shared" ca="1" si="165"/>
        <v>0</v>
      </c>
      <c r="S377" s="307">
        <f t="shared" ca="1" si="166"/>
        <v>2.5949999999999998</v>
      </c>
      <c r="T377" s="304">
        <f t="shared" ca="1" si="146"/>
        <v>25.456949999999999</v>
      </c>
      <c r="U377" s="311">
        <f t="shared" ca="1" si="147"/>
        <v>0</v>
      </c>
      <c r="V377" s="306">
        <f t="shared" ca="1" si="148"/>
        <v>1.2141633382133941</v>
      </c>
      <c r="W377" s="304">
        <f t="shared" ca="1" si="149"/>
        <v>22.914012596772068</v>
      </c>
      <c r="Y377" s="314" t="str">
        <f t="shared" ca="1" si="167"/>
        <v/>
      </c>
      <c r="Z377" s="315" t="str">
        <f t="shared" ca="1" si="168"/>
        <v/>
      </c>
      <c r="AA377" s="316" t="str">
        <f t="shared" ca="1" si="169"/>
        <v/>
      </c>
      <c r="AC377" s="310" t="e">
        <f t="shared" ca="1" si="170"/>
        <v>#N/A</v>
      </c>
      <c r="AD377" s="323" t="e">
        <f t="shared" ca="1" si="171"/>
        <v>#N/A</v>
      </c>
      <c r="AE377" s="324" t="e">
        <f t="shared" ca="1" si="150"/>
        <v>#N/A</v>
      </c>
      <c r="AG377" s="306">
        <f t="shared" ca="1" si="172"/>
        <v>0.98312392446157126</v>
      </c>
      <c r="AH377" s="304">
        <f t="shared" ca="1" si="173"/>
        <v>-8.8035507081815201</v>
      </c>
    </row>
    <row r="378" spans="1:34" x14ac:dyDescent="0.2">
      <c r="A378" s="347">
        <f t="shared" ca="1" si="151"/>
        <v>0.1</v>
      </c>
      <c r="B378" s="304">
        <f t="shared" ca="1" si="152"/>
        <v>31.600000000000158</v>
      </c>
      <c r="D378" s="306">
        <f t="shared" ca="1" si="153"/>
        <v>-0.60235155315704969</v>
      </c>
      <c r="E378" s="307">
        <f t="shared" ca="1" si="154"/>
        <v>-1.0005063059450823</v>
      </c>
      <c r="F378" s="304">
        <f t="shared" ca="1" si="155"/>
        <v>1.1678357169681806</v>
      </c>
      <c r="G378" s="306">
        <f t="shared" ca="1" si="156"/>
        <v>6.4885664029185648</v>
      </c>
      <c r="H378" s="307">
        <f t="shared" ca="1" si="157"/>
        <v>-95.87738486092573</v>
      </c>
      <c r="I378" s="304">
        <f t="shared" ca="1" si="158"/>
        <v>96.096693084284396</v>
      </c>
      <c r="J378" s="306">
        <f t="shared" ca="1" si="159"/>
        <v>583.37266430048317</v>
      </c>
      <c r="K378" s="307">
        <f t="shared" ca="1" si="160"/>
        <v>79.272828712486884</v>
      </c>
      <c r="L378" s="304">
        <f t="shared" ca="1" si="145"/>
        <v>588.73410536941333</v>
      </c>
      <c r="M378" s="306">
        <f t="shared" ca="1" si="161"/>
        <v>-1.5032236904074017</v>
      </c>
      <c r="N378" s="304">
        <f t="shared" ca="1" si="162"/>
        <v>-86.128373124424414</v>
      </c>
      <c r="P378" s="310">
        <f t="shared" ca="1" si="163"/>
        <v>23</v>
      </c>
      <c r="Q378" s="304">
        <f t="shared" ca="1" si="164"/>
        <v>0</v>
      </c>
      <c r="R378" s="306">
        <f t="shared" ca="1" si="165"/>
        <v>0</v>
      </c>
      <c r="S378" s="307">
        <f t="shared" ca="1" si="166"/>
        <v>2.5949999999999998</v>
      </c>
      <c r="T378" s="304">
        <f t="shared" ca="1" si="146"/>
        <v>25.456949999999999</v>
      </c>
      <c r="U378" s="311">
        <f t="shared" ca="1" si="147"/>
        <v>0</v>
      </c>
      <c r="V378" s="306">
        <f t="shared" ca="1" si="148"/>
        <v>1.2153274171329616</v>
      </c>
      <c r="W378" s="304">
        <f t="shared" ca="1" si="149"/>
        <v>22.981747593834687</v>
      </c>
      <c r="Y378" s="314" t="str">
        <f t="shared" ca="1" si="167"/>
        <v/>
      </c>
      <c r="Z378" s="315" t="str">
        <f t="shared" ca="1" si="168"/>
        <v/>
      </c>
      <c r="AA378" s="316" t="str">
        <f t="shared" ca="1" si="169"/>
        <v/>
      </c>
      <c r="AC378" s="310" t="e">
        <f t="shared" ca="1" si="170"/>
        <v>#N/A</v>
      </c>
      <c r="AD378" s="323" t="e">
        <f t="shared" ca="1" si="171"/>
        <v>#N/A</v>
      </c>
      <c r="AE378" s="324" t="e">
        <f t="shared" ca="1" si="150"/>
        <v>#N/A</v>
      </c>
      <c r="AG378" s="306">
        <f t="shared" ca="1" si="172"/>
        <v>0.9570856886400616</v>
      </c>
      <c r="AH378" s="304">
        <f t="shared" ca="1" si="173"/>
        <v>-8.8300626577156347</v>
      </c>
    </row>
    <row r="379" spans="1:34" x14ac:dyDescent="0.2">
      <c r="A379" s="347">
        <f t="shared" ca="1" si="151"/>
        <v>0.1</v>
      </c>
      <c r="B379" s="304">
        <f t="shared" ca="1" si="152"/>
        <v>31.700000000000159</v>
      </c>
      <c r="D379" s="306">
        <f t="shared" ca="1" si="153"/>
        <v>-0.59797909147769435</v>
      </c>
      <c r="E379" s="307">
        <f t="shared" ca="1" si="154"/>
        <v>-0.97404642686475817</v>
      </c>
      <c r="F379" s="304">
        <f t="shared" ca="1" si="155"/>
        <v>1.142954695310576</v>
      </c>
      <c r="G379" s="306">
        <f t="shared" ca="1" si="156"/>
        <v>6.4287684937707956</v>
      </c>
      <c r="H379" s="307">
        <f t="shared" ca="1" si="157"/>
        <v>-95.9747895036122</v>
      </c>
      <c r="I379" s="304">
        <f t="shared" ca="1" si="158"/>
        <v>96.189860612276448</v>
      </c>
      <c r="J379" s="306">
        <f t="shared" ca="1" si="159"/>
        <v>584.01853104531767</v>
      </c>
      <c r="K379" s="307">
        <f t="shared" ca="1" si="160"/>
        <v>69.680219994259986</v>
      </c>
      <c r="L379" s="304">
        <f t="shared" ca="1" si="145"/>
        <v>588.1606733391643</v>
      </c>
      <c r="M379" s="306">
        <f t="shared" ca="1" si="161"/>
        <v>-1.5039123110812003</v>
      </c>
      <c r="N379" s="304">
        <f t="shared" ca="1" si="162"/>
        <v>-86.167828182718523</v>
      </c>
      <c r="P379" s="310">
        <f t="shared" ca="1" si="163"/>
        <v>23</v>
      </c>
      <c r="Q379" s="304">
        <f t="shared" ca="1" si="164"/>
        <v>0</v>
      </c>
      <c r="R379" s="306">
        <f t="shared" ca="1" si="165"/>
        <v>0</v>
      </c>
      <c r="S379" s="307">
        <f t="shared" ca="1" si="166"/>
        <v>2.5949999999999998</v>
      </c>
      <c r="T379" s="304">
        <f t="shared" ca="1" si="146"/>
        <v>25.456949999999999</v>
      </c>
      <c r="U379" s="311">
        <f t="shared" ca="1" si="147"/>
        <v>0</v>
      </c>
      <c r="V379" s="306">
        <f t="shared" ca="1" si="148"/>
        <v>1.2164938087147068</v>
      </c>
      <c r="W379" s="304">
        <f t="shared" ca="1" si="149"/>
        <v>23.048430821392031</v>
      </c>
      <c r="Y379" s="314" t="str">
        <f t="shared" ca="1" si="167"/>
        <v/>
      </c>
      <c r="Z379" s="315" t="str">
        <f t="shared" ca="1" si="168"/>
        <v/>
      </c>
      <c r="AA379" s="316" t="str">
        <f t="shared" ca="1" si="169"/>
        <v/>
      </c>
      <c r="AC379" s="310" t="e">
        <f t="shared" ca="1" si="170"/>
        <v>#N/A</v>
      </c>
      <c r="AD379" s="323" t="e">
        <f t="shared" ca="1" si="171"/>
        <v>#N/A</v>
      </c>
      <c r="AE379" s="324" t="e">
        <f t="shared" ca="1" si="150"/>
        <v>#N/A</v>
      </c>
      <c r="AG379" s="306">
        <f t="shared" ca="1" si="172"/>
        <v>0.9314472145238728</v>
      </c>
      <c r="AH379" s="304">
        <f t="shared" ca="1" si="173"/>
        <v>-8.8561647760441957</v>
      </c>
    </row>
    <row r="380" spans="1:34" x14ac:dyDescent="0.2">
      <c r="A380" s="347">
        <f t="shared" ca="1" si="151"/>
        <v>0.1</v>
      </c>
      <c r="B380" s="304">
        <f t="shared" ca="1" si="152"/>
        <v>31.800000000000161</v>
      </c>
      <c r="D380" s="306">
        <f t="shared" ca="1" si="153"/>
        <v>-0.59361175471958261</v>
      </c>
      <c r="E380" s="307">
        <f t="shared" ca="1" si="154"/>
        <v>-0.94799738452472582</v>
      </c>
      <c r="F380" s="304">
        <f t="shared" ca="1" si="155"/>
        <v>1.1185141735387096</v>
      </c>
      <c r="G380" s="306">
        <f t="shared" ca="1" si="156"/>
        <v>6.3694073182988378</v>
      </c>
      <c r="H380" s="307">
        <f t="shared" ca="1" si="157"/>
        <v>-96.069589242064666</v>
      </c>
      <c r="I380" s="304">
        <f t="shared" ca="1" si="158"/>
        <v>96.280503357249984</v>
      </c>
      <c r="J380" s="306">
        <f t="shared" ca="1" si="159"/>
        <v>584.65843983592117</v>
      </c>
      <c r="K380" s="307">
        <f t="shared" ca="1" si="160"/>
        <v>60.078001056976142</v>
      </c>
      <c r="L380" s="304">
        <f t="shared" ca="1" si="145"/>
        <v>587.73706492136046</v>
      </c>
      <c r="M380" s="306">
        <f t="shared" ca="1" si="161"/>
        <v>-1.5045932829636199</v>
      </c>
      <c r="N380" s="304">
        <f t="shared" ca="1" si="162"/>
        <v>-86.206844997548245</v>
      </c>
      <c r="P380" s="310">
        <f t="shared" ca="1" si="163"/>
        <v>23</v>
      </c>
      <c r="Q380" s="304">
        <f t="shared" ca="1" si="164"/>
        <v>0</v>
      </c>
      <c r="R380" s="306">
        <f t="shared" ca="1" si="165"/>
        <v>0</v>
      </c>
      <c r="S380" s="307">
        <f t="shared" ca="1" si="166"/>
        <v>2.5949999999999998</v>
      </c>
      <c r="T380" s="304">
        <f t="shared" ca="1" si="146"/>
        <v>25.456949999999999</v>
      </c>
      <c r="U380" s="311">
        <f t="shared" ca="1" si="147"/>
        <v>0</v>
      </c>
      <c r="V380" s="306">
        <f t="shared" ca="1" si="148"/>
        <v>1.2176624860291254</v>
      </c>
      <c r="W380" s="304">
        <f t="shared" ca="1" si="149"/>
        <v>23.114074038622846</v>
      </c>
      <c r="Y380" s="314" t="str">
        <f t="shared" ca="1" si="167"/>
        <v/>
      </c>
      <c r="Z380" s="315" t="str">
        <f t="shared" ca="1" si="168"/>
        <v/>
      </c>
      <c r="AA380" s="316" t="str">
        <f t="shared" ca="1" si="169"/>
        <v/>
      </c>
      <c r="AC380" s="310" t="e">
        <f t="shared" ca="1" si="170"/>
        <v>#N/A</v>
      </c>
      <c r="AD380" s="323" t="e">
        <f t="shared" ca="1" si="171"/>
        <v>#N/A</v>
      </c>
      <c r="AE380" s="324" t="e">
        <f t="shared" ca="1" si="150"/>
        <v>#N/A</v>
      </c>
      <c r="AG380" s="306">
        <f t="shared" ca="1" si="172"/>
        <v>0.90620421246704019</v>
      </c>
      <c r="AH380" s="304">
        <f t="shared" ca="1" si="173"/>
        <v>-8.8818615882050231</v>
      </c>
    </row>
    <row r="381" spans="1:34" x14ac:dyDescent="0.2">
      <c r="A381" s="347">
        <f t="shared" ca="1" si="151"/>
        <v>0.1</v>
      </c>
      <c r="B381" s="304">
        <f t="shared" ca="1" si="152"/>
        <v>31.900000000000162</v>
      </c>
      <c r="D381" s="306">
        <f t="shared" ca="1" si="153"/>
        <v>-0.58925029458660727</v>
      </c>
      <c r="E381" s="307">
        <f t="shared" ca="1" si="154"/>
        <v>-0.92235458296608464</v>
      </c>
      <c r="F381" s="304">
        <f t="shared" ca="1" si="155"/>
        <v>1.0945107977489046</v>
      </c>
      <c r="G381" s="306">
        <f t="shared" ca="1" si="156"/>
        <v>6.310482288840177</v>
      </c>
      <c r="H381" s="307">
        <f t="shared" ca="1" si="157"/>
        <v>-96.161824700361279</v>
      </c>
      <c r="I381" s="304">
        <f t="shared" ca="1" si="158"/>
        <v>96.368660447371468</v>
      </c>
      <c r="J381" s="306">
        <f t="shared" ca="1" si="159"/>
        <v>585.2924343162781</v>
      </c>
      <c r="K381" s="307">
        <f t="shared" ca="1" si="160"/>
        <v>50.46643035985484</v>
      </c>
      <c r="L381" s="304">
        <f t="shared" ca="1" si="145"/>
        <v>587.46412167990377</v>
      </c>
      <c r="M381" s="306">
        <f t="shared" ca="1" si="161"/>
        <v>-1.5052667151794314</v>
      </c>
      <c r="N381" s="304">
        <f t="shared" ca="1" si="162"/>
        <v>-86.245429821302395</v>
      </c>
      <c r="P381" s="310">
        <f t="shared" ca="1" si="163"/>
        <v>23</v>
      </c>
      <c r="Q381" s="304">
        <f t="shared" ca="1" si="164"/>
        <v>0</v>
      </c>
      <c r="R381" s="306">
        <f t="shared" ca="1" si="165"/>
        <v>0</v>
      </c>
      <c r="S381" s="307">
        <f t="shared" ca="1" si="166"/>
        <v>2.5949999999999998</v>
      </c>
      <c r="T381" s="304">
        <f t="shared" ca="1" si="146"/>
        <v>25.456949999999999</v>
      </c>
      <c r="U381" s="311">
        <f t="shared" ca="1" si="147"/>
        <v>0</v>
      </c>
      <c r="V381" s="306">
        <f t="shared" ca="1" si="148"/>
        <v>1.2188334225385189</v>
      </c>
      <c r="W381" s="304">
        <f t="shared" ca="1" si="149"/>
        <v>23.178689015171873</v>
      </c>
      <c r="Y381" s="314" t="str">
        <f t="shared" ca="1" si="167"/>
        <v/>
      </c>
      <c r="Z381" s="315" t="str">
        <f t="shared" ca="1" si="168"/>
        <v/>
      </c>
      <c r="AA381" s="316" t="str">
        <f t="shared" ca="1" si="169"/>
        <v/>
      </c>
      <c r="AC381" s="310" t="e">
        <f t="shared" ca="1" si="170"/>
        <v>#N/A</v>
      </c>
      <c r="AD381" s="323" t="e">
        <f t="shared" ca="1" si="171"/>
        <v>#N/A</v>
      </c>
      <c r="AE381" s="324" t="e">
        <f t="shared" ca="1" si="150"/>
        <v>#N/A</v>
      </c>
      <c r="AG381" s="306">
        <f t="shared" ca="1" si="172"/>
        <v>0.88135238000963412</v>
      </c>
      <c r="AH381" s="304">
        <f t="shared" ca="1" si="173"/>
        <v>-8.9071576256735447</v>
      </c>
    </row>
    <row r="382" spans="1:34" x14ac:dyDescent="0.2">
      <c r="A382" s="347">
        <f t="shared" ca="1" si="151"/>
        <v>0.1</v>
      </c>
      <c r="B382" s="304">
        <f t="shared" ca="1" si="152"/>
        <v>32.000000000000163</v>
      </c>
      <c r="D382" s="306">
        <f t="shared" ca="1" si="153"/>
        <v>-0.58489544126821957</v>
      </c>
      <c r="E382" s="307">
        <f t="shared" ca="1" si="154"/>
        <v>-0.89711342225916013</v>
      </c>
      <c r="F382" s="304">
        <f t="shared" ca="1" si="155"/>
        <v>1.0709412540442578</v>
      </c>
      <c r="G382" s="306">
        <f t="shared" ca="1" si="156"/>
        <v>6.2519927447133554</v>
      </c>
      <c r="H382" s="307">
        <f t="shared" ca="1" si="157"/>
        <v>-96.25153604258719</v>
      </c>
      <c r="I382" s="304">
        <f t="shared" ca="1" si="158"/>
        <v>96.454370579240262</v>
      </c>
      <c r="J382" s="306">
        <f t="shared" ca="1" si="159"/>
        <v>585.92055806795577</v>
      </c>
      <c r="K382" s="307">
        <f t="shared" ca="1" si="160"/>
        <v>40.845762322707415</v>
      </c>
      <c r="L382" s="304">
        <f t="shared" ca="1" si="145"/>
        <v>587.34255478927105</v>
      </c>
      <c r="M382" s="306">
        <f t="shared" ca="1" si="161"/>
        <v>-1.5059327146103885</v>
      </c>
      <c r="N382" s="304">
        <f t="shared" ca="1" si="162"/>
        <v>-86.283588777854348</v>
      </c>
      <c r="P382" s="310">
        <f t="shared" ca="1" si="163"/>
        <v>23</v>
      </c>
      <c r="Q382" s="304">
        <f t="shared" ca="1" si="164"/>
        <v>0</v>
      </c>
      <c r="R382" s="306">
        <f t="shared" ca="1" si="165"/>
        <v>0</v>
      </c>
      <c r="S382" s="307">
        <f t="shared" ca="1" si="166"/>
        <v>2.5949999999999998</v>
      </c>
      <c r="T382" s="304">
        <f t="shared" ca="1" si="146"/>
        <v>25.456949999999999</v>
      </c>
      <c r="U382" s="311">
        <f t="shared" ca="1" si="147"/>
        <v>0</v>
      </c>
      <c r="V382" s="306">
        <f t="shared" ca="1" si="148"/>
        <v>1.2200065920930956</v>
      </c>
      <c r="W382" s="304">
        <f t="shared" ca="1" si="149"/>
        <v>23.242287525138224</v>
      </c>
      <c r="Y382" s="314" t="str">
        <f t="shared" ca="1" si="167"/>
        <v/>
      </c>
      <c r="Z382" s="315" t="str">
        <f t="shared" ca="1" si="168"/>
        <v/>
      </c>
      <c r="AA382" s="316" t="str">
        <f t="shared" ca="1" si="169"/>
        <v/>
      </c>
      <c r="AC382" s="310">
        <f t="shared" ca="1" si="170"/>
        <v>32.000000000000163</v>
      </c>
      <c r="AD382" s="323">
        <f t="shared" ca="1" si="171"/>
        <v>585.92055806795577</v>
      </c>
      <c r="AE382" s="324" t="e">
        <f t="shared" ca="1" si="150"/>
        <v>#N/A</v>
      </c>
      <c r="AG382" s="306">
        <f t="shared" ca="1" si="172"/>
        <v>0.85688740448744483</v>
      </c>
      <c r="AH382" s="304">
        <f t="shared" ca="1" si="173"/>
        <v>-8.9320574239583337</v>
      </c>
    </row>
    <row r="383" spans="1:34" x14ac:dyDescent="0.2">
      <c r="A383" s="347">
        <f t="shared" ca="1" si="151"/>
        <v>0.1</v>
      </c>
      <c r="B383" s="304">
        <f t="shared" ca="1" si="152"/>
        <v>32.100000000000165</v>
      </c>
      <c r="D383" s="306">
        <f t="shared" ca="1" si="153"/>
        <v>-0.5805479037817749</v>
      </c>
      <c r="E383" s="307">
        <f t="shared" ca="1" si="154"/>
        <v>-0.87226930084804088</v>
      </c>
      <c r="F383" s="304">
        <f t="shared" ca="1" si="155"/>
        <v>1.0478022722762834</v>
      </c>
      <c r="G383" s="306">
        <f t="shared" ca="1" si="156"/>
        <v>6.193937954335178</v>
      </c>
      <c r="H383" s="307">
        <f t="shared" ca="1" si="157"/>
        <v>-96.338762972672001</v>
      </c>
      <c r="I383" s="304">
        <f t="shared" ca="1" si="158"/>
        <v>96.53767201712931</v>
      </c>
      <c r="J383" s="306">
        <f t="shared" ca="1" si="159"/>
        <v>586.54285460290816</v>
      </c>
      <c r="K383" s="307">
        <f t="shared" ca="1" si="160"/>
        <v>31.216247371944455</v>
      </c>
      <c r="L383" s="304">
        <f t="shared" ca="1" si="145"/>
        <v>587.37294318491956</v>
      </c>
      <c r="M383" s="306">
        <f t="shared" ca="1" si="161"/>
        <v>-1.5065913859567384</v>
      </c>
      <c r="N383" s="304">
        <f t="shared" ca="1" si="162"/>
        <v>-86.321327866086392</v>
      </c>
      <c r="P383" s="310">
        <f t="shared" ca="1" si="163"/>
        <v>23</v>
      </c>
      <c r="Q383" s="304">
        <f t="shared" ca="1" si="164"/>
        <v>0</v>
      </c>
      <c r="R383" s="306">
        <f t="shared" ca="1" si="165"/>
        <v>0</v>
      </c>
      <c r="S383" s="307">
        <f t="shared" ca="1" si="166"/>
        <v>2.5949999999999998</v>
      </c>
      <c r="T383" s="304">
        <f t="shared" ca="1" si="146"/>
        <v>25.456949999999999</v>
      </c>
      <c r="U383" s="311">
        <f t="shared" ca="1" si="147"/>
        <v>0</v>
      </c>
      <c r="V383" s="306">
        <f t="shared" ca="1" si="148"/>
        <v>1.2211819689270593</v>
      </c>
      <c r="W383" s="304">
        <f t="shared" ca="1" si="149"/>
        <v>23.304881341287508</v>
      </c>
      <c r="Y383" s="314" t="str">
        <f t="shared" ca="1" si="167"/>
        <v/>
      </c>
      <c r="Z383" s="315" t="str">
        <f t="shared" ca="1" si="168"/>
        <v/>
      </c>
      <c r="AA383" s="316" t="str">
        <f t="shared" ca="1" si="169"/>
        <v/>
      </c>
      <c r="AC383" s="310" t="e">
        <f t="shared" ca="1" si="170"/>
        <v>#N/A</v>
      </c>
      <c r="AD383" s="323" t="e">
        <f t="shared" ca="1" si="171"/>
        <v>#N/A</v>
      </c>
      <c r="AE383" s="324" t="e">
        <f t="shared" ca="1" si="150"/>
        <v>#N/A</v>
      </c>
      <c r="AG383" s="306">
        <f t="shared" ca="1" si="172"/>
        <v>0.83280496554610295</v>
      </c>
      <c r="AH383" s="304">
        <f t="shared" ca="1" si="173"/>
        <v>-8.9565655202844798</v>
      </c>
    </row>
    <row r="384" spans="1:34" x14ac:dyDescent="0.2">
      <c r="A384" s="347">
        <f t="shared" ca="1" si="151"/>
        <v>0.1</v>
      </c>
      <c r="B384" s="304">
        <f t="shared" ca="1" si="152"/>
        <v>32.200000000000166</v>
      </c>
      <c r="D384" s="306">
        <f t="shared" ca="1" si="153"/>
        <v>-0.57620837031591376</v>
      </c>
      <c r="E384" s="307">
        <f t="shared" ca="1" si="154"/>
        <v>-0.84781761780778808</v>
      </c>
      <c r="F384" s="304">
        <f t="shared" ca="1" si="155"/>
        <v>1.0250906296944646</v>
      </c>
      <c r="G384" s="306">
        <f t="shared" ca="1" si="156"/>
        <v>6.1363171173035864</v>
      </c>
      <c r="H384" s="307">
        <f t="shared" ca="1" si="157"/>
        <v>-96.423544734452776</v>
      </c>
      <c r="I384" s="304">
        <f t="shared" ca="1" si="158"/>
        <v>96.618602592467298</v>
      </c>
      <c r="J384" s="306">
        <f t="shared" ca="1" si="159"/>
        <v>587.15936735649007</v>
      </c>
      <c r="K384" s="307">
        <f t="shared" ca="1" si="160"/>
        <v>21.578131986588218</v>
      </c>
      <c r="L384" s="304">
        <f t="shared" ca="1" si="145"/>
        <v>587.55573221142549</v>
      </c>
      <c r="M384" s="306">
        <f t="shared" ca="1" si="161"/>
        <v>-1.5072428317967279</v>
      </c>
      <c r="N384" s="304">
        <f t="shared" ca="1" si="162"/>
        <v>-86.35865296329915</v>
      </c>
      <c r="P384" s="310">
        <f t="shared" ca="1" si="163"/>
        <v>23</v>
      </c>
      <c r="Q384" s="304">
        <f t="shared" ca="1" si="164"/>
        <v>0</v>
      </c>
      <c r="R384" s="306">
        <f t="shared" ca="1" si="165"/>
        <v>0</v>
      </c>
      <c r="S384" s="307">
        <f t="shared" ca="1" si="166"/>
        <v>2.5949999999999998</v>
      </c>
      <c r="T384" s="304">
        <f t="shared" ca="1" si="146"/>
        <v>25.456949999999999</v>
      </c>
      <c r="U384" s="311">
        <f t="shared" ca="1" si="147"/>
        <v>0</v>
      </c>
      <c r="V384" s="306">
        <f t="shared" ca="1" si="148"/>
        <v>1.2223595276546817</v>
      </c>
      <c r="W384" s="304">
        <f t="shared" ca="1" si="149"/>
        <v>23.366482229482838</v>
      </c>
      <c r="Y384" s="314" t="str">
        <f t="shared" ca="1" si="167"/>
        <v/>
      </c>
      <c r="Z384" s="315" t="str">
        <f t="shared" ca="1" si="168"/>
        <v/>
      </c>
      <c r="AA384" s="316" t="str">
        <f t="shared" ca="1" si="169"/>
        <v/>
      </c>
      <c r="AC384" s="310" t="e">
        <f t="shared" ca="1" si="170"/>
        <v>#N/A</v>
      </c>
      <c r="AD384" s="323" t="e">
        <f t="shared" ca="1" si="171"/>
        <v>#N/A</v>
      </c>
      <c r="AE384" s="324" t="e">
        <f t="shared" ca="1" si="150"/>
        <v>#N/A</v>
      </c>
      <c r="AG384" s="306">
        <f t="shared" ca="1" si="172"/>
        <v>0.80910073756155398</v>
      </c>
      <c r="AH384" s="304">
        <f t="shared" ca="1" si="173"/>
        <v>-8.9806864513632032</v>
      </c>
    </row>
    <row r="385" spans="1:34" x14ac:dyDescent="0.2">
      <c r="A385" s="347">
        <f t="shared" ca="1" si="151"/>
        <v>0.1</v>
      </c>
      <c r="B385" s="304">
        <f t="shared" ca="1" si="152"/>
        <v>32.300000000000168</v>
      </c>
      <c r="D385" s="306">
        <f t="shared" ca="1" si="153"/>
        <v>-0.57187750857462116</v>
      </c>
      <c r="E385" s="307">
        <f t="shared" ca="1" si="154"/>
        <v>-0.82375377501626623</v>
      </c>
      <c r="F385" s="304">
        <f t="shared" ca="1" si="155"/>
        <v>1.0028031544959686</v>
      </c>
      <c r="G385" s="306">
        <f t="shared" ca="1" si="156"/>
        <v>6.0791293664461241</v>
      </c>
      <c r="H385" s="307">
        <f t="shared" ca="1" si="157"/>
        <v>-96.505920111954396</v>
      </c>
      <c r="I385" s="304">
        <f t="shared" ca="1" si="158"/>
        <v>96.697199703553522</v>
      </c>
      <c r="J385" s="306">
        <f t="shared" ca="1" si="159"/>
        <v>587.77013968067752</v>
      </c>
      <c r="K385" s="307">
        <f t="shared" ca="1" si="160"/>
        <v>11.931658744267859</v>
      </c>
      <c r="L385" s="304">
        <f t="shared" ca="1" si="145"/>
        <v>587.89123278088857</v>
      </c>
      <c r="M385" s="306">
        <f t="shared" ca="1" si="161"/>
        <v>-1.5078871526441782</v>
      </c>
      <c r="N385" s="304">
        <f t="shared" ca="1" si="162"/>
        <v>-86.395569828510347</v>
      </c>
      <c r="P385" s="310">
        <f t="shared" ca="1" si="163"/>
        <v>23</v>
      </c>
      <c r="Q385" s="304">
        <f t="shared" ca="1" si="164"/>
        <v>0</v>
      </c>
      <c r="R385" s="306">
        <f t="shared" ca="1" si="165"/>
        <v>0</v>
      </c>
      <c r="S385" s="307">
        <f t="shared" ca="1" si="166"/>
        <v>2.5949999999999998</v>
      </c>
      <c r="T385" s="304">
        <f t="shared" ca="1" si="146"/>
        <v>25.456949999999999</v>
      </c>
      <c r="U385" s="311">
        <f t="shared" ca="1" si="147"/>
        <v>0</v>
      </c>
      <c r="V385" s="306">
        <f t="shared" ca="1" si="148"/>
        <v>1.2235392432663701</v>
      </c>
      <c r="W385" s="304">
        <f t="shared" ca="1" si="149"/>
        <v>23.427101943330442</v>
      </c>
      <c r="Y385" s="314" t="str">
        <f t="shared" ca="1" si="167"/>
        <v/>
      </c>
      <c r="Z385" s="315" t="str">
        <f t="shared" ca="1" si="168"/>
        <v/>
      </c>
      <c r="AA385" s="316" t="str">
        <f t="shared" ca="1" si="169"/>
        <v/>
      </c>
      <c r="AC385" s="310" t="e">
        <f t="shared" ca="1" si="170"/>
        <v>#N/A</v>
      </c>
      <c r="AD385" s="323" t="e">
        <f t="shared" ca="1" si="171"/>
        <v>#N/A</v>
      </c>
      <c r="AE385" s="324" t="e">
        <f t="shared" ca="1" si="150"/>
        <v>#N/A</v>
      </c>
      <c r="AG385" s="306">
        <f t="shared" ca="1" si="172"/>
        <v>0.78577039196908238</v>
      </c>
      <c r="AH385" s="304">
        <f t="shared" ca="1" si="173"/>
        <v>-9.0044247512457964</v>
      </c>
    </row>
    <row r="386" spans="1:34" x14ac:dyDescent="0.2">
      <c r="A386" s="347">
        <f t="shared" ca="1" si="151"/>
        <v>0.1</v>
      </c>
      <c r="B386" s="304">
        <f t="shared" ca="1" si="152"/>
        <v>32.400000000000169</v>
      </c>
      <c r="D386" s="306">
        <f t="shared" ca="1" si="153"/>
        <v>-0.56755596612165049</v>
      </c>
      <c r="E386" s="307">
        <f t="shared" ca="1" si="154"/>
        <v>-0.80007317924222754</v>
      </c>
      <c r="F386" s="304">
        <f t="shared" ca="1" si="155"/>
        <v>0.98093672926598363</v>
      </c>
      <c r="G386" s="306">
        <f t="shared" ca="1" si="156"/>
        <v>6.0223737698339592</v>
      </c>
      <c r="H386" s="307">
        <f t="shared" ca="1" si="157"/>
        <v>-96.585927429878623</v>
      </c>
      <c r="I386" s="304">
        <f t="shared" ca="1" si="158"/>
        <v>96.773500315496307</v>
      </c>
      <c r="J386" s="306">
        <f t="shared" ca="1" si="159"/>
        <v>588.37521483749151</v>
      </c>
      <c r="K386" s="307">
        <f t="shared" ca="1" si="160"/>
        <v>2.2770663671762055</v>
      </c>
      <c r="L386" s="304">
        <f t="shared" ca="1" si="145"/>
        <v>588.37962104945882</v>
      </c>
      <c r="M386" s="306">
        <f t="shared" ca="1" si="161"/>
        <v>-1.5085244470041999</v>
      </c>
      <c r="N386" s="304">
        <f t="shared" ca="1" si="162"/>
        <v>-86.432084105647078</v>
      </c>
      <c r="P386" s="310">
        <f t="shared" ca="1" si="163"/>
        <v>23</v>
      </c>
      <c r="Q386" s="304">
        <f t="shared" ca="1" si="164"/>
        <v>0</v>
      </c>
      <c r="R386" s="306">
        <f t="shared" ca="1" si="165"/>
        <v>0</v>
      </c>
      <c r="S386" s="307">
        <f t="shared" ca="1" si="166"/>
        <v>2.5949999999999998</v>
      </c>
      <c r="T386" s="304">
        <f t="shared" ca="1" si="146"/>
        <v>25.456949999999999</v>
      </c>
      <c r="U386" s="311">
        <f t="shared" ca="1" si="147"/>
        <v>0</v>
      </c>
      <c r="V386" s="306">
        <f t="shared" ca="1" si="148"/>
        <v>1.2247210911247219</v>
      </c>
      <c r="W386" s="304">
        <f t="shared" ca="1" si="149"/>
        <v>23.486752219035118</v>
      </c>
      <c r="Y386" s="314" t="str">
        <f t="shared" ca="1" si="167"/>
        <v/>
      </c>
      <c r="Z386" s="315" t="str">
        <f t="shared" ca="1" si="168"/>
        <v/>
      </c>
      <c r="AA386" s="316" t="str">
        <f t="shared" ca="1" si="169"/>
        <v/>
      </c>
      <c r="AC386" s="310" t="e">
        <f t="shared" ca="1" si="170"/>
        <v>#N/A</v>
      </c>
      <c r="AD386" s="323" t="e">
        <f t="shared" ca="1" si="171"/>
        <v>#N/A</v>
      </c>
      <c r="AE386" s="324" t="e">
        <f t="shared" ca="1" si="150"/>
        <v>#N/A</v>
      </c>
      <c r="AG386" s="306">
        <f t="shared" ca="1" si="172"/>
        <v>0.76280959950286231</v>
      </c>
      <c r="AH386" s="304">
        <f t="shared" ca="1" si="173"/>
        <v>-9.0277849492602869</v>
      </c>
    </row>
    <row r="387" spans="1:34" x14ac:dyDescent="0.2">
      <c r="A387" s="347">
        <f t="shared" ca="1" si="151"/>
        <v>0.1</v>
      </c>
      <c r="B387" s="304">
        <f t="shared" ca="1" si="152"/>
        <v>32.500000000000171</v>
      </c>
      <c r="D387" s="306">
        <f t="shared" ca="1" si="153"/>
        <v>-0.56324437072499101</v>
      </c>
      <c r="E387" s="307">
        <f t="shared" ca="1" si="154"/>
        <v>-0.77677124415152576</v>
      </c>
      <c r="F387" s="304">
        <f t="shared" ca="1" si="155"/>
        <v>0.95948829429759086</v>
      </c>
      <c r="G387" s="306">
        <f t="shared" ca="1" si="156"/>
        <v>5.9660493327614601</v>
      </c>
      <c r="H387" s="307">
        <f t="shared" ca="1" si="157"/>
        <v>-96.663604554293769</v>
      </c>
      <c r="I387" s="304">
        <f t="shared" ca="1" si="158"/>
        <v>96.847540960366302</v>
      </c>
      <c r="J387" s="306">
        <f t="shared" ca="1" si="159"/>
        <v>588.9746359926213</v>
      </c>
      <c r="K387" s="307">
        <f t="shared" ca="1" si="160"/>
        <v>-7.3854102320324149</v>
      </c>
      <c r="L387" s="304">
        <f t="shared" ca="1" si="145"/>
        <v>589.02093861503442</v>
      </c>
      <c r="M387" s="306">
        <f t="shared" ca="1" si="161"/>
        <v>-1.5091548114271167</v>
      </c>
      <c r="N387" s="304">
        <f t="shared" ca="1" si="162"/>
        <v>-86.468201326635409</v>
      </c>
      <c r="P387" s="310">
        <f t="shared" ca="1" si="163"/>
        <v>23</v>
      </c>
      <c r="Q387" s="304">
        <f t="shared" ca="1" si="164"/>
        <v>0</v>
      </c>
      <c r="R387" s="306">
        <f t="shared" ca="1" si="165"/>
        <v>0</v>
      </c>
      <c r="S387" s="307">
        <f t="shared" ca="1" si="166"/>
        <v>2.5949999999999998</v>
      </c>
      <c r="T387" s="304">
        <f t="shared" ca="1" si="146"/>
        <v>25.456949999999999</v>
      </c>
      <c r="U387" s="311">
        <f t="shared" ca="1" si="147"/>
        <v>0</v>
      </c>
      <c r="V387" s="306">
        <f t="shared" ca="1" si="148"/>
        <v>1.2259050469605783</v>
      </c>
      <c r="W387" s="304">
        <f t="shared" ca="1" si="149"/>
        <v>23.545444770461017</v>
      </c>
      <c r="Y387" s="314" t="str">
        <f t="shared" ca="1" si="167"/>
        <v>Impact balistique</v>
      </c>
      <c r="Z387" s="315" t="str">
        <f t="shared" ca="1" si="168"/>
        <v/>
      </c>
      <c r="AA387" s="316" t="str">
        <f t="shared" ca="1" si="169"/>
        <v/>
      </c>
      <c r="AC387" s="310" t="e">
        <f t="shared" ca="1" si="170"/>
        <v>#N/A</v>
      </c>
      <c r="AD387" s="323" t="e">
        <f t="shared" ca="1" si="171"/>
        <v>#N/A</v>
      </c>
      <c r="AE387" s="324" t="e">
        <f t="shared" ca="1" si="150"/>
        <v>#N/A</v>
      </c>
      <c r="AG387" s="306">
        <f t="shared" ca="1" si="172"/>
        <v>0.74021403234811345</v>
      </c>
      <c r="AH387" s="304">
        <f t="shared" ca="1" si="173"/>
        <v>-9.0507715680289476</v>
      </c>
    </row>
    <row r="388" spans="1:34" x14ac:dyDescent="0.2">
      <c r="A388" s="347">
        <f t="shared" ca="1" si="151"/>
        <v>1E-4</v>
      </c>
      <c r="B388" s="304">
        <f t="shared" ca="1" si="152"/>
        <v>32.500100000000174</v>
      </c>
      <c r="D388" s="306">
        <f t="shared" ca="1" si="153"/>
        <v>-0.55894333070109303</v>
      </c>
      <c r="E388" s="307">
        <f t="shared" ca="1" si="154"/>
        <v>-0.75384339223322883</v>
      </c>
      <c r="F388" s="304">
        <f t="shared" ca="1" si="155"/>
        <v>0.93845485077809321</v>
      </c>
      <c r="G388" s="306">
        <f t="shared" ca="1" si="156"/>
        <v>5.9659934384283897</v>
      </c>
      <c r="H388" s="307">
        <f t="shared" ca="1" si="157"/>
        <v>-96.663679938632995</v>
      </c>
      <c r="I388" s="304">
        <f t="shared" ca="1" si="158"/>
        <v>96.847612758321773</v>
      </c>
      <c r="J388" s="306">
        <f t="shared" ca="1" si="159"/>
        <v>588.9746359926213</v>
      </c>
      <c r="K388" s="307">
        <f t="shared" ca="1" si="160"/>
        <v>-7.395076596257061</v>
      </c>
      <c r="L388" s="304">
        <f t="shared" ref="L388:L451" ca="1" si="174">SQRT(pos_x^2+pos_z^2)</f>
        <v>589.0210598955739</v>
      </c>
      <c r="M388" s="306">
        <f t="shared" ca="1" si="161"/>
        <v>-1.509155435418122</v>
      </c>
      <c r="N388" s="304">
        <f t="shared" ca="1" si="162"/>
        <v>-86.468237078686471</v>
      </c>
      <c r="P388" s="310">
        <f t="shared" ca="1" si="163"/>
        <v>23</v>
      </c>
      <c r="Q388" s="304">
        <f t="shared" ca="1" si="164"/>
        <v>0</v>
      </c>
      <c r="R388" s="306">
        <f t="shared" ca="1" si="165"/>
        <v>0</v>
      </c>
      <c r="S388" s="307">
        <f t="shared" ca="1" si="166"/>
        <v>2.5949999999999998</v>
      </c>
      <c r="T388" s="304">
        <f t="shared" ref="T388:T451" ca="1" si="175">m*g</f>
        <v>25.456949999999999</v>
      </c>
      <c r="U388" s="311">
        <f t="shared" ref="U388:U451" ca="1" si="176">IF(pos_xz&lt;L_rampe,Poids*COS(Beta),0)</f>
        <v>0</v>
      </c>
      <c r="V388" s="306">
        <f t="shared" ref="V388:V451" ca="1" si="177">Rho_moyen*(20000-Alt_rampe-pos_z)/(20000+Alt_rampe+pos_z)</f>
        <v>1.2259062319657816</v>
      </c>
      <c r="W388" s="304">
        <f t="shared" ref="W388:W451" ca="1" si="178">1/2*Rho*Sref*Cx*vit_xz^2</f>
        <v>23.545502441252339</v>
      </c>
      <c r="Y388" s="314" t="str">
        <f t="shared" ca="1" si="167"/>
        <v/>
      </c>
      <c r="Z388" s="315" t="str">
        <f t="shared" ca="1" si="168"/>
        <v/>
      </c>
      <c r="AA388" s="316" t="str">
        <f t="shared" ca="1" si="169"/>
        <v/>
      </c>
      <c r="AC388" s="310" t="e">
        <f t="shared" ca="1" si="170"/>
        <v>#N/A</v>
      </c>
      <c r="AD388" s="323" t="e">
        <f t="shared" ca="1" si="171"/>
        <v>#N/A</v>
      </c>
      <c r="AE388" s="324" t="e">
        <f t="shared" ref="AE388:AE451" ca="1" si="179">IF(t&lt;T_para, pos_z, NA())</f>
        <v>#N/A</v>
      </c>
      <c r="AG388" s="306">
        <f t="shared" ca="1" si="172"/>
        <v>0.71797936620792058</v>
      </c>
      <c r="AH388" s="304">
        <f t="shared" ca="1" si="173"/>
        <v>-9.07338912156494</v>
      </c>
    </row>
    <row r="389" spans="1:34" x14ac:dyDescent="0.2">
      <c r="A389" s="347">
        <f t="shared" ref="A389:A452" ca="1" si="180">IF(B388+0.01&lt;=T_ini+ROUNDUP(Temps_fin_propu,0), 0.01, IF(K388&gt;0, 0.1, 0.0001))</f>
        <v>1E-4</v>
      </c>
      <c r="B389" s="304">
        <f t="shared" ref="B389:B452" ca="1" si="181">B388+pas</f>
        <v>32.500200000000177</v>
      </c>
      <c r="D389" s="306">
        <f t="shared" ref="D389:D452" ca="1" si="182">IF(AND(L388&lt;L_rampe,Poussee&lt;Poids*SIN(M388)),0,(-W388+Poussee)/m*COS(M388)-U388/m*SIN(M388))</f>
        <v>-0.55893904876893608</v>
      </c>
      <c r="E389" s="307">
        <f t="shared" ref="E389:E452" ca="1" si="183">IF(AND(L388&lt;L_rampe,Poussee&lt;Poids*SIN(M388)),0,(-W388+Poussee)/m*SIN(M388)+U388/m*COS(M388)-Poids/m)</f>
        <v>-0.75382086185512165</v>
      </c>
      <c r="F389" s="304">
        <f t="shared" ref="F389:F452" ca="1" si="184">SQRT(acc_x^2+acc_z^2)</f>
        <v>0.93843420227883934</v>
      </c>
      <c r="G389" s="306">
        <f t="shared" ref="G389:G452" ca="1" si="185">G388+acc_x*pas</f>
        <v>5.9659375445235128</v>
      </c>
      <c r="H389" s="307">
        <f t="shared" ref="H389:H452" ca="1" si="186">H388+acc_z*pas</f>
        <v>-96.663755320719176</v>
      </c>
      <c r="I389" s="304">
        <f t="shared" ref="I389:I452" ca="1" si="187">SQRT(vit_x^2+vit_z^2)</f>
        <v>96.847684554092567</v>
      </c>
      <c r="J389" s="306">
        <f t="shared" ref="J389:J452" ca="1" si="188">J388+0.5*(vit_x+G388)*pas*(K388&gt;=0)</f>
        <v>588.9746359926213</v>
      </c>
      <c r="K389" s="307">
        <f t="shared" ref="K389:K452" ca="1" si="189">K388+0.5*(vit_z+H388)*pas</f>
        <v>-7.4047429680200283</v>
      </c>
      <c r="L389" s="304">
        <f t="shared" ca="1" si="174"/>
        <v>589.0211813348169</v>
      </c>
      <c r="M389" s="306">
        <f t="shared" ref="M389:M452" ca="1" si="190">IF(AND(L388&gt;L_rampe,G389&gt;0),ATAN2(G389,H389),$M$4)</f>
        <v>-1.5091560594023561</v>
      </c>
      <c r="N389" s="304">
        <f t="shared" ref="N389:N452" ca="1" si="191">DEGREES(Beta)</f>
        <v>-86.468272830349562</v>
      </c>
      <c r="P389" s="310">
        <f t="shared" ref="P389:P452" ca="1" si="192">MATCH(t-pas/2-T_ini,CdP_t)</f>
        <v>23</v>
      </c>
      <c r="Q389" s="304">
        <f t="shared" ref="Q389:Q452" ca="1" si="193">(INDEX(CdP,2,i_P+1)-INDEX(CdP,2,i_P+0))/(INDEX(CdP,1,i_P+1)-INDEX(CdP,1,i_P+0))*(t-pas/2-T_ini-INDEX(CdP,1,i_P+0))+INDEX(CdP,2,i_P+0)</f>
        <v>0</v>
      </c>
      <c r="R389" s="306">
        <f t="shared" ref="R389:R452" ca="1" si="194">Poussee/(g*ISP)</f>
        <v>0</v>
      </c>
      <c r="S389" s="307">
        <f t="shared" ref="S389:S452" ca="1" si="195">S388-Débit*pas</f>
        <v>2.5949999999999998</v>
      </c>
      <c r="T389" s="304">
        <f t="shared" ca="1" si="175"/>
        <v>25.456949999999999</v>
      </c>
      <c r="U389" s="311">
        <f t="shared" ca="1" si="176"/>
        <v>0</v>
      </c>
      <c r="V389" s="306">
        <f t="shared" ca="1" si="177"/>
        <v>1.2259074169730553</v>
      </c>
      <c r="W389" s="304">
        <f t="shared" ca="1" si="178"/>
        <v>23.545560111114515</v>
      </c>
      <c r="Y389" s="314" t="str">
        <f t="shared" ref="Y389:Y452" ca="1" si="196">IF(AND(pos_z&lt;=0,K388&gt;0),"Impact balistique","") &amp; IF(AND(H390&lt;0,vit_z&gt;=0),"Apogée","") &amp; IF(AND(Poussee=0,Q388&gt;0),"Fin de propulsion","") &amp; IF(AND(L390&gt;L_rampe,pos_xz&lt;=L_rampe),"Sortie de rampe","")</f>
        <v/>
      </c>
      <c r="Z389" s="315" t="str">
        <f t="shared" ref="Z389:Z452" ca="1" si="197">IF(ABS(t-T_para)&lt;pas/2,"Para","")</f>
        <v/>
      </c>
      <c r="AA389" s="316" t="str">
        <f t="shared" ref="AA389:AA452" ca="1" si="198">IF(ABS(t-T_satellite)&lt;pas/2,"Satellite","")</f>
        <v/>
      </c>
      <c r="AC389" s="310" t="e">
        <f t="shared" ref="AC389:AC452" ca="1" si="199">IF(ABS(t-ROUND(t,0))&lt;0.001,t,NA())</f>
        <v>#N/A</v>
      </c>
      <c r="AD389" s="323" t="e">
        <f t="shared" ref="AD389:AD452" ca="1" si="200">IF(ABS(t-ROUND(t,0))&lt;0.001,pos_x,NA())</f>
        <v>#N/A</v>
      </c>
      <c r="AE389" s="324" t="e">
        <f t="shared" ca="1" si="179"/>
        <v>#N/A</v>
      </c>
      <c r="AG389" s="306">
        <f t="shared" ref="AG389:AG452" ca="1" si="201">IF(AND(L388&lt;L_rampe,Poussee&lt;Poids*SIN(M388)),0,(-W388+Poussee)/m-Poids*SIN(M388)/m)</f>
        <v>0.71795751948481801</v>
      </c>
      <c r="AH389" s="304">
        <f t="shared" ref="AH389:AH452" ca="1" si="202">IF(AND(L388&lt;L_rampe,Poussee&lt;Poids*SIN(M388)), g*SIN(M388), (-W388+Poussee)/m)</f>
        <v>-9.0734113453766252</v>
      </c>
    </row>
    <row r="390" spans="1:34" x14ac:dyDescent="0.2">
      <c r="A390" s="347">
        <f t="shared" ca="1" si="180"/>
        <v>1E-4</v>
      </c>
      <c r="B390" s="304">
        <f t="shared" ca="1" si="181"/>
        <v>32.50030000000018</v>
      </c>
      <c r="D390" s="306">
        <f t="shared" ca="1" si="182"/>
        <v>-0.55893476684814458</v>
      </c>
      <c r="E390" s="307">
        <f t="shared" ca="1" si="183"/>
        <v>-0.75379833183998812</v>
      </c>
      <c r="F390" s="304">
        <f t="shared" ca="1" si="184"/>
        <v>0.9384135541840487</v>
      </c>
      <c r="G390" s="306">
        <f t="shared" ca="1" si="185"/>
        <v>5.9658816510468275</v>
      </c>
      <c r="H390" s="307">
        <f t="shared" ca="1" si="186"/>
        <v>-96.663830700552353</v>
      </c>
      <c r="I390" s="304">
        <f t="shared" ca="1" si="187"/>
        <v>96.847756347678725</v>
      </c>
      <c r="J390" s="306">
        <f t="shared" ca="1" si="188"/>
        <v>588.9746359926213</v>
      </c>
      <c r="K390" s="307">
        <f t="shared" ca="1" si="189"/>
        <v>-7.4144093473210919</v>
      </c>
      <c r="L390" s="304">
        <f t="shared" ca="1" si="174"/>
        <v>589.02130293276355</v>
      </c>
      <c r="M390" s="306">
        <f t="shared" ca="1" si="190"/>
        <v>-1.5091566833798191</v>
      </c>
      <c r="N390" s="304">
        <f t="shared" ca="1" si="191"/>
        <v>-86.468308581624711</v>
      </c>
      <c r="P390" s="310">
        <f t="shared" ca="1" si="192"/>
        <v>23</v>
      </c>
      <c r="Q390" s="304">
        <f t="shared" ca="1" si="193"/>
        <v>0</v>
      </c>
      <c r="R390" s="306">
        <f t="shared" ca="1" si="194"/>
        <v>0</v>
      </c>
      <c r="S390" s="307">
        <f t="shared" ca="1" si="195"/>
        <v>2.5949999999999998</v>
      </c>
      <c r="T390" s="304">
        <f t="shared" ca="1" si="175"/>
        <v>25.456949999999999</v>
      </c>
      <c r="U390" s="311">
        <f t="shared" ca="1" si="176"/>
        <v>0</v>
      </c>
      <c r="V390" s="306">
        <f t="shared" ca="1" si="177"/>
        <v>1.2259086019823988</v>
      </c>
      <c r="W390" s="304">
        <f t="shared" ca="1" si="178"/>
        <v>23.545617780047554</v>
      </c>
      <c r="Y390" s="314" t="str">
        <f t="shared" ca="1" si="196"/>
        <v/>
      </c>
      <c r="Z390" s="315" t="str">
        <f t="shared" ca="1" si="197"/>
        <v/>
      </c>
      <c r="AA390" s="316" t="str">
        <f t="shared" ca="1" si="198"/>
        <v/>
      </c>
      <c r="AC390" s="310" t="e">
        <f t="shared" ca="1" si="199"/>
        <v>#N/A</v>
      </c>
      <c r="AD390" s="323" t="e">
        <f t="shared" ca="1" si="200"/>
        <v>#N/A</v>
      </c>
      <c r="AE390" s="324" t="e">
        <f t="shared" ca="1" si="179"/>
        <v>#N/A</v>
      </c>
      <c r="AG390" s="306">
        <f t="shared" ca="1" si="201"/>
        <v>0.71793567311186557</v>
      </c>
      <c r="AH390" s="304">
        <f t="shared" ca="1" si="202"/>
        <v>-9.0734335688302572</v>
      </c>
    </row>
    <row r="391" spans="1:34" x14ac:dyDescent="0.2">
      <c r="A391" s="347">
        <f t="shared" ca="1" si="180"/>
        <v>1E-4</v>
      </c>
      <c r="B391" s="304">
        <f t="shared" ca="1" si="181"/>
        <v>32.500400000000184</v>
      </c>
      <c r="D391" s="306">
        <f t="shared" ca="1" si="182"/>
        <v>-0.55893048493871766</v>
      </c>
      <c r="E391" s="307">
        <f t="shared" ca="1" si="183"/>
        <v>-0.75377580218782825</v>
      </c>
      <c r="F391" s="304">
        <f t="shared" ca="1" si="184"/>
        <v>0.93839290649372142</v>
      </c>
      <c r="G391" s="306">
        <f t="shared" ca="1" si="185"/>
        <v>5.965825757998334</v>
      </c>
      <c r="H391" s="307">
        <f t="shared" ca="1" si="186"/>
        <v>-96.66390607813257</v>
      </c>
      <c r="I391" s="304">
        <f t="shared" ca="1" si="187"/>
        <v>96.847828139080292</v>
      </c>
      <c r="J391" s="306">
        <f t="shared" ca="1" si="188"/>
        <v>588.9746359926213</v>
      </c>
      <c r="K391" s="307">
        <f t="shared" ca="1" si="189"/>
        <v>-7.4240757341600263</v>
      </c>
      <c r="L391" s="304">
        <f t="shared" ca="1" si="174"/>
        <v>589.02142468941429</v>
      </c>
      <c r="M391" s="306">
        <f t="shared" ca="1" si="190"/>
        <v>-1.5091573073505109</v>
      </c>
      <c r="N391" s="304">
        <f t="shared" ca="1" si="191"/>
        <v>-86.46834433251189</v>
      </c>
      <c r="P391" s="310">
        <f t="shared" ca="1" si="192"/>
        <v>23</v>
      </c>
      <c r="Q391" s="304">
        <f t="shared" ca="1" si="193"/>
        <v>0</v>
      </c>
      <c r="R391" s="306">
        <f t="shared" ca="1" si="194"/>
        <v>0</v>
      </c>
      <c r="S391" s="307">
        <f t="shared" ca="1" si="195"/>
        <v>2.5949999999999998</v>
      </c>
      <c r="T391" s="304">
        <f t="shared" ca="1" si="175"/>
        <v>25.456949999999999</v>
      </c>
      <c r="U391" s="311">
        <f t="shared" ca="1" si="176"/>
        <v>0</v>
      </c>
      <c r="V391" s="306">
        <f t="shared" ca="1" si="177"/>
        <v>1.225909786993812</v>
      </c>
      <c r="W391" s="304">
        <f t="shared" ca="1" si="178"/>
        <v>23.545675448051483</v>
      </c>
      <c r="Y391" s="314" t="str">
        <f t="shared" ca="1" si="196"/>
        <v/>
      </c>
      <c r="Z391" s="315" t="str">
        <f t="shared" ca="1" si="197"/>
        <v/>
      </c>
      <c r="AA391" s="316" t="str">
        <f t="shared" ca="1" si="198"/>
        <v/>
      </c>
      <c r="AC391" s="310" t="e">
        <f t="shared" ca="1" si="199"/>
        <v>#N/A</v>
      </c>
      <c r="AD391" s="323" t="e">
        <f t="shared" ca="1" si="200"/>
        <v>#N/A</v>
      </c>
      <c r="AE391" s="324" t="e">
        <f t="shared" ca="1" si="179"/>
        <v>#N/A</v>
      </c>
      <c r="AG391" s="306">
        <f t="shared" ca="1" si="201"/>
        <v>0.71791382708905793</v>
      </c>
      <c r="AH391" s="304">
        <f t="shared" ca="1" si="202"/>
        <v>-9.0734557919258396</v>
      </c>
    </row>
    <row r="392" spans="1:34" x14ac:dyDescent="0.2">
      <c r="A392" s="347">
        <f t="shared" ca="1" si="180"/>
        <v>1E-4</v>
      </c>
      <c r="B392" s="304">
        <f t="shared" ca="1" si="181"/>
        <v>32.500500000000187</v>
      </c>
      <c r="D392" s="306">
        <f t="shared" ca="1" si="182"/>
        <v>-0.55892620304065965</v>
      </c>
      <c r="E392" s="307">
        <f t="shared" ca="1" si="183"/>
        <v>-0.75375327289862604</v>
      </c>
      <c r="F392" s="304">
        <f t="shared" ca="1" si="184"/>
        <v>0.93837225920784728</v>
      </c>
      <c r="G392" s="306">
        <f t="shared" ca="1" si="185"/>
        <v>5.9657698653780296</v>
      </c>
      <c r="H392" s="307">
        <f t="shared" ca="1" si="186"/>
        <v>-96.663981453459854</v>
      </c>
      <c r="I392" s="304">
        <f t="shared" ca="1" si="187"/>
        <v>96.847899928297267</v>
      </c>
      <c r="J392" s="306">
        <f t="shared" ca="1" si="188"/>
        <v>588.9746359926213</v>
      </c>
      <c r="K392" s="307">
        <f t="shared" ca="1" si="189"/>
        <v>-7.4337421285366059</v>
      </c>
      <c r="L392" s="304">
        <f t="shared" ca="1" si="174"/>
        <v>589.02154660476924</v>
      </c>
      <c r="M392" s="306">
        <f t="shared" ca="1" si="190"/>
        <v>-1.5091579313144321</v>
      </c>
      <c r="N392" s="304">
        <f t="shared" ca="1" si="191"/>
        <v>-86.468380083011141</v>
      </c>
      <c r="P392" s="310">
        <f t="shared" ca="1" si="192"/>
        <v>23</v>
      </c>
      <c r="Q392" s="304">
        <f t="shared" ca="1" si="193"/>
        <v>0</v>
      </c>
      <c r="R392" s="306">
        <f t="shared" ca="1" si="194"/>
        <v>0</v>
      </c>
      <c r="S392" s="307">
        <f t="shared" ca="1" si="195"/>
        <v>2.5949999999999998</v>
      </c>
      <c r="T392" s="304">
        <f t="shared" ca="1" si="175"/>
        <v>25.456949999999999</v>
      </c>
      <c r="U392" s="311">
        <f t="shared" ca="1" si="176"/>
        <v>0</v>
      </c>
      <c r="V392" s="306">
        <f t="shared" ca="1" si="177"/>
        <v>1.2259109720072956</v>
      </c>
      <c r="W392" s="304">
        <f t="shared" ca="1" si="178"/>
        <v>23.545733115126307</v>
      </c>
      <c r="Y392" s="314" t="str">
        <f t="shared" ca="1" si="196"/>
        <v/>
      </c>
      <c r="Z392" s="315" t="str">
        <f t="shared" ca="1" si="197"/>
        <v/>
      </c>
      <c r="AA392" s="316" t="str">
        <f t="shared" ca="1" si="198"/>
        <v/>
      </c>
      <c r="AC392" s="310" t="e">
        <f t="shared" ca="1" si="199"/>
        <v>#N/A</v>
      </c>
      <c r="AD392" s="323" t="e">
        <f t="shared" ca="1" si="200"/>
        <v>#N/A</v>
      </c>
      <c r="AE392" s="324" t="e">
        <f t="shared" ca="1" si="179"/>
        <v>#N/A</v>
      </c>
      <c r="AG392" s="306">
        <f t="shared" ca="1" si="201"/>
        <v>0.71789198141638266</v>
      </c>
      <c r="AH392" s="304">
        <f t="shared" ca="1" si="202"/>
        <v>-9.0734780146633849</v>
      </c>
    </row>
    <row r="393" spans="1:34" x14ac:dyDescent="0.2">
      <c r="A393" s="347">
        <f t="shared" ca="1" si="180"/>
        <v>1E-4</v>
      </c>
      <c r="B393" s="304">
        <f t="shared" ca="1" si="181"/>
        <v>32.50060000000019</v>
      </c>
      <c r="D393" s="306">
        <f t="shared" ca="1" si="182"/>
        <v>-0.55892192115396522</v>
      </c>
      <c r="E393" s="307">
        <f t="shared" ca="1" si="183"/>
        <v>-0.75373074397238504</v>
      </c>
      <c r="F393" s="304">
        <f t="shared" ca="1" si="184"/>
        <v>0.93835161232642661</v>
      </c>
      <c r="G393" s="306">
        <f t="shared" ca="1" si="185"/>
        <v>5.9657139731859141</v>
      </c>
      <c r="H393" s="307">
        <f t="shared" ca="1" si="186"/>
        <v>-96.664056826534249</v>
      </c>
      <c r="I393" s="304">
        <f t="shared" ca="1" si="187"/>
        <v>96.847971715329734</v>
      </c>
      <c r="J393" s="306">
        <f t="shared" ca="1" si="188"/>
        <v>588.9746359926213</v>
      </c>
      <c r="K393" s="307">
        <f t="shared" ca="1" si="189"/>
        <v>-7.4434085304506059</v>
      </c>
      <c r="L393" s="304">
        <f t="shared" ca="1" si="174"/>
        <v>589.02166867882875</v>
      </c>
      <c r="M393" s="306">
        <f t="shared" ca="1" si="190"/>
        <v>-1.5091585552715823</v>
      </c>
      <c r="N393" s="304">
        <f t="shared" ca="1" si="191"/>
        <v>-86.468415833122435</v>
      </c>
      <c r="P393" s="310">
        <f t="shared" ca="1" si="192"/>
        <v>23</v>
      </c>
      <c r="Q393" s="304">
        <f t="shared" ca="1" si="193"/>
        <v>0</v>
      </c>
      <c r="R393" s="306">
        <f t="shared" ca="1" si="194"/>
        <v>0</v>
      </c>
      <c r="S393" s="307">
        <f t="shared" ca="1" si="195"/>
        <v>2.5949999999999998</v>
      </c>
      <c r="T393" s="304">
        <f t="shared" ca="1" si="175"/>
        <v>25.456949999999999</v>
      </c>
      <c r="U393" s="311">
        <f t="shared" ca="1" si="176"/>
        <v>0</v>
      </c>
      <c r="V393" s="306">
        <f t="shared" ca="1" si="177"/>
        <v>1.2259121570228484</v>
      </c>
      <c r="W393" s="304">
        <f t="shared" ca="1" si="178"/>
        <v>23.545790781272022</v>
      </c>
      <c r="Y393" s="314" t="str">
        <f t="shared" ca="1" si="196"/>
        <v/>
      </c>
      <c r="Z393" s="315" t="str">
        <f t="shared" ca="1" si="197"/>
        <v/>
      </c>
      <c r="AA393" s="316" t="str">
        <f t="shared" ca="1" si="198"/>
        <v/>
      </c>
      <c r="AC393" s="310" t="e">
        <f t="shared" ca="1" si="199"/>
        <v>#N/A</v>
      </c>
      <c r="AD393" s="323" t="e">
        <f t="shared" ca="1" si="200"/>
        <v>#N/A</v>
      </c>
      <c r="AE393" s="324" t="e">
        <f t="shared" ca="1" si="179"/>
        <v>#N/A</v>
      </c>
      <c r="AG393" s="306">
        <f t="shared" ca="1" si="201"/>
        <v>0.71787013609383976</v>
      </c>
      <c r="AH393" s="304">
        <f t="shared" ca="1" si="202"/>
        <v>-9.073500237042893</v>
      </c>
    </row>
    <row r="394" spans="1:34" x14ac:dyDescent="0.2">
      <c r="A394" s="347">
        <f t="shared" ca="1" si="180"/>
        <v>1E-4</v>
      </c>
      <c r="B394" s="304">
        <f t="shared" ca="1" si="181"/>
        <v>32.500700000000194</v>
      </c>
      <c r="D394" s="306">
        <f t="shared" ca="1" si="182"/>
        <v>-0.55891763927863969</v>
      </c>
      <c r="E394" s="307">
        <f t="shared" ca="1" si="183"/>
        <v>-0.75370821540910171</v>
      </c>
      <c r="F394" s="304">
        <f t="shared" ca="1" si="184"/>
        <v>0.93833096584945996</v>
      </c>
      <c r="G394" s="306">
        <f t="shared" ca="1" si="185"/>
        <v>5.9656580814219859</v>
      </c>
      <c r="H394" s="307">
        <f t="shared" ca="1" si="186"/>
        <v>-96.664132197355784</v>
      </c>
      <c r="I394" s="304">
        <f t="shared" ca="1" si="187"/>
        <v>96.848043500177695</v>
      </c>
      <c r="J394" s="306">
        <f t="shared" ca="1" si="188"/>
        <v>588.9746359926213</v>
      </c>
      <c r="K394" s="307">
        <f t="shared" ca="1" si="189"/>
        <v>-7.4530749399018008</v>
      </c>
      <c r="L394" s="304">
        <f t="shared" ca="1" si="174"/>
        <v>589.02179091159314</v>
      </c>
      <c r="M394" s="306">
        <f t="shared" ca="1" si="190"/>
        <v>-1.5091591792219619</v>
      </c>
      <c r="N394" s="304">
        <f t="shared" ca="1" si="191"/>
        <v>-86.468451582845816</v>
      </c>
      <c r="P394" s="310">
        <f t="shared" ca="1" si="192"/>
        <v>23</v>
      </c>
      <c r="Q394" s="304">
        <f t="shared" ca="1" si="193"/>
        <v>0</v>
      </c>
      <c r="R394" s="306">
        <f t="shared" ca="1" si="194"/>
        <v>0</v>
      </c>
      <c r="S394" s="307">
        <f t="shared" ca="1" si="195"/>
        <v>2.5949999999999998</v>
      </c>
      <c r="T394" s="304">
        <f t="shared" ca="1" si="175"/>
        <v>25.456949999999999</v>
      </c>
      <c r="U394" s="311">
        <f t="shared" ca="1" si="176"/>
        <v>0</v>
      </c>
      <c r="V394" s="306">
        <f t="shared" ca="1" si="177"/>
        <v>1.2259133420404718</v>
      </c>
      <c r="W394" s="304">
        <f t="shared" ca="1" si="178"/>
        <v>23.545848446488673</v>
      </c>
      <c r="Y394" s="314" t="str">
        <f t="shared" ca="1" si="196"/>
        <v/>
      </c>
      <c r="Z394" s="315" t="str">
        <f t="shared" ca="1" si="197"/>
        <v/>
      </c>
      <c r="AA394" s="316" t="str">
        <f t="shared" ca="1" si="198"/>
        <v/>
      </c>
      <c r="AC394" s="310" t="e">
        <f t="shared" ca="1" si="199"/>
        <v>#N/A</v>
      </c>
      <c r="AD394" s="323" t="e">
        <f t="shared" ca="1" si="200"/>
        <v>#N/A</v>
      </c>
      <c r="AE394" s="324" t="e">
        <f t="shared" ca="1" si="179"/>
        <v>#N/A</v>
      </c>
      <c r="AG394" s="306">
        <f t="shared" ca="1" si="201"/>
        <v>0.71784829112143456</v>
      </c>
      <c r="AH394" s="304">
        <f t="shared" ca="1" si="202"/>
        <v>-9.0735224590643639</v>
      </c>
    </row>
    <row r="395" spans="1:34" x14ac:dyDescent="0.2">
      <c r="A395" s="347">
        <f t="shared" ca="1" si="180"/>
        <v>1E-4</v>
      </c>
      <c r="B395" s="304">
        <f t="shared" ca="1" si="181"/>
        <v>32.500800000000197</v>
      </c>
      <c r="D395" s="306">
        <f t="shared" ca="1" si="182"/>
        <v>-0.55891335741468118</v>
      </c>
      <c r="E395" s="307">
        <f t="shared" ca="1" si="183"/>
        <v>-0.75368568720876183</v>
      </c>
      <c r="F395" s="304">
        <f t="shared" ca="1" si="184"/>
        <v>0.93831031977693546</v>
      </c>
      <c r="G395" s="306">
        <f t="shared" ca="1" si="185"/>
        <v>5.9656021900862441</v>
      </c>
      <c r="H395" s="307">
        <f t="shared" ca="1" si="186"/>
        <v>-96.664207565924499</v>
      </c>
      <c r="I395" s="304">
        <f t="shared" ca="1" si="187"/>
        <v>96.848115282841178</v>
      </c>
      <c r="J395" s="306">
        <f t="shared" ca="1" si="188"/>
        <v>588.9746359926213</v>
      </c>
      <c r="K395" s="307">
        <f t="shared" ca="1" si="189"/>
        <v>-7.462741356889965</v>
      </c>
      <c r="L395" s="304">
        <f t="shared" ca="1" si="174"/>
        <v>589.02191330306255</v>
      </c>
      <c r="M395" s="306">
        <f t="shared" ca="1" si="190"/>
        <v>-1.5091598031655709</v>
      </c>
      <c r="N395" s="304">
        <f t="shared" ca="1" si="191"/>
        <v>-86.468487332181269</v>
      </c>
      <c r="P395" s="310">
        <f t="shared" ca="1" si="192"/>
        <v>23</v>
      </c>
      <c r="Q395" s="304">
        <f t="shared" ca="1" si="193"/>
        <v>0</v>
      </c>
      <c r="R395" s="306">
        <f t="shared" ca="1" si="194"/>
        <v>0</v>
      </c>
      <c r="S395" s="307">
        <f t="shared" ca="1" si="195"/>
        <v>2.5949999999999998</v>
      </c>
      <c r="T395" s="304">
        <f t="shared" ca="1" si="175"/>
        <v>25.456949999999999</v>
      </c>
      <c r="U395" s="311">
        <f t="shared" ca="1" si="176"/>
        <v>0</v>
      </c>
      <c r="V395" s="306">
        <f t="shared" ca="1" si="177"/>
        <v>1.2259145270601646</v>
      </c>
      <c r="W395" s="304">
        <f t="shared" ca="1" si="178"/>
        <v>23.545906110776226</v>
      </c>
      <c r="Y395" s="314" t="str">
        <f t="shared" ca="1" si="196"/>
        <v/>
      </c>
      <c r="Z395" s="315" t="str">
        <f t="shared" ca="1" si="197"/>
        <v/>
      </c>
      <c r="AA395" s="316" t="str">
        <f t="shared" ca="1" si="198"/>
        <v/>
      </c>
      <c r="AC395" s="310" t="e">
        <f t="shared" ca="1" si="199"/>
        <v>#N/A</v>
      </c>
      <c r="AD395" s="323" t="e">
        <f t="shared" ca="1" si="200"/>
        <v>#N/A</v>
      </c>
      <c r="AE395" s="324" t="e">
        <f t="shared" ca="1" si="179"/>
        <v>#N/A</v>
      </c>
      <c r="AG395" s="306">
        <f t="shared" ca="1" si="201"/>
        <v>0.71782644649914396</v>
      </c>
      <c r="AH395" s="304">
        <f t="shared" ca="1" si="202"/>
        <v>-9.0735446807278137</v>
      </c>
    </row>
    <row r="396" spans="1:34" x14ac:dyDescent="0.2">
      <c r="A396" s="347">
        <f t="shared" ca="1" si="180"/>
        <v>1E-4</v>
      </c>
      <c r="B396" s="304">
        <f t="shared" ca="1" si="181"/>
        <v>32.5009000000002</v>
      </c>
      <c r="D396" s="306">
        <f t="shared" ca="1" si="182"/>
        <v>-0.55890907556208991</v>
      </c>
      <c r="E396" s="307">
        <f t="shared" ca="1" si="183"/>
        <v>-0.75366315937137962</v>
      </c>
      <c r="F396" s="304">
        <f t="shared" ca="1" si="184"/>
        <v>0.93828967410886466</v>
      </c>
      <c r="G396" s="306">
        <f t="shared" ca="1" si="185"/>
        <v>5.9655462991786878</v>
      </c>
      <c r="H396" s="307">
        <f t="shared" ca="1" si="186"/>
        <v>-96.66428293224044</v>
      </c>
      <c r="I396" s="304">
        <f t="shared" ca="1" si="187"/>
        <v>96.848187063320267</v>
      </c>
      <c r="J396" s="306">
        <f t="shared" ca="1" si="188"/>
        <v>588.9746359926213</v>
      </c>
      <c r="K396" s="307">
        <f t="shared" ca="1" si="189"/>
        <v>-7.4724077814148728</v>
      </c>
      <c r="L396" s="304">
        <f t="shared" ca="1" si="174"/>
        <v>589.02203585323741</v>
      </c>
      <c r="M396" s="306">
        <f t="shared" ca="1" si="190"/>
        <v>-1.5091604271024093</v>
      </c>
      <c r="N396" s="304">
        <f t="shared" ca="1" si="191"/>
        <v>-86.468523081128794</v>
      </c>
      <c r="P396" s="310">
        <f t="shared" ca="1" si="192"/>
        <v>23</v>
      </c>
      <c r="Q396" s="304">
        <f t="shared" ca="1" si="193"/>
        <v>0</v>
      </c>
      <c r="R396" s="306">
        <f t="shared" ca="1" si="194"/>
        <v>0</v>
      </c>
      <c r="S396" s="307">
        <f t="shared" ca="1" si="195"/>
        <v>2.5949999999999998</v>
      </c>
      <c r="T396" s="304">
        <f t="shared" ca="1" si="175"/>
        <v>25.456949999999999</v>
      </c>
      <c r="U396" s="311">
        <f t="shared" ca="1" si="176"/>
        <v>0</v>
      </c>
      <c r="V396" s="306">
        <f t="shared" ca="1" si="177"/>
        <v>1.2259157120819277</v>
      </c>
      <c r="W396" s="304">
        <f t="shared" ca="1" si="178"/>
        <v>23.545963774134741</v>
      </c>
      <c r="Y396" s="314" t="str">
        <f t="shared" ca="1" si="196"/>
        <v/>
      </c>
      <c r="Z396" s="315" t="str">
        <f t="shared" ca="1" si="197"/>
        <v/>
      </c>
      <c r="AA396" s="316" t="str">
        <f t="shared" ca="1" si="198"/>
        <v/>
      </c>
      <c r="AC396" s="310" t="e">
        <f t="shared" ca="1" si="199"/>
        <v>#N/A</v>
      </c>
      <c r="AD396" s="323" t="e">
        <f t="shared" ca="1" si="200"/>
        <v>#N/A</v>
      </c>
      <c r="AE396" s="324" t="e">
        <f t="shared" ca="1" si="179"/>
        <v>#N/A</v>
      </c>
      <c r="AG396" s="306">
        <f t="shared" ca="1" si="201"/>
        <v>0.71780460222698572</v>
      </c>
      <c r="AH396" s="304">
        <f t="shared" ca="1" si="202"/>
        <v>-9.0735669020332281</v>
      </c>
    </row>
    <row r="397" spans="1:34" x14ac:dyDescent="0.2">
      <c r="A397" s="347">
        <f t="shared" ca="1" si="180"/>
        <v>1E-4</v>
      </c>
      <c r="B397" s="304">
        <f t="shared" ca="1" si="181"/>
        <v>32.501000000000204</v>
      </c>
      <c r="D397" s="306">
        <f t="shared" ca="1" si="182"/>
        <v>-0.55890479372086865</v>
      </c>
      <c r="E397" s="307">
        <f t="shared" ca="1" si="183"/>
        <v>-0.75364063189692665</v>
      </c>
      <c r="F397" s="304">
        <f t="shared" ca="1" si="184"/>
        <v>0.93826902884522712</v>
      </c>
      <c r="G397" s="306">
        <f t="shared" ca="1" si="185"/>
        <v>5.9654904086993161</v>
      </c>
      <c r="H397" s="307">
        <f t="shared" ca="1" si="186"/>
        <v>-96.664358296303632</v>
      </c>
      <c r="I397" s="304">
        <f t="shared" ca="1" si="187"/>
        <v>96.84825884161495</v>
      </c>
      <c r="J397" s="306">
        <f t="shared" ca="1" si="188"/>
        <v>588.9746359926213</v>
      </c>
      <c r="K397" s="307">
        <f t="shared" ca="1" si="189"/>
        <v>-7.4820742134762996</v>
      </c>
      <c r="L397" s="304">
        <f t="shared" ca="1" si="174"/>
        <v>589.02215856211785</v>
      </c>
      <c r="M397" s="306">
        <f t="shared" ca="1" si="190"/>
        <v>-1.5091610510324773</v>
      </c>
      <c r="N397" s="304">
        <f t="shared" ca="1" si="191"/>
        <v>-86.468558829688405</v>
      </c>
      <c r="P397" s="310">
        <f t="shared" ca="1" si="192"/>
        <v>23</v>
      </c>
      <c r="Q397" s="304">
        <f t="shared" ca="1" si="193"/>
        <v>0</v>
      </c>
      <c r="R397" s="306">
        <f t="shared" ca="1" si="194"/>
        <v>0</v>
      </c>
      <c r="S397" s="307">
        <f t="shared" ca="1" si="195"/>
        <v>2.5949999999999998</v>
      </c>
      <c r="T397" s="304">
        <f t="shared" ca="1" si="175"/>
        <v>25.456949999999999</v>
      </c>
      <c r="U397" s="311">
        <f t="shared" ca="1" si="176"/>
        <v>0</v>
      </c>
      <c r="V397" s="306">
        <f t="shared" ca="1" si="177"/>
        <v>1.2259168971057604</v>
      </c>
      <c r="W397" s="304">
        <f t="shared" ca="1" si="178"/>
        <v>23.546021436564196</v>
      </c>
      <c r="Y397" s="314" t="str">
        <f t="shared" ca="1" si="196"/>
        <v/>
      </c>
      <c r="Z397" s="315" t="str">
        <f t="shared" ca="1" si="197"/>
        <v/>
      </c>
      <c r="AA397" s="316" t="str">
        <f t="shared" ca="1" si="198"/>
        <v/>
      </c>
      <c r="AC397" s="310" t="e">
        <f t="shared" ca="1" si="199"/>
        <v>#N/A</v>
      </c>
      <c r="AD397" s="323" t="e">
        <f t="shared" ca="1" si="200"/>
        <v>#N/A</v>
      </c>
      <c r="AE397" s="324" t="e">
        <f t="shared" ca="1" si="179"/>
        <v>#N/A</v>
      </c>
      <c r="AG397" s="306">
        <f t="shared" ca="1" si="201"/>
        <v>0.71778275830493321</v>
      </c>
      <c r="AH397" s="304">
        <f t="shared" ca="1" si="202"/>
        <v>-9.0735891229806338</v>
      </c>
    </row>
    <row r="398" spans="1:34" x14ac:dyDescent="0.2">
      <c r="A398" s="347">
        <f t="shared" ca="1" si="180"/>
        <v>1E-4</v>
      </c>
      <c r="B398" s="304">
        <f t="shared" ca="1" si="181"/>
        <v>32.501100000000207</v>
      </c>
      <c r="D398" s="306">
        <f t="shared" ca="1" si="182"/>
        <v>-0.55890051189101575</v>
      </c>
      <c r="E398" s="307">
        <f t="shared" ca="1" si="183"/>
        <v>-0.75361810478541713</v>
      </c>
      <c r="F398" s="304">
        <f t="shared" ca="1" si="184"/>
        <v>0.9382483839860335</v>
      </c>
      <c r="G398" s="306">
        <f t="shared" ca="1" si="185"/>
        <v>5.9654345186481272</v>
      </c>
      <c r="H398" s="307">
        <f t="shared" ca="1" si="186"/>
        <v>-96.664433658114106</v>
      </c>
      <c r="I398" s="304">
        <f t="shared" ca="1" si="187"/>
        <v>96.848330617725267</v>
      </c>
      <c r="J398" s="306">
        <f t="shared" ca="1" si="188"/>
        <v>588.9746359926213</v>
      </c>
      <c r="K398" s="307">
        <f t="shared" ca="1" si="189"/>
        <v>-7.4917406530740207</v>
      </c>
      <c r="L398" s="304">
        <f t="shared" ca="1" si="174"/>
        <v>589.02228142970421</v>
      </c>
      <c r="M398" s="306">
        <f t="shared" ca="1" si="190"/>
        <v>-1.5091616749557748</v>
      </c>
      <c r="N398" s="304">
        <f t="shared" ca="1" si="191"/>
        <v>-86.468594577860088</v>
      </c>
      <c r="P398" s="310">
        <f t="shared" ca="1" si="192"/>
        <v>23</v>
      </c>
      <c r="Q398" s="304">
        <f t="shared" ca="1" si="193"/>
        <v>0</v>
      </c>
      <c r="R398" s="306">
        <f t="shared" ca="1" si="194"/>
        <v>0</v>
      </c>
      <c r="S398" s="307">
        <f t="shared" ca="1" si="195"/>
        <v>2.5949999999999998</v>
      </c>
      <c r="T398" s="304">
        <f t="shared" ca="1" si="175"/>
        <v>25.456949999999999</v>
      </c>
      <c r="U398" s="311">
        <f t="shared" ca="1" si="176"/>
        <v>0</v>
      </c>
      <c r="V398" s="306">
        <f t="shared" ca="1" si="177"/>
        <v>1.2259180821316629</v>
      </c>
      <c r="W398" s="304">
        <f t="shared" ca="1" si="178"/>
        <v>23.54607909806461</v>
      </c>
      <c r="Y398" s="314" t="str">
        <f t="shared" ca="1" si="196"/>
        <v/>
      </c>
      <c r="Z398" s="315" t="str">
        <f t="shared" ca="1" si="197"/>
        <v/>
      </c>
      <c r="AA398" s="316" t="str">
        <f t="shared" ca="1" si="198"/>
        <v/>
      </c>
      <c r="AC398" s="310" t="e">
        <f t="shared" ca="1" si="199"/>
        <v>#N/A</v>
      </c>
      <c r="AD398" s="323" t="e">
        <f t="shared" ca="1" si="200"/>
        <v>#N/A</v>
      </c>
      <c r="AE398" s="324" t="e">
        <f t="shared" ca="1" si="179"/>
        <v>#N/A</v>
      </c>
      <c r="AG398" s="306">
        <f t="shared" ca="1" si="201"/>
        <v>0.71776091473300063</v>
      </c>
      <c r="AH398" s="304">
        <f t="shared" ca="1" si="202"/>
        <v>-9.0736113435700183</v>
      </c>
    </row>
    <row r="399" spans="1:34" x14ac:dyDescent="0.2">
      <c r="A399" s="347">
        <f t="shared" ca="1" si="180"/>
        <v>1E-4</v>
      </c>
      <c r="B399" s="304">
        <f t="shared" ca="1" si="181"/>
        <v>32.50120000000021</v>
      </c>
      <c r="D399" s="306">
        <f t="shared" ca="1" si="182"/>
        <v>-0.55889623007253497</v>
      </c>
      <c r="E399" s="307">
        <f t="shared" ca="1" si="183"/>
        <v>-0.75359557803684041</v>
      </c>
      <c r="F399" s="304">
        <f t="shared" ca="1" si="184"/>
        <v>0.93822773953127803</v>
      </c>
      <c r="G399" s="306">
        <f t="shared" ca="1" si="185"/>
        <v>5.9653786290251203</v>
      </c>
      <c r="H399" s="307">
        <f t="shared" ca="1" si="186"/>
        <v>-96.664509017671904</v>
      </c>
      <c r="I399" s="304">
        <f t="shared" ca="1" si="187"/>
        <v>96.848402391651263</v>
      </c>
      <c r="J399" s="306">
        <f t="shared" ca="1" si="188"/>
        <v>588.9746359926213</v>
      </c>
      <c r="K399" s="307">
        <f t="shared" ca="1" si="189"/>
        <v>-7.5014071002078104</v>
      </c>
      <c r="L399" s="304">
        <f t="shared" ca="1" si="174"/>
        <v>589.02240445599671</v>
      </c>
      <c r="M399" s="306">
        <f t="shared" ca="1" si="190"/>
        <v>-1.5091622988723024</v>
      </c>
      <c r="N399" s="304">
        <f t="shared" ca="1" si="191"/>
        <v>-86.468630325643886</v>
      </c>
      <c r="P399" s="310">
        <f t="shared" ca="1" si="192"/>
        <v>23</v>
      </c>
      <c r="Q399" s="304">
        <f t="shared" ca="1" si="193"/>
        <v>0</v>
      </c>
      <c r="R399" s="306">
        <f t="shared" ca="1" si="194"/>
        <v>0</v>
      </c>
      <c r="S399" s="307">
        <f t="shared" ca="1" si="195"/>
        <v>2.5949999999999998</v>
      </c>
      <c r="T399" s="304">
        <f t="shared" ca="1" si="175"/>
        <v>25.456949999999999</v>
      </c>
      <c r="U399" s="311">
        <f t="shared" ca="1" si="176"/>
        <v>0</v>
      </c>
      <c r="V399" s="306">
        <f t="shared" ca="1" si="177"/>
        <v>1.2259192671596353</v>
      </c>
      <c r="W399" s="304">
        <f t="shared" ca="1" si="178"/>
        <v>23.546136758635999</v>
      </c>
      <c r="Y399" s="314" t="str">
        <f t="shared" ca="1" si="196"/>
        <v/>
      </c>
      <c r="Z399" s="315" t="str">
        <f t="shared" ca="1" si="197"/>
        <v/>
      </c>
      <c r="AA399" s="316" t="str">
        <f t="shared" ca="1" si="198"/>
        <v/>
      </c>
      <c r="AC399" s="310" t="e">
        <f t="shared" ca="1" si="199"/>
        <v>#N/A</v>
      </c>
      <c r="AD399" s="323" t="e">
        <f t="shared" ca="1" si="200"/>
        <v>#N/A</v>
      </c>
      <c r="AE399" s="324" t="e">
        <f t="shared" ca="1" si="179"/>
        <v>#N/A</v>
      </c>
      <c r="AG399" s="306">
        <f t="shared" ca="1" si="201"/>
        <v>0.71773907151117555</v>
      </c>
      <c r="AH399" s="304">
        <f t="shared" ca="1" si="202"/>
        <v>-9.0736335638013923</v>
      </c>
    </row>
    <row r="400" spans="1:34" x14ac:dyDescent="0.2">
      <c r="A400" s="347">
        <f t="shared" ca="1" si="180"/>
        <v>1E-4</v>
      </c>
      <c r="B400" s="304">
        <f t="shared" ca="1" si="181"/>
        <v>32.501300000000214</v>
      </c>
      <c r="D400" s="306">
        <f t="shared" ca="1" si="182"/>
        <v>-0.55889194826542166</v>
      </c>
      <c r="E400" s="307">
        <f t="shared" ca="1" si="183"/>
        <v>-0.75357305165119293</v>
      </c>
      <c r="F400" s="304">
        <f t="shared" ca="1" si="184"/>
        <v>0.93820709548095527</v>
      </c>
      <c r="G400" s="306">
        <f t="shared" ca="1" si="185"/>
        <v>5.9653227398302935</v>
      </c>
      <c r="H400" s="307">
        <f t="shared" ca="1" si="186"/>
        <v>-96.664584374977068</v>
      </c>
      <c r="I400" s="304">
        <f t="shared" ca="1" si="187"/>
        <v>96.848474163392979</v>
      </c>
      <c r="J400" s="306">
        <f t="shared" ca="1" si="188"/>
        <v>588.9746359926213</v>
      </c>
      <c r="K400" s="307">
        <f t="shared" ca="1" si="189"/>
        <v>-7.5110735548774432</v>
      </c>
      <c r="L400" s="304">
        <f t="shared" ca="1" si="174"/>
        <v>589.02252764099569</v>
      </c>
      <c r="M400" s="306">
        <f t="shared" ca="1" si="190"/>
        <v>-1.5091629227820595</v>
      </c>
      <c r="N400" s="304">
        <f t="shared" ca="1" si="191"/>
        <v>-86.46866607303977</v>
      </c>
      <c r="P400" s="310">
        <f t="shared" ca="1" si="192"/>
        <v>23</v>
      </c>
      <c r="Q400" s="304">
        <f t="shared" ca="1" si="193"/>
        <v>0</v>
      </c>
      <c r="R400" s="306">
        <f t="shared" ca="1" si="194"/>
        <v>0</v>
      </c>
      <c r="S400" s="307">
        <f t="shared" ca="1" si="195"/>
        <v>2.5949999999999998</v>
      </c>
      <c r="T400" s="304">
        <f t="shared" ca="1" si="175"/>
        <v>25.456949999999999</v>
      </c>
      <c r="U400" s="311">
        <f t="shared" ca="1" si="176"/>
        <v>0</v>
      </c>
      <c r="V400" s="306">
        <f t="shared" ca="1" si="177"/>
        <v>1.2259204521896776</v>
      </c>
      <c r="W400" s="304">
        <f t="shared" ca="1" si="178"/>
        <v>23.546194418278375</v>
      </c>
      <c r="Y400" s="314" t="str">
        <f t="shared" ca="1" si="196"/>
        <v/>
      </c>
      <c r="Z400" s="315" t="str">
        <f t="shared" ca="1" si="197"/>
        <v/>
      </c>
      <c r="AA400" s="316" t="str">
        <f t="shared" ca="1" si="198"/>
        <v/>
      </c>
      <c r="AC400" s="310" t="e">
        <f t="shared" ca="1" si="199"/>
        <v>#N/A</v>
      </c>
      <c r="AD400" s="323" t="e">
        <f t="shared" ca="1" si="200"/>
        <v>#N/A</v>
      </c>
      <c r="AE400" s="324" t="e">
        <f t="shared" ca="1" si="179"/>
        <v>#N/A</v>
      </c>
      <c r="AG400" s="306">
        <f t="shared" ca="1" si="201"/>
        <v>0.71771722863945264</v>
      </c>
      <c r="AH400" s="304">
        <f t="shared" ca="1" si="202"/>
        <v>-9.0736557836747593</v>
      </c>
    </row>
    <row r="401" spans="1:34" x14ac:dyDescent="0.2">
      <c r="A401" s="347">
        <f t="shared" ca="1" si="180"/>
        <v>1E-4</v>
      </c>
      <c r="B401" s="304">
        <f t="shared" ca="1" si="181"/>
        <v>32.501400000000217</v>
      </c>
      <c r="D401" s="306">
        <f t="shared" ca="1" si="182"/>
        <v>-0.55888766646968147</v>
      </c>
      <c r="E401" s="307">
        <f t="shared" ca="1" si="183"/>
        <v>-0.75355052562846581</v>
      </c>
      <c r="F401" s="304">
        <f t="shared" ca="1" si="184"/>
        <v>0.938186451835062</v>
      </c>
      <c r="G401" s="306">
        <f t="shared" ca="1" si="185"/>
        <v>5.9652668510636468</v>
      </c>
      <c r="H401" s="307">
        <f t="shared" ca="1" si="186"/>
        <v>-96.664659730029626</v>
      </c>
      <c r="I401" s="304">
        <f t="shared" ca="1" si="187"/>
        <v>96.848545932950429</v>
      </c>
      <c r="J401" s="306">
        <f t="shared" ca="1" si="188"/>
        <v>588.9746359926213</v>
      </c>
      <c r="K401" s="307">
        <f t="shared" ca="1" si="189"/>
        <v>-7.5207400170826935</v>
      </c>
      <c r="L401" s="304">
        <f t="shared" ca="1" si="174"/>
        <v>589.02265098470139</v>
      </c>
      <c r="M401" s="306">
        <f t="shared" ca="1" si="190"/>
        <v>-1.5091635466850466</v>
      </c>
      <c r="N401" s="304">
        <f t="shared" ca="1" si="191"/>
        <v>-86.468701820047755</v>
      </c>
      <c r="P401" s="310">
        <f t="shared" ca="1" si="192"/>
        <v>23</v>
      </c>
      <c r="Q401" s="304">
        <f t="shared" ca="1" si="193"/>
        <v>0</v>
      </c>
      <c r="R401" s="306">
        <f t="shared" ca="1" si="194"/>
        <v>0</v>
      </c>
      <c r="S401" s="307">
        <f t="shared" ca="1" si="195"/>
        <v>2.5949999999999998</v>
      </c>
      <c r="T401" s="304">
        <f t="shared" ca="1" si="175"/>
        <v>25.456949999999999</v>
      </c>
      <c r="U401" s="311">
        <f t="shared" ca="1" si="176"/>
        <v>0</v>
      </c>
      <c r="V401" s="306">
        <f t="shared" ca="1" si="177"/>
        <v>1.2259216372217896</v>
      </c>
      <c r="W401" s="304">
        <f t="shared" ca="1" si="178"/>
        <v>23.546252076991745</v>
      </c>
      <c r="Y401" s="314" t="str">
        <f t="shared" ca="1" si="196"/>
        <v/>
      </c>
      <c r="Z401" s="315" t="str">
        <f t="shared" ca="1" si="197"/>
        <v/>
      </c>
      <c r="AA401" s="316" t="str">
        <f t="shared" ca="1" si="198"/>
        <v/>
      </c>
      <c r="AC401" s="310" t="e">
        <f t="shared" ca="1" si="199"/>
        <v>#N/A</v>
      </c>
      <c r="AD401" s="323" t="e">
        <f t="shared" ca="1" si="200"/>
        <v>#N/A</v>
      </c>
      <c r="AE401" s="324" t="e">
        <f t="shared" ca="1" si="179"/>
        <v>#N/A</v>
      </c>
      <c r="AG401" s="306">
        <f t="shared" ca="1" si="201"/>
        <v>0.71769538611782835</v>
      </c>
      <c r="AH401" s="304">
        <f t="shared" ca="1" si="202"/>
        <v>-9.0736780031901265</v>
      </c>
    </row>
    <row r="402" spans="1:34" x14ac:dyDescent="0.2">
      <c r="A402" s="347">
        <f t="shared" ca="1" si="180"/>
        <v>1E-4</v>
      </c>
      <c r="B402" s="304">
        <f t="shared" ca="1" si="181"/>
        <v>32.50150000000022</v>
      </c>
      <c r="D402" s="306">
        <f t="shared" ca="1" si="182"/>
        <v>-0.5588833846853134</v>
      </c>
      <c r="E402" s="307">
        <f t="shared" ca="1" si="183"/>
        <v>-0.75352799996866082</v>
      </c>
      <c r="F402" s="304">
        <f t="shared" ca="1" si="184"/>
        <v>0.93816580859359944</v>
      </c>
      <c r="G402" s="306">
        <f t="shared" ca="1" si="185"/>
        <v>5.9652109627251786</v>
      </c>
      <c r="H402" s="307">
        <f t="shared" ca="1" si="186"/>
        <v>-96.664735082829623</v>
      </c>
      <c r="I402" s="304">
        <f t="shared" ca="1" si="187"/>
        <v>96.848617700323672</v>
      </c>
      <c r="J402" s="306">
        <f t="shared" ca="1" si="188"/>
        <v>588.9746359926213</v>
      </c>
      <c r="K402" s="307">
        <f t="shared" ca="1" si="189"/>
        <v>-7.5304064868233365</v>
      </c>
      <c r="L402" s="304">
        <f t="shared" ca="1" si="174"/>
        <v>589.02277448711402</v>
      </c>
      <c r="M402" s="306">
        <f t="shared" ca="1" si="190"/>
        <v>-1.5091641705812637</v>
      </c>
      <c r="N402" s="304">
        <f t="shared" ca="1" si="191"/>
        <v>-86.468737566667841</v>
      </c>
      <c r="P402" s="310">
        <f t="shared" ca="1" si="192"/>
        <v>23</v>
      </c>
      <c r="Q402" s="304">
        <f t="shared" ca="1" si="193"/>
        <v>0</v>
      </c>
      <c r="R402" s="306">
        <f t="shared" ca="1" si="194"/>
        <v>0</v>
      </c>
      <c r="S402" s="307">
        <f t="shared" ca="1" si="195"/>
        <v>2.5949999999999998</v>
      </c>
      <c r="T402" s="304">
        <f t="shared" ca="1" si="175"/>
        <v>25.456949999999999</v>
      </c>
      <c r="U402" s="311">
        <f t="shared" ca="1" si="176"/>
        <v>0</v>
      </c>
      <c r="V402" s="306">
        <f t="shared" ca="1" si="177"/>
        <v>1.2259228222559713</v>
      </c>
      <c r="W402" s="304">
        <f t="shared" ca="1" si="178"/>
        <v>23.54630973477612</v>
      </c>
      <c r="Y402" s="314" t="str">
        <f t="shared" ca="1" si="196"/>
        <v/>
      </c>
      <c r="Z402" s="315" t="str">
        <f t="shared" ca="1" si="197"/>
        <v/>
      </c>
      <c r="AA402" s="316" t="str">
        <f t="shared" ca="1" si="198"/>
        <v/>
      </c>
      <c r="AC402" s="310" t="e">
        <f t="shared" ca="1" si="199"/>
        <v>#N/A</v>
      </c>
      <c r="AD402" s="323" t="e">
        <f t="shared" ca="1" si="200"/>
        <v>#N/A</v>
      </c>
      <c r="AE402" s="324" t="e">
        <f t="shared" ca="1" si="179"/>
        <v>#N/A</v>
      </c>
      <c r="AG402" s="306">
        <f t="shared" ca="1" si="201"/>
        <v>0.71767354394630267</v>
      </c>
      <c r="AH402" s="304">
        <f t="shared" ca="1" si="202"/>
        <v>-9.0737002223474938</v>
      </c>
    </row>
    <row r="403" spans="1:34" x14ac:dyDescent="0.2">
      <c r="A403" s="347">
        <f t="shared" ca="1" si="180"/>
        <v>1E-4</v>
      </c>
      <c r="B403" s="304">
        <f t="shared" ca="1" si="181"/>
        <v>32.501600000000224</v>
      </c>
      <c r="D403" s="306">
        <f t="shared" ca="1" si="182"/>
        <v>-0.55887910291231702</v>
      </c>
      <c r="E403" s="307">
        <f t="shared" ca="1" si="183"/>
        <v>-0.75350547467177087</v>
      </c>
      <c r="F403" s="304">
        <f t="shared" ca="1" si="184"/>
        <v>0.93814516575656182</v>
      </c>
      <c r="G403" s="306">
        <f t="shared" ca="1" si="185"/>
        <v>5.9651550748148869</v>
      </c>
      <c r="H403" s="307">
        <f t="shared" ca="1" si="186"/>
        <v>-96.664810433377085</v>
      </c>
      <c r="I403" s="304">
        <f t="shared" ca="1" si="187"/>
        <v>96.848689465512734</v>
      </c>
      <c r="J403" s="306">
        <f t="shared" ca="1" si="188"/>
        <v>588.9746359926213</v>
      </c>
      <c r="K403" s="307">
        <f t="shared" ca="1" si="189"/>
        <v>-7.5400729640991466</v>
      </c>
      <c r="L403" s="304">
        <f t="shared" ca="1" si="174"/>
        <v>589.02289814823382</v>
      </c>
      <c r="M403" s="306">
        <f t="shared" ca="1" si="190"/>
        <v>-1.5091647944707112</v>
      </c>
      <c r="N403" s="304">
        <f t="shared" ca="1" si="191"/>
        <v>-86.468773312900069</v>
      </c>
      <c r="P403" s="310">
        <f t="shared" ca="1" si="192"/>
        <v>23</v>
      </c>
      <c r="Q403" s="304">
        <f t="shared" ca="1" si="193"/>
        <v>0</v>
      </c>
      <c r="R403" s="306">
        <f t="shared" ca="1" si="194"/>
        <v>0</v>
      </c>
      <c r="S403" s="307">
        <f t="shared" ca="1" si="195"/>
        <v>2.5949999999999998</v>
      </c>
      <c r="T403" s="304">
        <f t="shared" ca="1" si="175"/>
        <v>25.456949999999999</v>
      </c>
      <c r="U403" s="311">
        <f t="shared" ca="1" si="176"/>
        <v>0</v>
      </c>
      <c r="V403" s="306">
        <f t="shared" ca="1" si="177"/>
        <v>1.2259240072922224</v>
      </c>
      <c r="W403" s="304">
        <f t="shared" ca="1" si="178"/>
        <v>23.546367391631509</v>
      </c>
      <c r="Y403" s="314" t="str">
        <f t="shared" ca="1" si="196"/>
        <v/>
      </c>
      <c r="Z403" s="315" t="str">
        <f t="shared" ca="1" si="197"/>
        <v/>
      </c>
      <c r="AA403" s="316" t="str">
        <f t="shared" ca="1" si="198"/>
        <v/>
      </c>
      <c r="AC403" s="310" t="e">
        <f t="shared" ca="1" si="199"/>
        <v>#N/A</v>
      </c>
      <c r="AD403" s="323" t="e">
        <f t="shared" ca="1" si="200"/>
        <v>#N/A</v>
      </c>
      <c r="AE403" s="324" t="e">
        <f t="shared" ca="1" si="179"/>
        <v>#N/A</v>
      </c>
      <c r="AG403" s="306">
        <f t="shared" ca="1" si="201"/>
        <v>0.71765170212486851</v>
      </c>
      <c r="AH403" s="304">
        <f t="shared" ca="1" si="202"/>
        <v>-9.0737224411468684</v>
      </c>
    </row>
    <row r="404" spans="1:34" x14ac:dyDescent="0.2">
      <c r="A404" s="347">
        <f t="shared" ca="1" si="180"/>
        <v>1E-4</v>
      </c>
      <c r="B404" s="304">
        <f t="shared" ca="1" si="181"/>
        <v>32.501700000000227</v>
      </c>
      <c r="D404" s="306">
        <f t="shared" ca="1" si="182"/>
        <v>-0.55887482115069154</v>
      </c>
      <c r="E404" s="307">
        <f t="shared" ca="1" si="183"/>
        <v>-0.7534829497377924</v>
      </c>
      <c r="F404" s="304">
        <f t="shared" ca="1" si="184"/>
        <v>0.93812452332394658</v>
      </c>
      <c r="G404" s="306">
        <f t="shared" ca="1" si="185"/>
        <v>5.9650991873327719</v>
      </c>
      <c r="H404" s="307">
        <f t="shared" ca="1" si="186"/>
        <v>-96.664885781672055</v>
      </c>
      <c r="I404" s="304">
        <f t="shared" ca="1" si="187"/>
        <v>96.848761228517645</v>
      </c>
      <c r="J404" s="306">
        <f t="shared" ca="1" si="188"/>
        <v>588.9746359926213</v>
      </c>
      <c r="K404" s="307">
        <f t="shared" ca="1" si="189"/>
        <v>-7.5497394489098992</v>
      </c>
      <c r="L404" s="304">
        <f t="shared" ca="1" si="174"/>
        <v>589.02302196806124</v>
      </c>
      <c r="M404" s="306">
        <f t="shared" ca="1" si="190"/>
        <v>-1.5091654183533887</v>
      </c>
      <c r="N404" s="304">
        <f t="shared" ca="1" si="191"/>
        <v>-86.468809058744398</v>
      </c>
      <c r="P404" s="310">
        <f t="shared" ca="1" si="192"/>
        <v>23</v>
      </c>
      <c r="Q404" s="304">
        <f t="shared" ca="1" si="193"/>
        <v>0</v>
      </c>
      <c r="R404" s="306">
        <f t="shared" ca="1" si="194"/>
        <v>0</v>
      </c>
      <c r="S404" s="307">
        <f t="shared" ca="1" si="195"/>
        <v>2.5949999999999998</v>
      </c>
      <c r="T404" s="304">
        <f t="shared" ca="1" si="175"/>
        <v>25.456949999999999</v>
      </c>
      <c r="U404" s="311">
        <f t="shared" ca="1" si="176"/>
        <v>0</v>
      </c>
      <c r="V404" s="306">
        <f t="shared" ca="1" si="177"/>
        <v>1.2259251923305434</v>
      </c>
      <c r="W404" s="304">
        <f t="shared" ca="1" si="178"/>
        <v>23.546425047557939</v>
      </c>
      <c r="Y404" s="314" t="str">
        <f t="shared" ca="1" si="196"/>
        <v/>
      </c>
      <c r="Z404" s="315" t="str">
        <f t="shared" ca="1" si="197"/>
        <v/>
      </c>
      <c r="AA404" s="316" t="str">
        <f t="shared" ca="1" si="198"/>
        <v/>
      </c>
      <c r="AC404" s="310" t="e">
        <f t="shared" ca="1" si="199"/>
        <v>#N/A</v>
      </c>
      <c r="AD404" s="323" t="e">
        <f t="shared" ca="1" si="200"/>
        <v>#N/A</v>
      </c>
      <c r="AE404" s="324" t="e">
        <f t="shared" ca="1" si="179"/>
        <v>#N/A</v>
      </c>
      <c r="AG404" s="306">
        <f t="shared" ca="1" si="201"/>
        <v>0.7176298606535223</v>
      </c>
      <c r="AH404" s="304">
        <f t="shared" ca="1" si="202"/>
        <v>-9.0737446595882503</v>
      </c>
    </row>
    <row r="405" spans="1:34" x14ac:dyDescent="0.2">
      <c r="A405" s="347">
        <f t="shared" ca="1" si="180"/>
        <v>1E-4</v>
      </c>
      <c r="B405" s="304">
        <f t="shared" ca="1" si="181"/>
        <v>32.50180000000023</v>
      </c>
      <c r="D405" s="306">
        <f t="shared" ca="1" si="182"/>
        <v>-0.55887053940044085</v>
      </c>
      <c r="E405" s="307">
        <f t="shared" ca="1" si="183"/>
        <v>-0.75346042516671652</v>
      </c>
      <c r="F405" s="304">
        <f t="shared" ca="1" si="184"/>
        <v>0.93810388129574906</v>
      </c>
      <c r="G405" s="306">
        <f t="shared" ca="1" si="185"/>
        <v>5.9650433002788317</v>
      </c>
      <c r="H405" s="307">
        <f t="shared" ca="1" si="186"/>
        <v>-96.664961127714577</v>
      </c>
      <c r="I405" s="304">
        <f t="shared" ca="1" si="187"/>
        <v>96.848832989338447</v>
      </c>
      <c r="J405" s="306">
        <f t="shared" ca="1" si="188"/>
        <v>588.9746359926213</v>
      </c>
      <c r="K405" s="307">
        <f t="shared" ca="1" si="189"/>
        <v>-7.5594059412553687</v>
      </c>
      <c r="L405" s="304">
        <f t="shared" ca="1" si="174"/>
        <v>589.0231459465964</v>
      </c>
      <c r="M405" s="306">
        <f t="shared" ca="1" si="190"/>
        <v>-1.5091660422292965</v>
      </c>
      <c r="N405" s="304">
        <f t="shared" ca="1" si="191"/>
        <v>-86.468844804200856</v>
      </c>
      <c r="P405" s="310">
        <f t="shared" ca="1" si="192"/>
        <v>23</v>
      </c>
      <c r="Q405" s="304">
        <f t="shared" ca="1" si="193"/>
        <v>0</v>
      </c>
      <c r="R405" s="306">
        <f t="shared" ca="1" si="194"/>
        <v>0</v>
      </c>
      <c r="S405" s="307">
        <f t="shared" ca="1" si="195"/>
        <v>2.5949999999999998</v>
      </c>
      <c r="T405" s="304">
        <f t="shared" ca="1" si="175"/>
        <v>25.456949999999999</v>
      </c>
      <c r="U405" s="311">
        <f t="shared" ca="1" si="176"/>
        <v>0</v>
      </c>
      <c r="V405" s="306">
        <f t="shared" ca="1" si="177"/>
        <v>1.2259263773709339</v>
      </c>
      <c r="W405" s="304">
        <f t="shared" ca="1" si="178"/>
        <v>23.546482702555402</v>
      </c>
      <c r="Y405" s="314" t="str">
        <f t="shared" ca="1" si="196"/>
        <v/>
      </c>
      <c r="Z405" s="315" t="str">
        <f t="shared" ca="1" si="197"/>
        <v/>
      </c>
      <c r="AA405" s="316" t="str">
        <f t="shared" ca="1" si="198"/>
        <v/>
      </c>
      <c r="AC405" s="310" t="e">
        <f t="shared" ca="1" si="199"/>
        <v>#N/A</v>
      </c>
      <c r="AD405" s="323" t="e">
        <f t="shared" ca="1" si="200"/>
        <v>#N/A</v>
      </c>
      <c r="AE405" s="324" t="e">
        <f t="shared" ca="1" si="179"/>
        <v>#N/A</v>
      </c>
      <c r="AG405" s="306">
        <f t="shared" ca="1" si="201"/>
        <v>0.71760801953225517</v>
      </c>
      <c r="AH405" s="304">
        <f t="shared" ca="1" si="202"/>
        <v>-9.0737668776716536</v>
      </c>
    </row>
    <row r="406" spans="1:34" x14ac:dyDescent="0.2">
      <c r="A406" s="347">
        <f t="shared" ca="1" si="180"/>
        <v>1E-4</v>
      </c>
      <c r="B406" s="304">
        <f t="shared" ca="1" si="181"/>
        <v>32.501900000000234</v>
      </c>
      <c r="D406" s="306">
        <f t="shared" ca="1" si="182"/>
        <v>-0.55886625766156384</v>
      </c>
      <c r="E406" s="307">
        <f t="shared" ca="1" si="183"/>
        <v>-0.75343790095854324</v>
      </c>
      <c r="F406" s="304">
        <f t="shared" ca="1" si="184"/>
        <v>0.93808323967196916</v>
      </c>
      <c r="G406" s="306">
        <f t="shared" ca="1" si="185"/>
        <v>5.9649874136530654</v>
      </c>
      <c r="H406" s="307">
        <f t="shared" ca="1" si="186"/>
        <v>-96.665036471504678</v>
      </c>
      <c r="I406" s="304">
        <f t="shared" ca="1" si="187"/>
        <v>96.848904747975183</v>
      </c>
      <c r="J406" s="306">
        <f t="shared" ca="1" si="188"/>
        <v>588.9746359926213</v>
      </c>
      <c r="K406" s="307">
        <f t="shared" ca="1" si="189"/>
        <v>-7.5690724411353294</v>
      </c>
      <c r="L406" s="304">
        <f t="shared" ca="1" si="174"/>
        <v>589.02327008383963</v>
      </c>
      <c r="M406" s="306">
        <f t="shared" ca="1" si="190"/>
        <v>-1.5091666660984346</v>
      </c>
      <c r="N406" s="304">
        <f t="shared" ca="1" si="191"/>
        <v>-86.468880549269443</v>
      </c>
      <c r="P406" s="310">
        <f t="shared" ca="1" si="192"/>
        <v>23</v>
      </c>
      <c r="Q406" s="304">
        <f t="shared" ca="1" si="193"/>
        <v>0</v>
      </c>
      <c r="R406" s="306">
        <f t="shared" ca="1" si="194"/>
        <v>0</v>
      </c>
      <c r="S406" s="307">
        <f t="shared" ca="1" si="195"/>
        <v>2.5949999999999998</v>
      </c>
      <c r="T406" s="304">
        <f t="shared" ca="1" si="175"/>
        <v>25.456949999999999</v>
      </c>
      <c r="U406" s="311">
        <f t="shared" ca="1" si="176"/>
        <v>0</v>
      </c>
      <c r="V406" s="306">
        <f t="shared" ca="1" si="177"/>
        <v>1.2259275624133943</v>
      </c>
      <c r="W406" s="304">
        <f t="shared" ca="1" si="178"/>
        <v>23.546540356623925</v>
      </c>
      <c r="Y406" s="314" t="str">
        <f t="shared" ca="1" si="196"/>
        <v/>
      </c>
      <c r="Z406" s="315" t="str">
        <f t="shared" ca="1" si="197"/>
        <v/>
      </c>
      <c r="AA406" s="316" t="str">
        <f t="shared" ca="1" si="198"/>
        <v/>
      </c>
      <c r="AC406" s="310" t="e">
        <f t="shared" ca="1" si="199"/>
        <v>#N/A</v>
      </c>
      <c r="AD406" s="323" t="e">
        <f t="shared" ca="1" si="200"/>
        <v>#N/A</v>
      </c>
      <c r="AE406" s="324" t="e">
        <f t="shared" ca="1" si="179"/>
        <v>#N/A</v>
      </c>
      <c r="AG406" s="306">
        <f t="shared" ca="1" si="201"/>
        <v>0.71758617876107067</v>
      </c>
      <c r="AH406" s="304">
        <f t="shared" ca="1" si="202"/>
        <v>-9.073789095397073</v>
      </c>
    </row>
    <row r="407" spans="1:34" x14ac:dyDescent="0.2">
      <c r="A407" s="347">
        <f t="shared" ca="1" si="180"/>
        <v>1E-4</v>
      </c>
      <c r="B407" s="304">
        <f t="shared" ca="1" si="181"/>
        <v>32.502000000000237</v>
      </c>
      <c r="D407" s="306">
        <f t="shared" ca="1" si="182"/>
        <v>-0.55886197593406228</v>
      </c>
      <c r="E407" s="307">
        <f t="shared" ca="1" si="183"/>
        <v>-0.75341537711326723</v>
      </c>
      <c r="F407" s="304">
        <f t="shared" ca="1" si="184"/>
        <v>0.93806259845260387</v>
      </c>
      <c r="G407" s="306">
        <f t="shared" ca="1" si="185"/>
        <v>5.9649315274554722</v>
      </c>
      <c r="H407" s="307">
        <f t="shared" ca="1" si="186"/>
        <v>-96.665111813042387</v>
      </c>
      <c r="I407" s="304">
        <f t="shared" ca="1" si="187"/>
        <v>96.848976504427853</v>
      </c>
      <c r="J407" s="306">
        <f t="shared" ca="1" si="188"/>
        <v>588.9746359926213</v>
      </c>
      <c r="K407" s="307">
        <f t="shared" ca="1" si="189"/>
        <v>-7.5787389485495567</v>
      </c>
      <c r="L407" s="304">
        <f t="shared" ca="1" si="174"/>
        <v>589.02339437979117</v>
      </c>
      <c r="M407" s="306">
        <f t="shared" ca="1" si="190"/>
        <v>-1.5091672899608033</v>
      </c>
      <c r="N407" s="304">
        <f t="shared" ca="1" si="191"/>
        <v>-86.468916293950159</v>
      </c>
      <c r="P407" s="310">
        <f t="shared" ca="1" si="192"/>
        <v>23</v>
      </c>
      <c r="Q407" s="304">
        <f t="shared" ca="1" si="193"/>
        <v>0</v>
      </c>
      <c r="R407" s="306">
        <f t="shared" ca="1" si="194"/>
        <v>0</v>
      </c>
      <c r="S407" s="307">
        <f t="shared" ca="1" si="195"/>
        <v>2.5949999999999998</v>
      </c>
      <c r="T407" s="304">
        <f t="shared" ca="1" si="175"/>
        <v>25.456949999999999</v>
      </c>
      <c r="U407" s="311">
        <f t="shared" ca="1" si="176"/>
        <v>0</v>
      </c>
      <c r="V407" s="306">
        <f t="shared" ca="1" si="177"/>
        <v>1.2259287474579239</v>
      </c>
      <c r="W407" s="304">
        <f t="shared" ca="1" si="178"/>
        <v>23.546598009763493</v>
      </c>
      <c r="Y407" s="314" t="str">
        <f t="shared" ca="1" si="196"/>
        <v/>
      </c>
      <c r="Z407" s="315" t="str">
        <f t="shared" ca="1" si="197"/>
        <v/>
      </c>
      <c r="AA407" s="316" t="str">
        <f t="shared" ca="1" si="198"/>
        <v/>
      </c>
      <c r="AC407" s="310" t="e">
        <f t="shared" ca="1" si="199"/>
        <v>#N/A</v>
      </c>
      <c r="AD407" s="323" t="e">
        <f t="shared" ca="1" si="200"/>
        <v>#N/A</v>
      </c>
      <c r="AE407" s="324" t="e">
        <f t="shared" ca="1" si="179"/>
        <v>#N/A</v>
      </c>
      <c r="AG407" s="306">
        <f t="shared" ca="1" si="201"/>
        <v>0.71756433833995814</v>
      </c>
      <c r="AH407" s="304">
        <f t="shared" ca="1" si="202"/>
        <v>-9.0738113127645192</v>
      </c>
    </row>
    <row r="408" spans="1:34" x14ac:dyDescent="0.2">
      <c r="A408" s="347">
        <f t="shared" ca="1" si="180"/>
        <v>1E-4</v>
      </c>
      <c r="B408" s="304">
        <f t="shared" ca="1" si="181"/>
        <v>32.50210000000024</v>
      </c>
      <c r="D408" s="306">
        <f t="shared" ca="1" si="182"/>
        <v>-0.55885769421793485</v>
      </c>
      <c r="E408" s="307">
        <f t="shared" ca="1" si="183"/>
        <v>-0.75339285363088848</v>
      </c>
      <c r="F408" s="304">
        <f t="shared" ca="1" si="184"/>
        <v>0.93804195763765286</v>
      </c>
      <c r="G408" s="306">
        <f t="shared" ca="1" si="185"/>
        <v>5.9648756416860502</v>
      </c>
      <c r="H408" s="307">
        <f t="shared" ca="1" si="186"/>
        <v>-96.665187152327746</v>
      </c>
      <c r="I408" s="304">
        <f t="shared" ca="1" si="187"/>
        <v>96.849048258696527</v>
      </c>
      <c r="J408" s="306">
        <f t="shared" ca="1" si="188"/>
        <v>588.9746359926213</v>
      </c>
      <c r="K408" s="307">
        <f t="shared" ca="1" si="189"/>
        <v>-7.5884054634978249</v>
      </c>
      <c r="L408" s="304">
        <f t="shared" ca="1" si="174"/>
        <v>589.02351883445135</v>
      </c>
      <c r="M408" s="306">
        <f t="shared" ca="1" si="190"/>
        <v>-1.5091679138164027</v>
      </c>
      <c r="N408" s="304">
        <f t="shared" ca="1" si="191"/>
        <v>-86.468952038243032</v>
      </c>
      <c r="P408" s="310">
        <f t="shared" ca="1" si="192"/>
        <v>23</v>
      </c>
      <c r="Q408" s="304">
        <f t="shared" ca="1" si="193"/>
        <v>0</v>
      </c>
      <c r="R408" s="306">
        <f t="shared" ca="1" si="194"/>
        <v>0</v>
      </c>
      <c r="S408" s="307">
        <f t="shared" ca="1" si="195"/>
        <v>2.5949999999999998</v>
      </c>
      <c r="T408" s="304">
        <f t="shared" ca="1" si="175"/>
        <v>25.456949999999999</v>
      </c>
      <c r="U408" s="311">
        <f t="shared" ca="1" si="176"/>
        <v>0</v>
      </c>
      <c r="V408" s="306">
        <f t="shared" ca="1" si="177"/>
        <v>1.2259299325045236</v>
      </c>
      <c r="W408" s="304">
        <f t="shared" ca="1" si="178"/>
        <v>23.546655661974157</v>
      </c>
      <c r="Y408" s="314" t="str">
        <f t="shared" ca="1" si="196"/>
        <v/>
      </c>
      <c r="Z408" s="315" t="str">
        <f t="shared" ca="1" si="197"/>
        <v/>
      </c>
      <c r="AA408" s="316" t="str">
        <f t="shared" ca="1" si="198"/>
        <v/>
      </c>
      <c r="AC408" s="310" t="e">
        <f t="shared" ca="1" si="199"/>
        <v>#N/A</v>
      </c>
      <c r="AD408" s="323" t="e">
        <f t="shared" ca="1" si="200"/>
        <v>#N/A</v>
      </c>
      <c r="AE408" s="324" t="e">
        <f t="shared" ca="1" si="179"/>
        <v>#N/A</v>
      </c>
      <c r="AG408" s="306">
        <f t="shared" ca="1" si="201"/>
        <v>0.71754249826892291</v>
      </c>
      <c r="AH408" s="304">
        <f t="shared" ca="1" si="202"/>
        <v>-9.0738335297739869</v>
      </c>
    </row>
    <row r="409" spans="1:34" x14ac:dyDescent="0.2">
      <c r="A409" s="347">
        <f t="shared" ca="1" si="180"/>
        <v>1E-4</v>
      </c>
      <c r="B409" s="304">
        <f t="shared" ca="1" si="181"/>
        <v>32.502200000000244</v>
      </c>
      <c r="D409" s="306">
        <f t="shared" ca="1" si="182"/>
        <v>-0.55885341251318199</v>
      </c>
      <c r="E409" s="307">
        <f t="shared" ca="1" si="183"/>
        <v>-0.75337033051139102</v>
      </c>
      <c r="F409" s="304">
        <f t="shared" ca="1" si="184"/>
        <v>0.93802131722710391</v>
      </c>
      <c r="G409" s="306">
        <f t="shared" ca="1" si="185"/>
        <v>5.9648197563447987</v>
      </c>
      <c r="H409" s="307">
        <f t="shared" ca="1" si="186"/>
        <v>-96.665262489360799</v>
      </c>
      <c r="I409" s="304">
        <f t="shared" ca="1" si="187"/>
        <v>96.849120010781235</v>
      </c>
      <c r="J409" s="306">
        <f t="shared" ca="1" si="188"/>
        <v>588.9746359926213</v>
      </c>
      <c r="K409" s="307">
        <f t="shared" ca="1" si="189"/>
        <v>-7.5980719859799093</v>
      </c>
      <c r="L409" s="304">
        <f t="shared" ca="1" si="174"/>
        <v>589.02364344782029</v>
      </c>
      <c r="M409" s="306">
        <f t="shared" ca="1" si="190"/>
        <v>-1.5091685376652326</v>
      </c>
      <c r="N409" s="304">
        <f t="shared" ca="1" si="191"/>
        <v>-86.468987782148048</v>
      </c>
      <c r="P409" s="310">
        <f t="shared" ca="1" si="192"/>
        <v>23</v>
      </c>
      <c r="Q409" s="304">
        <f t="shared" ca="1" si="193"/>
        <v>0</v>
      </c>
      <c r="R409" s="306">
        <f t="shared" ca="1" si="194"/>
        <v>0</v>
      </c>
      <c r="S409" s="307">
        <f t="shared" ca="1" si="195"/>
        <v>2.5949999999999998</v>
      </c>
      <c r="T409" s="304">
        <f t="shared" ca="1" si="175"/>
        <v>25.456949999999999</v>
      </c>
      <c r="U409" s="311">
        <f t="shared" ca="1" si="176"/>
        <v>0</v>
      </c>
      <c r="V409" s="306">
        <f t="shared" ca="1" si="177"/>
        <v>1.2259311175531926</v>
      </c>
      <c r="W409" s="304">
        <f t="shared" ca="1" si="178"/>
        <v>23.5467133132559</v>
      </c>
      <c r="Y409" s="314" t="str">
        <f t="shared" ca="1" si="196"/>
        <v/>
      </c>
      <c r="Z409" s="315" t="str">
        <f t="shared" ca="1" si="197"/>
        <v/>
      </c>
      <c r="AA409" s="316" t="str">
        <f t="shared" ca="1" si="198"/>
        <v/>
      </c>
      <c r="AC409" s="310" t="e">
        <f t="shared" ca="1" si="199"/>
        <v>#N/A</v>
      </c>
      <c r="AD409" s="323" t="e">
        <f t="shared" ca="1" si="200"/>
        <v>#N/A</v>
      </c>
      <c r="AE409" s="324" t="e">
        <f t="shared" ca="1" si="179"/>
        <v>#N/A</v>
      </c>
      <c r="AG409" s="306">
        <f t="shared" ca="1" si="201"/>
        <v>0.71752065854794367</v>
      </c>
      <c r="AH409" s="304">
        <f t="shared" ca="1" si="202"/>
        <v>-9.0738557464254956</v>
      </c>
    </row>
    <row r="410" spans="1:34" x14ac:dyDescent="0.2">
      <c r="A410" s="347">
        <f t="shared" ca="1" si="180"/>
        <v>1E-4</v>
      </c>
      <c r="B410" s="304">
        <f t="shared" ca="1" si="181"/>
        <v>32.502300000000247</v>
      </c>
      <c r="D410" s="306">
        <f t="shared" ca="1" si="182"/>
        <v>-0.55884913081980636</v>
      </c>
      <c r="E410" s="307">
        <f t="shared" ca="1" si="183"/>
        <v>-0.75334780775478016</v>
      </c>
      <c r="F410" s="304">
        <f t="shared" ca="1" si="184"/>
        <v>0.93800067722096359</v>
      </c>
      <c r="G410" s="306">
        <f t="shared" ca="1" si="185"/>
        <v>5.9647638714317166</v>
      </c>
      <c r="H410" s="307">
        <f t="shared" ca="1" si="186"/>
        <v>-96.665337824141574</v>
      </c>
      <c r="I410" s="304">
        <f t="shared" ca="1" si="187"/>
        <v>96.84919176068199</v>
      </c>
      <c r="J410" s="306">
        <f t="shared" ca="1" si="188"/>
        <v>588.9746359926213</v>
      </c>
      <c r="K410" s="307">
        <f t="shared" ca="1" si="189"/>
        <v>-7.6077385159955844</v>
      </c>
      <c r="L410" s="304">
        <f t="shared" ca="1" si="174"/>
        <v>589.02376821989833</v>
      </c>
      <c r="M410" s="306">
        <f t="shared" ca="1" si="190"/>
        <v>-1.5091691615072933</v>
      </c>
      <c r="N410" s="304">
        <f t="shared" ca="1" si="191"/>
        <v>-86.469023525665207</v>
      </c>
      <c r="P410" s="310">
        <f t="shared" ca="1" si="192"/>
        <v>23</v>
      </c>
      <c r="Q410" s="304">
        <f t="shared" ca="1" si="193"/>
        <v>0</v>
      </c>
      <c r="R410" s="306">
        <f t="shared" ca="1" si="194"/>
        <v>0</v>
      </c>
      <c r="S410" s="307">
        <f t="shared" ca="1" si="195"/>
        <v>2.5949999999999998</v>
      </c>
      <c r="T410" s="304">
        <f t="shared" ca="1" si="175"/>
        <v>25.456949999999999</v>
      </c>
      <c r="U410" s="311">
        <f t="shared" ca="1" si="176"/>
        <v>0</v>
      </c>
      <c r="V410" s="306">
        <f t="shared" ca="1" si="177"/>
        <v>1.225932302603931</v>
      </c>
      <c r="W410" s="304">
        <f t="shared" ca="1" si="178"/>
        <v>23.546770963608733</v>
      </c>
      <c r="Y410" s="314" t="str">
        <f t="shared" ca="1" si="196"/>
        <v/>
      </c>
      <c r="Z410" s="315" t="str">
        <f t="shared" ca="1" si="197"/>
        <v/>
      </c>
      <c r="AA410" s="316" t="str">
        <f t="shared" ca="1" si="198"/>
        <v/>
      </c>
      <c r="AC410" s="310" t="e">
        <f t="shared" ca="1" si="199"/>
        <v>#N/A</v>
      </c>
      <c r="AD410" s="323" t="e">
        <f t="shared" ca="1" si="200"/>
        <v>#N/A</v>
      </c>
      <c r="AE410" s="324" t="e">
        <f t="shared" ca="1" si="179"/>
        <v>#N/A</v>
      </c>
      <c r="AG410" s="306">
        <f t="shared" ca="1" si="201"/>
        <v>0.71749881917703284</v>
      </c>
      <c r="AH410" s="304">
        <f t="shared" ca="1" si="202"/>
        <v>-9.0738779627190382</v>
      </c>
    </row>
    <row r="411" spans="1:34" x14ac:dyDescent="0.2">
      <c r="A411" s="347">
        <f t="shared" ca="1" si="180"/>
        <v>1E-4</v>
      </c>
      <c r="B411" s="304">
        <f t="shared" ca="1" si="181"/>
        <v>32.50240000000025</v>
      </c>
      <c r="D411" s="306">
        <f t="shared" ca="1" si="182"/>
        <v>-0.5588448491378073</v>
      </c>
      <c r="E411" s="307">
        <f t="shared" ca="1" si="183"/>
        <v>-0.75332528536105237</v>
      </c>
      <c r="F411" s="304">
        <f t="shared" ca="1" si="184"/>
        <v>0.93798003761922866</v>
      </c>
      <c r="G411" s="306">
        <f t="shared" ca="1" si="185"/>
        <v>5.9647079869468032</v>
      </c>
      <c r="H411" s="307">
        <f t="shared" ca="1" si="186"/>
        <v>-96.665413156670112</v>
      </c>
      <c r="I411" s="304">
        <f t="shared" ca="1" si="187"/>
        <v>96.849263508398863</v>
      </c>
      <c r="J411" s="306">
        <f t="shared" ca="1" si="188"/>
        <v>588.9746359926213</v>
      </c>
      <c r="K411" s="307">
        <f t="shared" ca="1" si="189"/>
        <v>-7.6174050535446254</v>
      </c>
      <c r="L411" s="304">
        <f t="shared" ca="1" si="174"/>
        <v>589.02389315068581</v>
      </c>
      <c r="M411" s="306">
        <f t="shared" ca="1" si="190"/>
        <v>-1.5091697853425849</v>
      </c>
      <c r="N411" s="304">
        <f t="shared" ca="1" si="191"/>
        <v>-86.469059268794524</v>
      </c>
      <c r="P411" s="310">
        <f t="shared" ca="1" si="192"/>
        <v>23</v>
      </c>
      <c r="Q411" s="304">
        <f t="shared" ca="1" si="193"/>
        <v>0</v>
      </c>
      <c r="R411" s="306">
        <f t="shared" ca="1" si="194"/>
        <v>0</v>
      </c>
      <c r="S411" s="307">
        <f t="shared" ca="1" si="195"/>
        <v>2.5949999999999998</v>
      </c>
      <c r="T411" s="304">
        <f t="shared" ca="1" si="175"/>
        <v>25.456949999999999</v>
      </c>
      <c r="U411" s="311">
        <f t="shared" ca="1" si="176"/>
        <v>0</v>
      </c>
      <c r="V411" s="306">
        <f t="shared" ca="1" si="177"/>
        <v>1.2259334876567392</v>
      </c>
      <c r="W411" s="304">
        <f t="shared" ca="1" si="178"/>
        <v>23.546828613032691</v>
      </c>
      <c r="Y411" s="314" t="str">
        <f t="shared" ca="1" si="196"/>
        <v/>
      </c>
      <c r="Z411" s="315" t="str">
        <f t="shared" ca="1" si="197"/>
        <v/>
      </c>
      <c r="AA411" s="316" t="str">
        <f t="shared" ca="1" si="198"/>
        <v/>
      </c>
      <c r="AC411" s="310" t="e">
        <f t="shared" ca="1" si="199"/>
        <v>#N/A</v>
      </c>
      <c r="AD411" s="323" t="e">
        <f t="shared" ca="1" si="200"/>
        <v>#N/A</v>
      </c>
      <c r="AE411" s="324" t="e">
        <f t="shared" ca="1" si="179"/>
        <v>#N/A</v>
      </c>
      <c r="AG411" s="306">
        <f t="shared" ca="1" si="201"/>
        <v>0.71747698015618333</v>
      </c>
      <c r="AH411" s="304">
        <f t="shared" ca="1" si="202"/>
        <v>-9.0739001786546183</v>
      </c>
    </row>
    <row r="412" spans="1:34" x14ac:dyDescent="0.2">
      <c r="A412" s="347">
        <f t="shared" ca="1" si="180"/>
        <v>1E-4</v>
      </c>
      <c r="B412" s="304">
        <f t="shared" ca="1" si="181"/>
        <v>32.502500000000254</v>
      </c>
      <c r="D412" s="306">
        <f t="shared" ca="1" si="182"/>
        <v>-0.55884056746718491</v>
      </c>
      <c r="E412" s="307">
        <f t="shared" ca="1" si="183"/>
        <v>-0.75330276333019341</v>
      </c>
      <c r="F412" s="304">
        <f t="shared" ca="1" si="184"/>
        <v>0.93795939842188825</v>
      </c>
      <c r="G412" s="306">
        <f t="shared" ca="1" si="185"/>
        <v>5.9646521028900565</v>
      </c>
      <c r="H412" s="307">
        <f t="shared" ca="1" si="186"/>
        <v>-96.665488486946444</v>
      </c>
      <c r="I412" s="304">
        <f t="shared" ca="1" si="187"/>
        <v>96.849335253931855</v>
      </c>
      <c r="J412" s="306">
        <f t="shared" ca="1" si="188"/>
        <v>588.9746359926213</v>
      </c>
      <c r="K412" s="307">
        <f t="shared" ca="1" si="189"/>
        <v>-7.6270715986268058</v>
      </c>
      <c r="L412" s="304">
        <f t="shared" ca="1" si="174"/>
        <v>589.02401824018284</v>
      </c>
      <c r="M412" s="306">
        <f t="shared" ca="1" si="190"/>
        <v>-1.5091704091711073</v>
      </c>
      <c r="N412" s="304">
        <f t="shared" ca="1" si="191"/>
        <v>-86.469095011535998</v>
      </c>
      <c r="P412" s="310">
        <f t="shared" ca="1" si="192"/>
        <v>23</v>
      </c>
      <c r="Q412" s="304">
        <f t="shared" ca="1" si="193"/>
        <v>0</v>
      </c>
      <c r="R412" s="306">
        <f t="shared" ca="1" si="194"/>
        <v>0</v>
      </c>
      <c r="S412" s="307">
        <f t="shared" ca="1" si="195"/>
        <v>2.5949999999999998</v>
      </c>
      <c r="T412" s="304">
        <f t="shared" ca="1" si="175"/>
        <v>25.456949999999999</v>
      </c>
      <c r="U412" s="311">
        <f t="shared" ca="1" si="176"/>
        <v>0</v>
      </c>
      <c r="V412" s="306">
        <f t="shared" ca="1" si="177"/>
        <v>1.2259346727116167</v>
      </c>
      <c r="W412" s="304">
        <f t="shared" ca="1" si="178"/>
        <v>23.546886261527757</v>
      </c>
      <c r="Y412" s="314" t="str">
        <f t="shared" ca="1" si="196"/>
        <v/>
      </c>
      <c r="Z412" s="315" t="str">
        <f t="shared" ca="1" si="197"/>
        <v/>
      </c>
      <c r="AA412" s="316" t="str">
        <f t="shared" ca="1" si="198"/>
        <v/>
      </c>
      <c r="AC412" s="310" t="e">
        <f t="shared" ca="1" si="199"/>
        <v>#N/A</v>
      </c>
      <c r="AD412" s="323" t="e">
        <f t="shared" ca="1" si="200"/>
        <v>#N/A</v>
      </c>
      <c r="AE412" s="324" t="e">
        <f t="shared" ca="1" si="179"/>
        <v>#N/A</v>
      </c>
      <c r="AG412" s="306">
        <f t="shared" ca="1" si="201"/>
        <v>0.71745514148537737</v>
      </c>
      <c r="AH412" s="304">
        <f t="shared" ca="1" si="202"/>
        <v>-9.0739223942322518</v>
      </c>
    </row>
    <row r="413" spans="1:34" x14ac:dyDescent="0.2">
      <c r="A413" s="347">
        <f t="shared" ca="1" si="180"/>
        <v>1E-4</v>
      </c>
      <c r="B413" s="304">
        <f t="shared" ca="1" si="181"/>
        <v>32.502600000000257</v>
      </c>
      <c r="D413" s="306">
        <f t="shared" ca="1" si="182"/>
        <v>-0.55883628580794176</v>
      </c>
      <c r="E413" s="307">
        <f t="shared" ca="1" si="183"/>
        <v>-0.75328024166221041</v>
      </c>
      <c r="F413" s="304">
        <f t="shared" ca="1" si="184"/>
        <v>0.93793875962895024</v>
      </c>
      <c r="G413" s="306">
        <f t="shared" ca="1" si="185"/>
        <v>5.9645962192614759</v>
      </c>
      <c r="H413" s="307">
        <f t="shared" ca="1" si="186"/>
        <v>-96.665563814970611</v>
      </c>
      <c r="I413" s="304">
        <f t="shared" ca="1" si="187"/>
        <v>96.849406997281008</v>
      </c>
      <c r="J413" s="306">
        <f t="shared" ca="1" si="188"/>
        <v>588.9746359926213</v>
      </c>
      <c r="K413" s="307">
        <f t="shared" ca="1" si="189"/>
        <v>-7.6367381512419019</v>
      </c>
      <c r="L413" s="304">
        <f t="shared" ca="1" si="174"/>
        <v>589.02414348838988</v>
      </c>
      <c r="M413" s="306">
        <f t="shared" ca="1" si="190"/>
        <v>-1.5091710329928609</v>
      </c>
      <c r="N413" s="304">
        <f t="shared" ca="1" si="191"/>
        <v>-86.469130753889644</v>
      </c>
      <c r="P413" s="310">
        <f t="shared" ca="1" si="192"/>
        <v>23</v>
      </c>
      <c r="Q413" s="304">
        <f t="shared" ca="1" si="193"/>
        <v>0</v>
      </c>
      <c r="R413" s="306">
        <f t="shared" ca="1" si="194"/>
        <v>0</v>
      </c>
      <c r="S413" s="307">
        <f t="shared" ca="1" si="195"/>
        <v>2.5949999999999998</v>
      </c>
      <c r="T413" s="304">
        <f t="shared" ca="1" si="175"/>
        <v>25.456949999999999</v>
      </c>
      <c r="U413" s="311">
        <f t="shared" ca="1" si="176"/>
        <v>0</v>
      </c>
      <c r="V413" s="306">
        <f t="shared" ca="1" si="177"/>
        <v>1.2259358577685635</v>
      </c>
      <c r="W413" s="304">
        <f t="shared" ca="1" si="178"/>
        <v>23.546943909093951</v>
      </c>
      <c r="Y413" s="314" t="str">
        <f t="shared" ca="1" si="196"/>
        <v/>
      </c>
      <c r="Z413" s="315" t="str">
        <f t="shared" ca="1" si="197"/>
        <v/>
      </c>
      <c r="AA413" s="316" t="str">
        <f t="shared" ca="1" si="198"/>
        <v/>
      </c>
      <c r="AC413" s="310" t="e">
        <f t="shared" ca="1" si="199"/>
        <v>#N/A</v>
      </c>
      <c r="AD413" s="323" t="e">
        <f t="shared" ca="1" si="200"/>
        <v>#N/A</v>
      </c>
      <c r="AE413" s="324" t="e">
        <f t="shared" ca="1" si="179"/>
        <v>#N/A</v>
      </c>
      <c r="AG413" s="306">
        <f t="shared" ca="1" si="201"/>
        <v>0.71743330316463094</v>
      </c>
      <c r="AH413" s="304">
        <f t="shared" ca="1" si="202"/>
        <v>-9.0739446094519298</v>
      </c>
    </row>
    <row r="414" spans="1:34" x14ac:dyDescent="0.2">
      <c r="A414" s="347">
        <f t="shared" ca="1" si="180"/>
        <v>1E-4</v>
      </c>
      <c r="B414" s="304">
        <f t="shared" ca="1" si="181"/>
        <v>32.50270000000026</v>
      </c>
      <c r="D414" s="306">
        <f t="shared" ca="1" si="182"/>
        <v>-0.5588320041600755</v>
      </c>
      <c r="E414" s="307">
        <f t="shared" ca="1" si="183"/>
        <v>-0.75325772035709448</v>
      </c>
      <c r="F414" s="304">
        <f t="shared" ca="1" si="184"/>
        <v>0.93791812124040619</v>
      </c>
      <c r="G414" s="306">
        <f t="shared" ca="1" si="185"/>
        <v>5.9645403360610603</v>
      </c>
      <c r="H414" s="307">
        <f t="shared" ca="1" si="186"/>
        <v>-96.665639140742641</v>
      </c>
      <c r="I414" s="304">
        <f t="shared" ca="1" si="187"/>
        <v>96.849478738446365</v>
      </c>
      <c r="J414" s="306">
        <f t="shared" ca="1" si="188"/>
        <v>588.9746359926213</v>
      </c>
      <c r="K414" s="307">
        <f t="shared" ca="1" si="189"/>
        <v>-7.6464047113896871</v>
      </c>
      <c r="L414" s="304">
        <f t="shared" ca="1" si="174"/>
        <v>589.02426889530716</v>
      </c>
      <c r="M414" s="306">
        <f t="shared" ca="1" si="190"/>
        <v>-1.5091716568078457</v>
      </c>
      <c r="N414" s="304">
        <f t="shared" ca="1" si="191"/>
        <v>-86.469166495855475</v>
      </c>
      <c r="P414" s="310">
        <f t="shared" ca="1" si="192"/>
        <v>23</v>
      </c>
      <c r="Q414" s="304">
        <f t="shared" ca="1" si="193"/>
        <v>0</v>
      </c>
      <c r="R414" s="306">
        <f t="shared" ca="1" si="194"/>
        <v>0</v>
      </c>
      <c r="S414" s="307">
        <f t="shared" ca="1" si="195"/>
        <v>2.5949999999999998</v>
      </c>
      <c r="T414" s="304">
        <f t="shared" ca="1" si="175"/>
        <v>25.456949999999999</v>
      </c>
      <c r="U414" s="311">
        <f t="shared" ca="1" si="176"/>
        <v>0</v>
      </c>
      <c r="V414" s="306">
        <f t="shared" ca="1" si="177"/>
        <v>1.22593704282758</v>
      </c>
      <c r="W414" s="304">
        <f t="shared" ca="1" si="178"/>
        <v>23.547001555731292</v>
      </c>
      <c r="Y414" s="314" t="str">
        <f t="shared" ca="1" si="196"/>
        <v/>
      </c>
      <c r="Z414" s="315" t="str">
        <f t="shared" ca="1" si="197"/>
        <v/>
      </c>
      <c r="AA414" s="316" t="str">
        <f t="shared" ca="1" si="198"/>
        <v/>
      </c>
      <c r="AC414" s="310" t="e">
        <f t="shared" ca="1" si="199"/>
        <v>#N/A</v>
      </c>
      <c r="AD414" s="323" t="e">
        <f t="shared" ca="1" si="200"/>
        <v>#N/A</v>
      </c>
      <c r="AE414" s="324" t="e">
        <f t="shared" ca="1" si="179"/>
        <v>#N/A</v>
      </c>
      <c r="AG414" s="306">
        <f t="shared" ca="1" si="201"/>
        <v>0.71741146519392807</v>
      </c>
      <c r="AH414" s="304">
        <f t="shared" ca="1" si="202"/>
        <v>-9.0739668243136613</v>
      </c>
    </row>
    <row r="415" spans="1:34" x14ac:dyDescent="0.2">
      <c r="A415" s="347">
        <f t="shared" ca="1" si="180"/>
        <v>1E-4</v>
      </c>
      <c r="B415" s="304">
        <f t="shared" ca="1" si="181"/>
        <v>32.502800000000263</v>
      </c>
      <c r="D415" s="306">
        <f t="shared" ca="1" si="182"/>
        <v>-0.55882772252358781</v>
      </c>
      <c r="E415" s="307">
        <f t="shared" ca="1" si="183"/>
        <v>-0.75323519941483674</v>
      </c>
      <c r="F415" s="304">
        <f t="shared" ca="1" si="184"/>
        <v>0.93789748325625066</v>
      </c>
      <c r="G415" s="306">
        <f t="shared" ca="1" si="185"/>
        <v>5.9644844532888079</v>
      </c>
      <c r="H415" s="307">
        <f t="shared" ca="1" si="186"/>
        <v>-96.665714464262578</v>
      </c>
      <c r="I415" s="304">
        <f t="shared" ca="1" si="187"/>
        <v>96.849550477427968</v>
      </c>
      <c r="J415" s="306">
        <f t="shared" ca="1" si="188"/>
        <v>588.9746359926213</v>
      </c>
      <c r="K415" s="307">
        <f t="shared" ca="1" si="189"/>
        <v>-7.6560712790699377</v>
      </c>
      <c r="L415" s="304">
        <f t="shared" ca="1" si="174"/>
        <v>589.02439446093479</v>
      </c>
      <c r="M415" s="306">
        <f t="shared" ca="1" si="190"/>
        <v>-1.5091722806160617</v>
      </c>
      <c r="N415" s="304">
        <f t="shared" ca="1" si="191"/>
        <v>-86.469202237433478</v>
      </c>
      <c r="P415" s="310">
        <f t="shared" ca="1" si="192"/>
        <v>23</v>
      </c>
      <c r="Q415" s="304">
        <f t="shared" ca="1" si="193"/>
        <v>0</v>
      </c>
      <c r="R415" s="306">
        <f t="shared" ca="1" si="194"/>
        <v>0</v>
      </c>
      <c r="S415" s="307">
        <f t="shared" ca="1" si="195"/>
        <v>2.5949999999999998</v>
      </c>
      <c r="T415" s="304">
        <f t="shared" ca="1" si="175"/>
        <v>25.456949999999999</v>
      </c>
      <c r="U415" s="311">
        <f t="shared" ca="1" si="176"/>
        <v>0</v>
      </c>
      <c r="V415" s="306">
        <f t="shared" ca="1" si="177"/>
        <v>1.2259382278886659</v>
      </c>
      <c r="W415" s="304">
        <f t="shared" ca="1" si="178"/>
        <v>23.547059201439794</v>
      </c>
      <c r="Y415" s="314" t="str">
        <f t="shared" ca="1" si="196"/>
        <v/>
      </c>
      <c r="Z415" s="315" t="str">
        <f t="shared" ca="1" si="197"/>
        <v/>
      </c>
      <c r="AA415" s="316" t="str">
        <f t="shared" ca="1" si="198"/>
        <v/>
      </c>
      <c r="AC415" s="310" t="e">
        <f t="shared" ca="1" si="199"/>
        <v>#N/A</v>
      </c>
      <c r="AD415" s="323" t="e">
        <f t="shared" ca="1" si="200"/>
        <v>#N/A</v>
      </c>
      <c r="AE415" s="324" t="e">
        <f t="shared" ca="1" si="179"/>
        <v>#N/A</v>
      </c>
      <c r="AG415" s="306">
        <f t="shared" ca="1" si="201"/>
        <v>0.71738962757326519</v>
      </c>
      <c r="AH415" s="304">
        <f t="shared" ca="1" si="202"/>
        <v>-9.0739890388174551</v>
      </c>
    </row>
    <row r="416" spans="1:34" x14ac:dyDescent="0.2">
      <c r="A416" s="347">
        <f t="shared" ca="1" si="180"/>
        <v>1E-4</v>
      </c>
      <c r="B416" s="304">
        <f t="shared" ca="1" si="181"/>
        <v>32.502900000000267</v>
      </c>
      <c r="D416" s="306">
        <f t="shared" ca="1" si="182"/>
        <v>-0.55882344089848002</v>
      </c>
      <c r="E416" s="307">
        <f t="shared" ca="1" si="183"/>
        <v>-0.75321267883543541</v>
      </c>
      <c r="F416" s="304">
        <f t="shared" ca="1" si="184"/>
        <v>0.93787684567648311</v>
      </c>
      <c r="G416" s="306">
        <f t="shared" ca="1" si="185"/>
        <v>5.964428570944718</v>
      </c>
      <c r="H416" s="307">
        <f t="shared" ca="1" si="186"/>
        <v>-96.665789785530464</v>
      </c>
      <c r="I416" s="304">
        <f t="shared" ca="1" si="187"/>
        <v>96.849622214225832</v>
      </c>
      <c r="J416" s="306">
        <f t="shared" ca="1" si="188"/>
        <v>588.9746359926213</v>
      </c>
      <c r="K416" s="307">
        <f t="shared" ca="1" si="189"/>
        <v>-7.665737854282427</v>
      </c>
      <c r="L416" s="304">
        <f t="shared" ca="1" si="174"/>
        <v>589.02452018527322</v>
      </c>
      <c r="M416" s="306">
        <f t="shared" ca="1" si="190"/>
        <v>-1.5091729044175088</v>
      </c>
      <c r="N416" s="304">
        <f t="shared" ca="1" si="191"/>
        <v>-86.469237978623653</v>
      </c>
      <c r="P416" s="310">
        <f t="shared" ca="1" si="192"/>
        <v>23</v>
      </c>
      <c r="Q416" s="304">
        <f t="shared" ca="1" si="193"/>
        <v>0</v>
      </c>
      <c r="R416" s="306">
        <f t="shared" ca="1" si="194"/>
        <v>0</v>
      </c>
      <c r="S416" s="307">
        <f t="shared" ca="1" si="195"/>
        <v>2.5949999999999998</v>
      </c>
      <c r="T416" s="304">
        <f t="shared" ca="1" si="175"/>
        <v>25.456949999999999</v>
      </c>
      <c r="U416" s="311">
        <f t="shared" ca="1" si="176"/>
        <v>0</v>
      </c>
      <c r="V416" s="306">
        <f t="shared" ca="1" si="177"/>
        <v>1.2259394129518211</v>
      </c>
      <c r="W416" s="304">
        <f t="shared" ca="1" si="178"/>
        <v>23.547116846219456</v>
      </c>
      <c r="Y416" s="314" t="str">
        <f t="shared" ca="1" si="196"/>
        <v/>
      </c>
      <c r="Z416" s="315" t="str">
        <f t="shared" ca="1" si="197"/>
        <v/>
      </c>
      <c r="AA416" s="316" t="str">
        <f t="shared" ca="1" si="198"/>
        <v/>
      </c>
      <c r="AC416" s="310" t="e">
        <f t="shared" ca="1" si="199"/>
        <v>#N/A</v>
      </c>
      <c r="AD416" s="323" t="e">
        <f t="shared" ca="1" si="200"/>
        <v>#N/A</v>
      </c>
      <c r="AE416" s="324" t="e">
        <f t="shared" ca="1" si="179"/>
        <v>#N/A</v>
      </c>
      <c r="AG416" s="306">
        <f t="shared" ca="1" si="201"/>
        <v>0.71736779030263698</v>
      </c>
      <c r="AH416" s="304">
        <f t="shared" ca="1" si="202"/>
        <v>-9.074011252963313</v>
      </c>
    </row>
    <row r="417" spans="1:34" x14ac:dyDescent="0.2">
      <c r="A417" s="347">
        <f t="shared" ca="1" si="180"/>
        <v>1E-4</v>
      </c>
      <c r="B417" s="304">
        <f t="shared" ca="1" si="181"/>
        <v>32.50300000000027</v>
      </c>
      <c r="D417" s="306">
        <f t="shared" ca="1" si="182"/>
        <v>-0.55881915928475323</v>
      </c>
      <c r="E417" s="307">
        <f t="shared" ca="1" si="183"/>
        <v>-0.75319015861888872</v>
      </c>
      <c r="F417" s="304">
        <f t="shared" ca="1" si="184"/>
        <v>0.93785620850110341</v>
      </c>
      <c r="G417" s="306">
        <f t="shared" ca="1" si="185"/>
        <v>5.9643726890287896</v>
      </c>
      <c r="H417" s="307">
        <f t="shared" ca="1" si="186"/>
        <v>-96.665865104546327</v>
      </c>
      <c r="I417" s="304">
        <f t="shared" ca="1" si="187"/>
        <v>96.849693948840027</v>
      </c>
      <c r="J417" s="306">
        <f t="shared" ca="1" si="188"/>
        <v>588.9746359926213</v>
      </c>
      <c r="K417" s="307">
        <f t="shared" ca="1" si="189"/>
        <v>-7.6754044370269305</v>
      </c>
      <c r="L417" s="304">
        <f t="shared" ca="1" si="174"/>
        <v>589.02464606832257</v>
      </c>
      <c r="M417" s="306">
        <f t="shared" ca="1" si="190"/>
        <v>-1.5091735282121874</v>
      </c>
      <c r="N417" s="304">
        <f t="shared" ca="1" si="191"/>
        <v>-86.469273719426013</v>
      </c>
      <c r="P417" s="310">
        <f t="shared" ca="1" si="192"/>
        <v>23</v>
      </c>
      <c r="Q417" s="304">
        <f t="shared" ca="1" si="193"/>
        <v>0</v>
      </c>
      <c r="R417" s="306">
        <f t="shared" ca="1" si="194"/>
        <v>0</v>
      </c>
      <c r="S417" s="307">
        <f t="shared" ca="1" si="195"/>
        <v>2.5949999999999998</v>
      </c>
      <c r="T417" s="304">
        <f t="shared" ca="1" si="175"/>
        <v>25.456949999999999</v>
      </c>
      <c r="U417" s="311">
        <f t="shared" ca="1" si="176"/>
        <v>0</v>
      </c>
      <c r="V417" s="306">
        <f t="shared" ca="1" si="177"/>
        <v>1.2259405980170457</v>
      </c>
      <c r="W417" s="304">
        <f t="shared" ca="1" si="178"/>
        <v>23.547174490070301</v>
      </c>
      <c r="Y417" s="314" t="str">
        <f t="shared" ca="1" si="196"/>
        <v/>
      </c>
      <c r="Z417" s="315" t="str">
        <f t="shared" ca="1" si="197"/>
        <v/>
      </c>
      <c r="AA417" s="316" t="str">
        <f t="shared" ca="1" si="198"/>
        <v/>
      </c>
      <c r="AC417" s="310" t="e">
        <f t="shared" ca="1" si="199"/>
        <v>#N/A</v>
      </c>
      <c r="AD417" s="323" t="e">
        <f t="shared" ca="1" si="200"/>
        <v>#N/A</v>
      </c>
      <c r="AE417" s="324" t="e">
        <f t="shared" ca="1" si="179"/>
        <v>#N/A</v>
      </c>
      <c r="AG417" s="306">
        <f t="shared" ca="1" si="201"/>
        <v>0.71734595338204521</v>
      </c>
      <c r="AH417" s="304">
        <f t="shared" ca="1" si="202"/>
        <v>-9.0740334667512368</v>
      </c>
    </row>
    <row r="418" spans="1:34" x14ac:dyDescent="0.2">
      <c r="A418" s="347">
        <f t="shared" ca="1" si="180"/>
        <v>1E-4</v>
      </c>
      <c r="B418" s="304">
        <f t="shared" ca="1" si="181"/>
        <v>32.503100000000273</v>
      </c>
      <c r="D418" s="306">
        <f t="shared" ca="1" si="182"/>
        <v>-0.55881487768240701</v>
      </c>
      <c r="E418" s="307">
        <f t="shared" ca="1" si="183"/>
        <v>-0.75316763876518955</v>
      </c>
      <c r="F418" s="304">
        <f t="shared" ca="1" si="184"/>
        <v>0.9378355717301059</v>
      </c>
      <c r="G418" s="306">
        <f t="shared" ca="1" si="185"/>
        <v>5.9643168075410218</v>
      </c>
      <c r="H418" s="307">
        <f t="shared" ca="1" si="186"/>
        <v>-96.665940421310211</v>
      </c>
      <c r="I418" s="304">
        <f t="shared" ca="1" si="187"/>
        <v>96.849765681270569</v>
      </c>
      <c r="J418" s="306">
        <f t="shared" ca="1" si="188"/>
        <v>588.9746359926213</v>
      </c>
      <c r="K418" s="307">
        <f t="shared" ca="1" si="189"/>
        <v>-7.6850710273032234</v>
      </c>
      <c r="L418" s="304">
        <f t="shared" ca="1" si="174"/>
        <v>589.02477211008318</v>
      </c>
      <c r="M418" s="306">
        <f t="shared" ca="1" si="190"/>
        <v>-1.5091741520000976</v>
      </c>
      <c r="N418" s="304">
        <f t="shared" ca="1" si="191"/>
        <v>-86.469309459840588</v>
      </c>
      <c r="P418" s="310">
        <f t="shared" ca="1" si="192"/>
        <v>23</v>
      </c>
      <c r="Q418" s="304">
        <f t="shared" ca="1" si="193"/>
        <v>0</v>
      </c>
      <c r="R418" s="306">
        <f t="shared" ca="1" si="194"/>
        <v>0</v>
      </c>
      <c r="S418" s="307">
        <f t="shared" ca="1" si="195"/>
        <v>2.5949999999999998</v>
      </c>
      <c r="T418" s="304">
        <f t="shared" ca="1" si="175"/>
        <v>25.456949999999999</v>
      </c>
      <c r="U418" s="311">
        <f t="shared" ca="1" si="176"/>
        <v>0</v>
      </c>
      <c r="V418" s="306">
        <f t="shared" ca="1" si="177"/>
        <v>1.2259417830843393</v>
      </c>
      <c r="W418" s="304">
        <f t="shared" ca="1" si="178"/>
        <v>23.547232132992338</v>
      </c>
      <c r="Y418" s="314" t="str">
        <f t="shared" ca="1" si="196"/>
        <v/>
      </c>
      <c r="Z418" s="315" t="str">
        <f t="shared" ca="1" si="197"/>
        <v/>
      </c>
      <c r="AA418" s="316" t="str">
        <f t="shared" ca="1" si="198"/>
        <v/>
      </c>
      <c r="AC418" s="310" t="e">
        <f t="shared" ca="1" si="199"/>
        <v>#N/A</v>
      </c>
      <c r="AD418" s="323" t="e">
        <f t="shared" ca="1" si="200"/>
        <v>#N/A</v>
      </c>
      <c r="AE418" s="324" t="e">
        <f t="shared" ca="1" si="179"/>
        <v>#N/A</v>
      </c>
      <c r="AG418" s="306">
        <f t="shared" ca="1" si="201"/>
        <v>0.71732411681147745</v>
      </c>
      <c r="AH418" s="304">
        <f t="shared" ca="1" si="202"/>
        <v>-9.0740556801812335</v>
      </c>
    </row>
    <row r="419" spans="1:34" x14ac:dyDescent="0.2">
      <c r="A419" s="347">
        <f t="shared" ca="1" si="180"/>
        <v>1E-4</v>
      </c>
      <c r="B419" s="304">
        <f t="shared" ca="1" si="181"/>
        <v>32.503200000000277</v>
      </c>
      <c r="D419" s="306">
        <f t="shared" ca="1" si="182"/>
        <v>-0.55881059609144101</v>
      </c>
      <c r="E419" s="307">
        <f t="shared" ca="1" si="183"/>
        <v>-0.75314511927433259</v>
      </c>
      <c r="F419" s="304">
        <f t="shared" ca="1" si="184"/>
        <v>0.93781493536348648</v>
      </c>
      <c r="G419" s="306">
        <f t="shared" ca="1" si="185"/>
        <v>5.9642609264814128</v>
      </c>
      <c r="H419" s="307">
        <f t="shared" ca="1" si="186"/>
        <v>-96.666015735822143</v>
      </c>
      <c r="I419" s="304">
        <f t="shared" ca="1" si="187"/>
        <v>96.84983741151747</v>
      </c>
      <c r="J419" s="306">
        <f t="shared" ca="1" si="188"/>
        <v>588.9746359926213</v>
      </c>
      <c r="K419" s="307">
        <f t="shared" ca="1" si="189"/>
        <v>-7.6947376251110802</v>
      </c>
      <c r="L419" s="304">
        <f t="shared" ca="1" si="174"/>
        <v>589.02489831055539</v>
      </c>
      <c r="M419" s="306">
        <f t="shared" ca="1" si="190"/>
        <v>-1.5091747757812395</v>
      </c>
      <c r="N419" s="304">
        <f t="shared" ca="1" si="191"/>
        <v>-86.469345199867348</v>
      </c>
      <c r="P419" s="310">
        <f t="shared" ca="1" si="192"/>
        <v>23</v>
      </c>
      <c r="Q419" s="304">
        <f t="shared" ca="1" si="193"/>
        <v>0</v>
      </c>
      <c r="R419" s="306">
        <f t="shared" ca="1" si="194"/>
        <v>0</v>
      </c>
      <c r="S419" s="307">
        <f t="shared" ca="1" si="195"/>
        <v>2.5949999999999998</v>
      </c>
      <c r="T419" s="304">
        <f t="shared" ca="1" si="175"/>
        <v>25.456949999999999</v>
      </c>
      <c r="U419" s="311">
        <f t="shared" ca="1" si="176"/>
        <v>0</v>
      </c>
      <c r="V419" s="306">
        <f t="shared" ca="1" si="177"/>
        <v>1.2259429681537029</v>
      </c>
      <c r="W419" s="304">
        <f t="shared" ca="1" si="178"/>
        <v>23.547289774985568</v>
      </c>
      <c r="Y419" s="314" t="str">
        <f t="shared" ca="1" si="196"/>
        <v/>
      </c>
      <c r="Z419" s="315" t="str">
        <f t="shared" ca="1" si="197"/>
        <v/>
      </c>
      <c r="AA419" s="316" t="str">
        <f t="shared" ca="1" si="198"/>
        <v/>
      </c>
      <c r="AC419" s="310" t="e">
        <f t="shared" ca="1" si="199"/>
        <v>#N/A</v>
      </c>
      <c r="AD419" s="323" t="e">
        <f t="shared" ca="1" si="200"/>
        <v>#N/A</v>
      </c>
      <c r="AE419" s="324" t="e">
        <f t="shared" ca="1" si="179"/>
        <v>#N/A</v>
      </c>
      <c r="AG419" s="306">
        <f t="shared" ca="1" si="201"/>
        <v>0.71730228059093371</v>
      </c>
      <c r="AH419" s="304">
        <f t="shared" ca="1" si="202"/>
        <v>-9.0740778932533104</v>
      </c>
    </row>
    <row r="420" spans="1:34" x14ac:dyDescent="0.2">
      <c r="A420" s="347">
        <f t="shared" ca="1" si="180"/>
        <v>1E-4</v>
      </c>
      <c r="B420" s="304">
        <f t="shared" ca="1" si="181"/>
        <v>32.50330000000028</v>
      </c>
      <c r="D420" s="306">
        <f t="shared" ca="1" si="182"/>
        <v>-0.55880631451185603</v>
      </c>
      <c r="E420" s="307">
        <f t="shared" ca="1" si="183"/>
        <v>-0.75312260014631782</v>
      </c>
      <c r="F420" s="304">
        <f t="shared" ca="1" si="184"/>
        <v>0.93779429940124603</v>
      </c>
      <c r="G420" s="306">
        <f t="shared" ca="1" si="185"/>
        <v>5.9642050458499618</v>
      </c>
      <c r="H420" s="307">
        <f t="shared" ca="1" si="186"/>
        <v>-96.666091048082151</v>
      </c>
      <c r="I420" s="304">
        <f t="shared" ca="1" si="187"/>
        <v>96.849909139580774</v>
      </c>
      <c r="J420" s="306">
        <f t="shared" ca="1" si="188"/>
        <v>588.9746359926213</v>
      </c>
      <c r="K420" s="307">
        <f t="shared" ca="1" si="189"/>
        <v>-7.7044042304502751</v>
      </c>
      <c r="L420" s="304">
        <f t="shared" ca="1" si="174"/>
        <v>589.02502466973931</v>
      </c>
      <c r="M420" s="306">
        <f t="shared" ca="1" si="190"/>
        <v>-1.509175399555613</v>
      </c>
      <c r="N420" s="304">
        <f t="shared" ca="1" si="191"/>
        <v>-86.469380939506323</v>
      </c>
      <c r="P420" s="310">
        <f t="shared" ca="1" si="192"/>
        <v>23</v>
      </c>
      <c r="Q420" s="304">
        <f t="shared" ca="1" si="193"/>
        <v>0</v>
      </c>
      <c r="R420" s="306">
        <f t="shared" ca="1" si="194"/>
        <v>0</v>
      </c>
      <c r="S420" s="307">
        <f t="shared" ca="1" si="195"/>
        <v>2.5949999999999998</v>
      </c>
      <c r="T420" s="304">
        <f t="shared" ca="1" si="175"/>
        <v>25.456949999999999</v>
      </c>
      <c r="U420" s="311">
        <f t="shared" ca="1" si="176"/>
        <v>0</v>
      </c>
      <c r="V420" s="306">
        <f t="shared" ca="1" si="177"/>
        <v>1.2259441532251356</v>
      </c>
      <c r="W420" s="304">
        <f t="shared" ca="1" si="178"/>
        <v>23.547347416050012</v>
      </c>
      <c r="Y420" s="314" t="str">
        <f t="shared" ca="1" si="196"/>
        <v/>
      </c>
      <c r="Z420" s="315" t="str">
        <f t="shared" ca="1" si="197"/>
        <v/>
      </c>
      <c r="AA420" s="316" t="str">
        <f t="shared" ca="1" si="198"/>
        <v/>
      </c>
      <c r="AC420" s="310" t="e">
        <f t="shared" ca="1" si="199"/>
        <v>#N/A</v>
      </c>
      <c r="AD420" s="323" t="e">
        <f t="shared" ca="1" si="200"/>
        <v>#N/A</v>
      </c>
      <c r="AE420" s="324" t="e">
        <f t="shared" ca="1" si="179"/>
        <v>#N/A</v>
      </c>
      <c r="AG420" s="306">
        <f t="shared" ca="1" si="201"/>
        <v>0.71728044472041397</v>
      </c>
      <c r="AH420" s="304">
        <f t="shared" ca="1" si="202"/>
        <v>-9.0741001059674637</v>
      </c>
    </row>
    <row r="421" spans="1:34" x14ac:dyDescent="0.2">
      <c r="A421" s="347">
        <f t="shared" ca="1" si="180"/>
        <v>1E-4</v>
      </c>
      <c r="B421" s="304">
        <f t="shared" ca="1" si="181"/>
        <v>32.503400000000283</v>
      </c>
      <c r="D421" s="306">
        <f t="shared" ca="1" si="182"/>
        <v>-0.55880203294365394</v>
      </c>
      <c r="E421" s="307">
        <f t="shared" ca="1" si="183"/>
        <v>-0.75310008138113638</v>
      </c>
      <c r="F421" s="304">
        <f t="shared" ca="1" si="184"/>
        <v>0.93777366384337901</v>
      </c>
      <c r="G421" s="306">
        <f t="shared" ca="1" si="185"/>
        <v>5.9641491656466679</v>
      </c>
      <c r="H421" s="307">
        <f t="shared" ca="1" si="186"/>
        <v>-96.666166358090294</v>
      </c>
      <c r="I421" s="304">
        <f t="shared" ca="1" si="187"/>
        <v>96.849980865460523</v>
      </c>
      <c r="J421" s="306">
        <f t="shared" ca="1" si="188"/>
        <v>588.9746359926213</v>
      </c>
      <c r="K421" s="307">
        <f t="shared" ca="1" si="189"/>
        <v>-7.7140708433205836</v>
      </c>
      <c r="L421" s="304">
        <f t="shared" ca="1" si="174"/>
        <v>589.02515118763517</v>
      </c>
      <c r="M421" s="306">
        <f t="shared" ca="1" si="190"/>
        <v>-1.5091760233232181</v>
      </c>
      <c r="N421" s="304">
        <f t="shared" ca="1" si="191"/>
        <v>-86.469416678757483</v>
      </c>
      <c r="P421" s="310">
        <f t="shared" ca="1" si="192"/>
        <v>23</v>
      </c>
      <c r="Q421" s="304">
        <f t="shared" ca="1" si="193"/>
        <v>0</v>
      </c>
      <c r="R421" s="306">
        <f t="shared" ca="1" si="194"/>
        <v>0</v>
      </c>
      <c r="S421" s="307">
        <f t="shared" ca="1" si="195"/>
        <v>2.5949999999999998</v>
      </c>
      <c r="T421" s="304">
        <f t="shared" ca="1" si="175"/>
        <v>25.456949999999999</v>
      </c>
      <c r="U421" s="311">
        <f t="shared" ca="1" si="176"/>
        <v>0</v>
      </c>
      <c r="V421" s="306">
        <f t="shared" ca="1" si="177"/>
        <v>1.2259453382986374</v>
      </c>
      <c r="W421" s="304">
        <f t="shared" ca="1" si="178"/>
        <v>23.547405056185674</v>
      </c>
      <c r="Y421" s="314" t="str">
        <f t="shared" ca="1" si="196"/>
        <v/>
      </c>
      <c r="Z421" s="315" t="str">
        <f t="shared" ca="1" si="197"/>
        <v/>
      </c>
      <c r="AA421" s="316" t="str">
        <f t="shared" ca="1" si="198"/>
        <v/>
      </c>
      <c r="AC421" s="310" t="e">
        <f t="shared" ca="1" si="199"/>
        <v>#N/A</v>
      </c>
      <c r="AD421" s="323" t="e">
        <f t="shared" ca="1" si="200"/>
        <v>#N/A</v>
      </c>
      <c r="AE421" s="324" t="e">
        <f t="shared" ca="1" si="179"/>
        <v>#N/A</v>
      </c>
      <c r="AG421" s="306">
        <f t="shared" ca="1" si="201"/>
        <v>0.71725860919990936</v>
      </c>
      <c r="AH421" s="304">
        <f t="shared" ca="1" si="202"/>
        <v>-9.0741223183237043</v>
      </c>
    </row>
    <row r="422" spans="1:34" x14ac:dyDescent="0.2">
      <c r="A422" s="347">
        <f t="shared" ca="1" si="180"/>
        <v>1E-4</v>
      </c>
      <c r="B422" s="304">
        <f t="shared" ca="1" si="181"/>
        <v>32.503500000000287</v>
      </c>
      <c r="D422" s="306">
        <f t="shared" ca="1" si="182"/>
        <v>-0.55879775138683585</v>
      </c>
      <c r="E422" s="307">
        <f t="shared" ca="1" si="183"/>
        <v>-0.75307756297878647</v>
      </c>
      <c r="F422" s="304">
        <f t="shared" ca="1" si="184"/>
        <v>0.93775302868988497</v>
      </c>
      <c r="G422" s="306">
        <f t="shared" ca="1" si="185"/>
        <v>5.9640932858715292</v>
      </c>
      <c r="H422" s="307">
        <f t="shared" ca="1" si="186"/>
        <v>-96.666241665846599</v>
      </c>
      <c r="I422" s="304">
        <f t="shared" ca="1" si="187"/>
        <v>96.850052589156789</v>
      </c>
      <c r="J422" s="306">
        <f t="shared" ca="1" si="188"/>
        <v>588.9746359926213</v>
      </c>
      <c r="K422" s="307">
        <f t="shared" ca="1" si="189"/>
        <v>-7.7237374637217808</v>
      </c>
      <c r="L422" s="304">
        <f t="shared" ca="1" si="174"/>
        <v>589.02527786424344</v>
      </c>
      <c r="M422" s="306">
        <f t="shared" ca="1" si="190"/>
        <v>-1.5091766470840553</v>
      </c>
      <c r="N422" s="304">
        <f t="shared" ca="1" si="191"/>
        <v>-86.469452417620886</v>
      </c>
      <c r="P422" s="310">
        <f t="shared" ca="1" si="192"/>
        <v>23</v>
      </c>
      <c r="Q422" s="304">
        <f t="shared" ca="1" si="193"/>
        <v>0</v>
      </c>
      <c r="R422" s="306">
        <f t="shared" ca="1" si="194"/>
        <v>0</v>
      </c>
      <c r="S422" s="307">
        <f t="shared" ca="1" si="195"/>
        <v>2.5949999999999998</v>
      </c>
      <c r="T422" s="304">
        <f t="shared" ca="1" si="175"/>
        <v>25.456949999999999</v>
      </c>
      <c r="U422" s="311">
        <f t="shared" ca="1" si="176"/>
        <v>0</v>
      </c>
      <c r="V422" s="306">
        <f t="shared" ca="1" si="177"/>
        <v>1.2259465233742084</v>
      </c>
      <c r="W422" s="304">
        <f t="shared" ca="1" si="178"/>
        <v>23.547462695392582</v>
      </c>
      <c r="Y422" s="314" t="str">
        <f t="shared" ca="1" si="196"/>
        <v/>
      </c>
      <c r="Z422" s="315" t="str">
        <f t="shared" ca="1" si="197"/>
        <v/>
      </c>
      <c r="AA422" s="316" t="str">
        <f t="shared" ca="1" si="198"/>
        <v/>
      </c>
      <c r="AC422" s="310" t="e">
        <f t="shared" ca="1" si="199"/>
        <v>#N/A</v>
      </c>
      <c r="AD422" s="323" t="e">
        <f t="shared" ca="1" si="200"/>
        <v>#N/A</v>
      </c>
      <c r="AE422" s="324" t="e">
        <f t="shared" ca="1" si="179"/>
        <v>#N/A</v>
      </c>
      <c r="AG422" s="306">
        <f t="shared" ca="1" si="201"/>
        <v>0.71723677402941455</v>
      </c>
      <c r="AH422" s="304">
        <f t="shared" ca="1" si="202"/>
        <v>-9.0741445303220338</v>
      </c>
    </row>
    <row r="423" spans="1:34" x14ac:dyDescent="0.2">
      <c r="A423" s="347">
        <f t="shared" ca="1" si="180"/>
        <v>1E-4</v>
      </c>
      <c r="B423" s="304">
        <f t="shared" ca="1" si="181"/>
        <v>32.50360000000029</v>
      </c>
      <c r="D423" s="306">
        <f t="shared" ca="1" si="182"/>
        <v>-0.55879346984139944</v>
      </c>
      <c r="E423" s="307">
        <f t="shared" ca="1" si="183"/>
        <v>-0.75305504493925923</v>
      </c>
      <c r="F423" s="304">
        <f t="shared" ca="1" si="184"/>
        <v>0.93773239394075569</v>
      </c>
      <c r="G423" s="306">
        <f t="shared" ca="1" si="185"/>
        <v>5.9640374065245449</v>
      </c>
      <c r="H423" s="307">
        <f t="shared" ca="1" si="186"/>
        <v>-96.666316971351094</v>
      </c>
      <c r="I423" s="304">
        <f t="shared" ca="1" si="187"/>
        <v>96.850124310669557</v>
      </c>
      <c r="J423" s="306">
        <f t="shared" ca="1" si="188"/>
        <v>588.9746359926213</v>
      </c>
      <c r="K423" s="307">
        <f t="shared" ca="1" si="189"/>
        <v>-7.7334040916536404</v>
      </c>
      <c r="L423" s="304">
        <f t="shared" ca="1" si="174"/>
        <v>589.02540469956432</v>
      </c>
      <c r="M423" s="306">
        <f t="shared" ca="1" si="190"/>
        <v>-1.5091772708381241</v>
      </c>
      <c r="N423" s="304">
        <f t="shared" ca="1" si="191"/>
        <v>-86.469488156096489</v>
      </c>
      <c r="P423" s="310">
        <f t="shared" ca="1" si="192"/>
        <v>23</v>
      </c>
      <c r="Q423" s="304">
        <f t="shared" ca="1" si="193"/>
        <v>0</v>
      </c>
      <c r="R423" s="306">
        <f t="shared" ca="1" si="194"/>
        <v>0</v>
      </c>
      <c r="S423" s="307">
        <f t="shared" ca="1" si="195"/>
        <v>2.5949999999999998</v>
      </c>
      <c r="T423" s="304">
        <f t="shared" ca="1" si="175"/>
        <v>25.456949999999999</v>
      </c>
      <c r="U423" s="311">
        <f t="shared" ca="1" si="176"/>
        <v>0</v>
      </c>
      <c r="V423" s="306">
        <f t="shared" ca="1" si="177"/>
        <v>1.2259477084518486</v>
      </c>
      <c r="W423" s="304">
        <f t="shared" ca="1" si="178"/>
        <v>23.547520333670725</v>
      </c>
      <c r="Y423" s="314" t="str">
        <f t="shared" ca="1" si="196"/>
        <v/>
      </c>
      <c r="Z423" s="315" t="str">
        <f t="shared" ca="1" si="197"/>
        <v/>
      </c>
      <c r="AA423" s="316" t="str">
        <f t="shared" ca="1" si="198"/>
        <v/>
      </c>
      <c r="AC423" s="310" t="e">
        <f t="shared" ca="1" si="199"/>
        <v>#N/A</v>
      </c>
      <c r="AD423" s="323" t="e">
        <f t="shared" ca="1" si="200"/>
        <v>#N/A</v>
      </c>
      <c r="AE423" s="324" t="e">
        <f t="shared" ca="1" si="179"/>
        <v>#N/A</v>
      </c>
      <c r="AG423" s="306">
        <f t="shared" ca="1" si="201"/>
        <v>0.71721493920892776</v>
      </c>
      <c r="AH423" s="304">
        <f t="shared" ca="1" si="202"/>
        <v>-9.0741667419624594</v>
      </c>
    </row>
    <row r="424" spans="1:34" x14ac:dyDescent="0.2">
      <c r="A424" s="347">
        <f t="shared" ca="1" si="180"/>
        <v>1E-4</v>
      </c>
      <c r="B424" s="304">
        <f t="shared" ca="1" si="181"/>
        <v>32.503700000000293</v>
      </c>
      <c r="D424" s="306">
        <f t="shared" ca="1" si="182"/>
        <v>-0.5587891883073498</v>
      </c>
      <c r="E424" s="307">
        <f t="shared" ca="1" si="183"/>
        <v>-0.7530325272625582</v>
      </c>
      <c r="F424" s="304">
        <f t="shared" ca="1" si="184"/>
        <v>0.93771175959599773</v>
      </c>
      <c r="G424" s="306">
        <f t="shared" ca="1" si="185"/>
        <v>5.9639815276057142</v>
      </c>
      <c r="H424" s="307">
        <f t="shared" ca="1" si="186"/>
        <v>-96.666392274603822</v>
      </c>
      <c r="I424" s="304">
        <f t="shared" ca="1" si="187"/>
        <v>96.85019602999887</v>
      </c>
      <c r="J424" s="306">
        <f t="shared" ca="1" si="188"/>
        <v>588.9746359926213</v>
      </c>
      <c r="K424" s="307">
        <f t="shared" ca="1" si="189"/>
        <v>-7.7430707271159385</v>
      </c>
      <c r="L424" s="304">
        <f t="shared" ca="1" si="174"/>
        <v>589.02553169359805</v>
      </c>
      <c r="M424" s="306">
        <f t="shared" ca="1" si="190"/>
        <v>-1.5091778945854253</v>
      </c>
      <c r="N424" s="304">
        <f t="shared" ca="1" si="191"/>
        <v>-86.46952389418432</v>
      </c>
      <c r="P424" s="310">
        <f t="shared" ca="1" si="192"/>
        <v>23</v>
      </c>
      <c r="Q424" s="304">
        <f t="shared" ca="1" si="193"/>
        <v>0</v>
      </c>
      <c r="R424" s="306">
        <f t="shared" ca="1" si="194"/>
        <v>0</v>
      </c>
      <c r="S424" s="307">
        <f t="shared" ca="1" si="195"/>
        <v>2.5949999999999998</v>
      </c>
      <c r="T424" s="304">
        <f t="shared" ca="1" si="175"/>
        <v>25.456949999999999</v>
      </c>
      <c r="U424" s="311">
        <f t="shared" ca="1" si="176"/>
        <v>0</v>
      </c>
      <c r="V424" s="306">
        <f t="shared" ca="1" si="177"/>
        <v>1.2259488935315581</v>
      </c>
      <c r="W424" s="304">
        <f t="shared" ca="1" si="178"/>
        <v>23.547577971020132</v>
      </c>
      <c r="Y424" s="314" t="str">
        <f t="shared" ca="1" si="196"/>
        <v/>
      </c>
      <c r="Z424" s="315" t="str">
        <f t="shared" ca="1" si="197"/>
        <v/>
      </c>
      <c r="AA424" s="316" t="str">
        <f t="shared" ca="1" si="198"/>
        <v/>
      </c>
      <c r="AC424" s="310" t="e">
        <f t="shared" ca="1" si="199"/>
        <v>#N/A</v>
      </c>
      <c r="AD424" s="323" t="e">
        <f t="shared" ca="1" si="200"/>
        <v>#N/A</v>
      </c>
      <c r="AE424" s="324" t="e">
        <f t="shared" ca="1" si="179"/>
        <v>#N/A</v>
      </c>
      <c r="AG424" s="306">
        <f t="shared" ca="1" si="201"/>
        <v>0.71719310473844544</v>
      </c>
      <c r="AH424" s="304">
        <f t="shared" ca="1" si="202"/>
        <v>-9.0741889532449811</v>
      </c>
    </row>
    <row r="425" spans="1:34" x14ac:dyDescent="0.2">
      <c r="A425" s="347">
        <f t="shared" ca="1" si="180"/>
        <v>1E-4</v>
      </c>
      <c r="B425" s="304">
        <f t="shared" ca="1" si="181"/>
        <v>32.503800000000297</v>
      </c>
      <c r="D425" s="306">
        <f t="shared" ca="1" si="182"/>
        <v>-0.55878490678468262</v>
      </c>
      <c r="E425" s="307">
        <f t="shared" ca="1" si="183"/>
        <v>-0.75301000994866918</v>
      </c>
      <c r="F425" s="304">
        <f t="shared" ca="1" si="184"/>
        <v>0.93769112565559731</v>
      </c>
      <c r="G425" s="306">
        <f t="shared" ca="1" si="185"/>
        <v>5.9639256491150361</v>
      </c>
      <c r="H425" s="307">
        <f t="shared" ca="1" si="186"/>
        <v>-96.666467575604813</v>
      </c>
      <c r="I425" s="304">
        <f t="shared" ca="1" si="187"/>
        <v>96.850267747144756</v>
      </c>
      <c r="J425" s="306">
        <f t="shared" ca="1" si="188"/>
        <v>588.9746359926213</v>
      </c>
      <c r="K425" s="307">
        <f t="shared" ca="1" si="189"/>
        <v>-7.7527373701084485</v>
      </c>
      <c r="L425" s="304">
        <f t="shared" ca="1" si="174"/>
        <v>589.02565884634487</v>
      </c>
      <c r="M425" s="306">
        <f t="shared" ca="1" si="190"/>
        <v>-1.5091785183259585</v>
      </c>
      <c r="N425" s="304">
        <f t="shared" ca="1" si="191"/>
        <v>-86.469559631884394</v>
      </c>
      <c r="P425" s="310">
        <f t="shared" ca="1" si="192"/>
        <v>23</v>
      </c>
      <c r="Q425" s="304">
        <f t="shared" ca="1" si="193"/>
        <v>0</v>
      </c>
      <c r="R425" s="306">
        <f t="shared" ca="1" si="194"/>
        <v>0</v>
      </c>
      <c r="S425" s="307">
        <f t="shared" ca="1" si="195"/>
        <v>2.5949999999999998</v>
      </c>
      <c r="T425" s="304">
        <f t="shared" ca="1" si="175"/>
        <v>25.456949999999999</v>
      </c>
      <c r="U425" s="311">
        <f t="shared" ca="1" si="176"/>
        <v>0</v>
      </c>
      <c r="V425" s="306">
        <f t="shared" ca="1" si="177"/>
        <v>1.2259500786133368</v>
      </c>
      <c r="W425" s="304">
        <f t="shared" ca="1" si="178"/>
        <v>23.547635607440789</v>
      </c>
      <c r="Y425" s="314" t="str">
        <f t="shared" ca="1" si="196"/>
        <v/>
      </c>
      <c r="Z425" s="315" t="str">
        <f t="shared" ca="1" si="197"/>
        <v/>
      </c>
      <c r="AA425" s="316" t="str">
        <f t="shared" ca="1" si="198"/>
        <v/>
      </c>
      <c r="AC425" s="310" t="e">
        <f t="shared" ca="1" si="199"/>
        <v>#N/A</v>
      </c>
      <c r="AD425" s="323" t="e">
        <f t="shared" ca="1" si="200"/>
        <v>#N/A</v>
      </c>
      <c r="AE425" s="324" t="e">
        <f t="shared" ca="1" si="179"/>
        <v>#N/A</v>
      </c>
      <c r="AG425" s="306">
        <f t="shared" ca="1" si="201"/>
        <v>0.71717127061795694</v>
      </c>
      <c r="AH425" s="304">
        <f t="shared" ca="1" si="202"/>
        <v>-9.0742111641696095</v>
      </c>
    </row>
    <row r="426" spans="1:34" x14ac:dyDescent="0.2">
      <c r="A426" s="347">
        <f t="shared" ca="1" si="180"/>
        <v>1E-4</v>
      </c>
      <c r="B426" s="304">
        <f t="shared" ca="1" si="181"/>
        <v>32.5039000000003</v>
      </c>
      <c r="D426" s="306">
        <f t="shared" ca="1" si="182"/>
        <v>-0.55878062527340067</v>
      </c>
      <c r="E426" s="307">
        <f t="shared" ca="1" si="183"/>
        <v>-0.75298749299760281</v>
      </c>
      <c r="F426" s="304">
        <f t="shared" ca="1" si="184"/>
        <v>0.93767049211956521</v>
      </c>
      <c r="G426" s="306">
        <f t="shared" ca="1" si="185"/>
        <v>5.9638697710525088</v>
      </c>
      <c r="H426" s="307">
        <f t="shared" ca="1" si="186"/>
        <v>-96.666542874354107</v>
      </c>
      <c r="I426" s="304">
        <f t="shared" ca="1" si="187"/>
        <v>96.850339462107272</v>
      </c>
      <c r="J426" s="306">
        <f t="shared" ca="1" si="188"/>
        <v>588.9746359926213</v>
      </c>
      <c r="K426" s="307">
        <f t="shared" ca="1" si="189"/>
        <v>-7.7624040206309468</v>
      </c>
      <c r="L426" s="304">
        <f t="shared" ca="1" si="174"/>
        <v>589.02578615780499</v>
      </c>
      <c r="M426" s="306">
        <f t="shared" ca="1" si="190"/>
        <v>-1.509179142059724</v>
      </c>
      <c r="N426" s="304">
        <f t="shared" ca="1" si="191"/>
        <v>-86.469595369196696</v>
      </c>
      <c r="P426" s="310">
        <f t="shared" ca="1" si="192"/>
        <v>23</v>
      </c>
      <c r="Q426" s="304">
        <f t="shared" ca="1" si="193"/>
        <v>0</v>
      </c>
      <c r="R426" s="306">
        <f t="shared" ca="1" si="194"/>
        <v>0</v>
      </c>
      <c r="S426" s="307">
        <f t="shared" ca="1" si="195"/>
        <v>2.5949999999999998</v>
      </c>
      <c r="T426" s="304">
        <f t="shared" ca="1" si="175"/>
        <v>25.456949999999999</v>
      </c>
      <c r="U426" s="311">
        <f t="shared" ca="1" si="176"/>
        <v>0</v>
      </c>
      <c r="V426" s="306">
        <f t="shared" ca="1" si="177"/>
        <v>1.225951263697185</v>
      </c>
      <c r="W426" s="304">
        <f t="shared" ca="1" si="178"/>
        <v>23.547693242932741</v>
      </c>
      <c r="Y426" s="314" t="str">
        <f t="shared" ca="1" si="196"/>
        <v/>
      </c>
      <c r="Z426" s="315" t="str">
        <f t="shared" ca="1" si="197"/>
        <v/>
      </c>
      <c r="AA426" s="316" t="str">
        <f t="shared" ca="1" si="198"/>
        <v/>
      </c>
      <c r="AC426" s="310" t="e">
        <f t="shared" ca="1" si="199"/>
        <v>#N/A</v>
      </c>
      <c r="AD426" s="323" t="e">
        <f t="shared" ca="1" si="200"/>
        <v>#N/A</v>
      </c>
      <c r="AE426" s="324" t="e">
        <f t="shared" ca="1" si="179"/>
        <v>#N/A</v>
      </c>
      <c r="AG426" s="306">
        <f t="shared" ca="1" si="201"/>
        <v>0.71714943684747645</v>
      </c>
      <c r="AH426" s="304">
        <f t="shared" ca="1" si="202"/>
        <v>-9.0742333747363357</v>
      </c>
    </row>
    <row r="427" spans="1:34" x14ac:dyDescent="0.2">
      <c r="A427" s="347">
        <f t="shared" ca="1" si="180"/>
        <v>1E-4</v>
      </c>
      <c r="B427" s="304">
        <f t="shared" ca="1" si="181"/>
        <v>32.504000000000303</v>
      </c>
      <c r="D427" s="306">
        <f t="shared" ca="1" si="182"/>
        <v>-0.55877634377350416</v>
      </c>
      <c r="E427" s="307">
        <f t="shared" ca="1" si="183"/>
        <v>-0.75296497640933779</v>
      </c>
      <c r="F427" s="304">
        <f t="shared" ca="1" si="184"/>
        <v>0.93764985898788467</v>
      </c>
      <c r="G427" s="306">
        <f t="shared" ca="1" si="185"/>
        <v>5.9638138934181315</v>
      </c>
      <c r="H427" s="307">
        <f t="shared" ca="1" si="186"/>
        <v>-96.666618170851748</v>
      </c>
      <c r="I427" s="304">
        <f t="shared" ca="1" si="187"/>
        <v>96.85041117488646</v>
      </c>
      <c r="J427" s="306">
        <f t="shared" ca="1" si="188"/>
        <v>588.9746359926213</v>
      </c>
      <c r="K427" s="307">
        <f t="shared" ca="1" si="189"/>
        <v>-7.7720706786832068</v>
      </c>
      <c r="L427" s="304">
        <f t="shared" ca="1" si="174"/>
        <v>589.02591362797887</v>
      </c>
      <c r="M427" s="306">
        <f t="shared" ca="1" si="190"/>
        <v>-1.5091797657867219</v>
      </c>
      <c r="N427" s="304">
        <f t="shared" ca="1" si="191"/>
        <v>-86.469631106121241</v>
      </c>
      <c r="P427" s="310">
        <f t="shared" ca="1" si="192"/>
        <v>23</v>
      </c>
      <c r="Q427" s="304">
        <f t="shared" ca="1" si="193"/>
        <v>0</v>
      </c>
      <c r="R427" s="306">
        <f t="shared" ca="1" si="194"/>
        <v>0</v>
      </c>
      <c r="S427" s="307">
        <f t="shared" ca="1" si="195"/>
        <v>2.5949999999999998</v>
      </c>
      <c r="T427" s="304">
        <f t="shared" ca="1" si="175"/>
        <v>25.456949999999999</v>
      </c>
      <c r="U427" s="311">
        <f t="shared" ca="1" si="176"/>
        <v>0</v>
      </c>
      <c r="V427" s="306">
        <f t="shared" ca="1" si="177"/>
        <v>1.2259524487831015</v>
      </c>
      <c r="W427" s="304">
        <f t="shared" ca="1" si="178"/>
        <v>23.547750877495982</v>
      </c>
      <c r="Y427" s="314" t="str">
        <f t="shared" ca="1" si="196"/>
        <v/>
      </c>
      <c r="Z427" s="315" t="str">
        <f t="shared" ca="1" si="197"/>
        <v/>
      </c>
      <c r="AA427" s="316" t="str">
        <f t="shared" ca="1" si="198"/>
        <v/>
      </c>
      <c r="AC427" s="310" t="e">
        <f t="shared" ca="1" si="199"/>
        <v>#N/A</v>
      </c>
      <c r="AD427" s="323" t="e">
        <f t="shared" ca="1" si="200"/>
        <v>#N/A</v>
      </c>
      <c r="AE427" s="324" t="e">
        <f t="shared" ca="1" si="179"/>
        <v>#N/A</v>
      </c>
      <c r="AG427" s="306">
        <f t="shared" ca="1" si="201"/>
        <v>0.71712760342697557</v>
      </c>
      <c r="AH427" s="304">
        <f t="shared" ca="1" si="202"/>
        <v>-9.0742555849451811</v>
      </c>
    </row>
    <row r="428" spans="1:34" x14ac:dyDescent="0.2">
      <c r="A428" s="347">
        <f t="shared" ca="1" si="180"/>
        <v>1E-4</v>
      </c>
      <c r="B428" s="304">
        <f t="shared" ca="1" si="181"/>
        <v>32.504100000000307</v>
      </c>
      <c r="D428" s="306">
        <f t="shared" ca="1" si="182"/>
        <v>-0.5587720622849941</v>
      </c>
      <c r="E428" s="307">
        <f t="shared" ca="1" si="183"/>
        <v>-0.75294246018387767</v>
      </c>
      <c r="F428" s="304">
        <f t="shared" ca="1" si="184"/>
        <v>0.93762922626055956</v>
      </c>
      <c r="G428" s="306">
        <f t="shared" ca="1" si="185"/>
        <v>5.9637580162119033</v>
      </c>
      <c r="H428" s="307">
        <f t="shared" ca="1" si="186"/>
        <v>-96.666693465097765</v>
      </c>
      <c r="I428" s="304">
        <f t="shared" ca="1" si="187"/>
        <v>96.850482885482336</v>
      </c>
      <c r="J428" s="306">
        <f t="shared" ca="1" si="188"/>
        <v>588.9746359926213</v>
      </c>
      <c r="K428" s="307">
        <f t="shared" ca="1" si="189"/>
        <v>-7.7817373442650046</v>
      </c>
      <c r="L428" s="304">
        <f t="shared" ca="1" si="174"/>
        <v>589.02604125686651</v>
      </c>
      <c r="M428" s="306">
        <f t="shared" ca="1" si="190"/>
        <v>-1.5091803895069522</v>
      </c>
      <c r="N428" s="304">
        <f t="shared" ca="1" si="191"/>
        <v>-86.469666842658029</v>
      </c>
      <c r="P428" s="310">
        <f t="shared" ca="1" si="192"/>
        <v>23</v>
      </c>
      <c r="Q428" s="304">
        <f t="shared" ca="1" si="193"/>
        <v>0</v>
      </c>
      <c r="R428" s="306">
        <f t="shared" ca="1" si="194"/>
        <v>0</v>
      </c>
      <c r="S428" s="307">
        <f t="shared" ca="1" si="195"/>
        <v>2.5949999999999998</v>
      </c>
      <c r="T428" s="304">
        <f t="shared" ca="1" si="175"/>
        <v>25.456949999999999</v>
      </c>
      <c r="U428" s="311">
        <f t="shared" ca="1" si="176"/>
        <v>0</v>
      </c>
      <c r="V428" s="306">
        <f t="shared" ca="1" si="177"/>
        <v>1.2259536338710881</v>
      </c>
      <c r="W428" s="304">
        <f t="shared" ca="1" si="178"/>
        <v>23.54780851113054</v>
      </c>
      <c r="Y428" s="314" t="str">
        <f t="shared" ca="1" si="196"/>
        <v/>
      </c>
      <c r="Z428" s="315" t="str">
        <f t="shared" ca="1" si="197"/>
        <v/>
      </c>
      <c r="AA428" s="316" t="str">
        <f t="shared" ca="1" si="198"/>
        <v/>
      </c>
      <c r="AC428" s="310" t="e">
        <f t="shared" ca="1" si="199"/>
        <v>#N/A</v>
      </c>
      <c r="AD428" s="323" t="e">
        <f t="shared" ca="1" si="200"/>
        <v>#N/A</v>
      </c>
      <c r="AE428" s="324" t="e">
        <f t="shared" ca="1" si="179"/>
        <v>#N/A</v>
      </c>
      <c r="AG428" s="306">
        <f t="shared" ca="1" si="201"/>
        <v>0.71710577035646672</v>
      </c>
      <c r="AH428" s="304">
        <f t="shared" ca="1" si="202"/>
        <v>-9.0742777947961404</v>
      </c>
    </row>
    <row r="429" spans="1:34" x14ac:dyDescent="0.2">
      <c r="A429" s="347">
        <f t="shared" ca="1" si="180"/>
        <v>1E-4</v>
      </c>
      <c r="B429" s="304">
        <f t="shared" ca="1" si="181"/>
        <v>32.50420000000031</v>
      </c>
      <c r="D429" s="306">
        <f t="shared" ca="1" si="182"/>
        <v>-0.55876778080787015</v>
      </c>
      <c r="E429" s="307">
        <f t="shared" ca="1" si="183"/>
        <v>-0.75291994432121179</v>
      </c>
      <c r="F429" s="304">
        <f t="shared" ca="1" si="184"/>
        <v>0.93760859393758145</v>
      </c>
      <c r="G429" s="306">
        <f t="shared" ca="1" si="185"/>
        <v>5.9637021394338223</v>
      </c>
      <c r="H429" s="307">
        <f t="shared" ca="1" si="186"/>
        <v>-96.6667687570922</v>
      </c>
      <c r="I429" s="304">
        <f t="shared" ca="1" si="187"/>
        <v>96.850554593894941</v>
      </c>
      <c r="J429" s="306">
        <f t="shared" ca="1" si="188"/>
        <v>588.9746359926213</v>
      </c>
      <c r="K429" s="307">
        <f t="shared" ca="1" si="189"/>
        <v>-7.7914040173761139</v>
      </c>
      <c r="L429" s="304">
        <f t="shared" ca="1" si="174"/>
        <v>589.02616904446847</v>
      </c>
      <c r="M429" s="306">
        <f t="shared" ca="1" si="190"/>
        <v>-1.5091810132204151</v>
      </c>
      <c r="N429" s="304">
        <f t="shared" ca="1" si="191"/>
        <v>-86.469702578807087</v>
      </c>
      <c r="P429" s="310">
        <f t="shared" ca="1" si="192"/>
        <v>23</v>
      </c>
      <c r="Q429" s="304">
        <f t="shared" ca="1" si="193"/>
        <v>0</v>
      </c>
      <c r="R429" s="306">
        <f t="shared" ca="1" si="194"/>
        <v>0</v>
      </c>
      <c r="S429" s="307">
        <f t="shared" ca="1" si="195"/>
        <v>2.5949999999999998</v>
      </c>
      <c r="T429" s="304">
        <f t="shared" ca="1" si="175"/>
        <v>25.456949999999999</v>
      </c>
      <c r="U429" s="311">
        <f t="shared" ca="1" si="176"/>
        <v>0</v>
      </c>
      <c r="V429" s="306">
        <f t="shared" ca="1" si="177"/>
        <v>1.2259548189611429</v>
      </c>
      <c r="W429" s="304">
        <f t="shared" ca="1" si="178"/>
        <v>23.547866143836391</v>
      </c>
      <c r="Y429" s="314" t="str">
        <f t="shared" ca="1" si="196"/>
        <v/>
      </c>
      <c r="Z429" s="315" t="str">
        <f t="shared" ca="1" si="197"/>
        <v/>
      </c>
      <c r="AA429" s="316" t="str">
        <f t="shared" ca="1" si="198"/>
        <v/>
      </c>
      <c r="AC429" s="310" t="e">
        <f t="shared" ca="1" si="199"/>
        <v>#N/A</v>
      </c>
      <c r="AD429" s="323" t="e">
        <f t="shared" ca="1" si="200"/>
        <v>#N/A</v>
      </c>
      <c r="AE429" s="324" t="e">
        <f t="shared" ca="1" si="179"/>
        <v>#N/A</v>
      </c>
      <c r="AG429" s="306">
        <f t="shared" ca="1" si="201"/>
        <v>0.71708393763593214</v>
      </c>
      <c r="AH429" s="304">
        <f t="shared" ca="1" si="202"/>
        <v>-9.0743000042892259</v>
      </c>
    </row>
    <row r="430" spans="1:34" x14ac:dyDescent="0.2">
      <c r="A430" s="347">
        <f t="shared" ca="1" si="180"/>
        <v>1E-4</v>
      </c>
      <c r="B430" s="304">
        <f t="shared" ca="1" si="181"/>
        <v>32.504300000000313</v>
      </c>
      <c r="D430" s="306">
        <f t="shared" ca="1" si="182"/>
        <v>-0.5587634993421331</v>
      </c>
      <c r="E430" s="307">
        <f t="shared" ca="1" si="183"/>
        <v>-0.75289742882134902</v>
      </c>
      <c r="F430" s="304">
        <f t="shared" ca="1" si="184"/>
        <v>0.93758796201895866</v>
      </c>
      <c r="G430" s="306">
        <f t="shared" ca="1" si="185"/>
        <v>5.9636462630838878</v>
      </c>
      <c r="H430" s="307">
        <f t="shared" ca="1" si="186"/>
        <v>-96.666844046835081</v>
      </c>
      <c r="I430" s="304">
        <f t="shared" ca="1" si="187"/>
        <v>96.850626300124304</v>
      </c>
      <c r="J430" s="306">
        <f t="shared" ca="1" si="188"/>
        <v>588.9746359926213</v>
      </c>
      <c r="K430" s="307">
        <f t="shared" ca="1" si="189"/>
        <v>-7.8010706980163098</v>
      </c>
      <c r="L430" s="304">
        <f t="shared" ca="1" si="174"/>
        <v>589.02629699078477</v>
      </c>
      <c r="M430" s="306">
        <f t="shared" ca="1" si="190"/>
        <v>-1.5091816369271105</v>
      </c>
      <c r="N430" s="304">
        <f t="shared" ca="1" si="191"/>
        <v>-86.469738314568389</v>
      </c>
      <c r="P430" s="310">
        <f t="shared" ca="1" si="192"/>
        <v>23</v>
      </c>
      <c r="Q430" s="304">
        <f t="shared" ca="1" si="193"/>
        <v>0</v>
      </c>
      <c r="R430" s="306">
        <f t="shared" ca="1" si="194"/>
        <v>0</v>
      </c>
      <c r="S430" s="307">
        <f t="shared" ca="1" si="195"/>
        <v>2.5949999999999998</v>
      </c>
      <c r="T430" s="304">
        <f t="shared" ca="1" si="175"/>
        <v>25.456949999999999</v>
      </c>
      <c r="U430" s="311">
        <f t="shared" ca="1" si="176"/>
        <v>0</v>
      </c>
      <c r="V430" s="306">
        <f t="shared" ca="1" si="177"/>
        <v>1.2259560040532675</v>
      </c>
      <c r="W430" s="304">
        <f t="shared" ca="1" si="178"/>
        <v>23.54792377561358</v>
      </c>
      <c r="Y430" s="314" t="str">
        <f t="shared" ca="1" si="196"/>
        <v/>
      </c>
      <c r="Z430" s="315" t="str">
        <f t="shared" ca="1" si="197"/>
        <v/>
      </c>
      <c r="AA430" s="316" t="str">
        <f t="shared" ca="1" si="198"/>
        <v/>
      </c>
      <c r="AC430" s="310" t="e">
        <f t="shared" ca="1" si="199"/>
        <v>#N/A</v>
      </c>
      <c r="AD430" s="323" t="e">
        <f t="shared" ca="1" si="200"/>
        <v>#N/A</v>
      </c>
      <c r="AE430" s="324" t="e">
        <f t="shared" ca="1" si="179"/>
        <v>#N/A</v>
      </c>
      <c r="AG430" s="306">
        <f t="shared" ca="1" si="201"/>
        <v>0.71706210526538428</v>
      </c>
      <c r="AH430" s="304">
        <f t="shared" ca="1" si="202"/>
        <v>-9.0743222134244288</v>
      </c>
    </row>
    <row r="431" spans="1:34" x14ac:dyDescent="0.2">
      <c r="A431" s="347">
        <f t="shared" ca="1" si="180"/>
        <v>1E-4</v>
      </c>
      <c r="B431" s="304">
        <f t="shared" ca="1" si="181"/>
        <v>32.504400000000317</v>
      </c>
      <c r="D431" s="306">
        <f t="shared" ca="1" si="182"/>
        <v>-0.55875921788778482</v>
      </c>
      <c r="E431" s="307">
        <f t="shared" ca="1" si="183"/>
        <v>-0.75287491368426984</v>
      </c>
      <c r="F431" s="304">
        <f t="shared" ca="1" si="184"/>
        <v>0.93756733050467678</v>
      </c>
      <c r="G431" s="306">
        <f t="shared" ca="1" si="185"/>
        <v>5.9635903871620988</v>
      </c>
      <c r="H431" s="307">
        <f t="shared" ca="1" si="186"/>
        <v>-96.666919334326451</v>
      </c>
      <c r="I431" s="304">
        <f t="shared" ca="1" si="187"/>
        <v>96.850698004170468</v>
      </c>
      <c r="J431" s="306">
        <f t="shared" ca="1" si="188"/>
        <v>588.9746359926213</v>
      </c>
      <c r="K431" s="307">
        <f t="shared" ca="1" si="189"/>
        <v>-7.8107373861853677</v>
      </c>
      <c r="L431" s="304">
        <f t="shared" ca="1" si="174"/>
        <v>589.02642509581574</v>
      </c>
      <c r="M431" s="306">
        <f t="shared" ca="1" si="190"/>
        <v>-1.5091822606270384</v>
      </c>
      <c r="N431" s="304">
        <f t="shared" ca="1" si="191"/>
        <v>-86.469774049941933</v>
      </c>
      <c r="P431" s="310">
        <f t="shared" ca="1" si="192"/>
        <v>23</v>
      </c>
      <c r="Q431" s="304">
        <f t="shared" ca="1" si="193"/>
        <v>0</v>
      </c>
      <c r="R431" s="306">
        <f t="shared" ca="1" si="194"/>
        <v>0</v>
      </c>
      <c r="S431" s="307">
        <f t="shared" ca="1" si="195"/>
        <v>2.5949999999999998</v>
      </c>
      <c r="T431" s="304">
        <f t="shared" ca="1" si="175"/>
        <v>25.456949999999999</v>
      </c>
      <c r="U431" s="311">
        <f t="shared" ca="1" si="176"/>
        <v>0</v>
      </c>
      <c r="V431" s="306">
        <f t="shared" ca="1" si="177"/>
        <v>1.2259571891474608</v>
      </c>
      <c r="W431" s="304">
        <f t="shared" ca="1" si="178"/>
        <v>23.547981406462096</v>
      </c>
      <c r="Y431" s="314" t="str">
        <f t="shared" ca="1" si="196"/>
        <v/>
      </c>
      <c r="Z431" s="315" t="str">
        <f t="shared" ca="1" si="197"/>
        <v/>
      </c>
      <c r="AA431" s="316" t="str">
        <f t="shared" ca="1" si="198"/>
        <v/>
      </c>
      <c r="AC431" s="310" t="e">
        <f t="shared" ca="1" si="199"/>
        <v>#N/A</v>
      </c>
      <c r="AD431" s="323" t="e">
        <f t="shared" ca="1" si="200"/>
        <v>#N/A</v>
      </c>
      <c r="AE431" s="324" t="e">
        <f t="shared" ca="1" si="179"/>
        <v>#N/A</v>
      </c>
      <c r="AG431" s="306">
        <f t="shared" ca="1" si="201"/>
        <v>0.71704027324480535</v>
      </c>
      <c r="AH431" s="304">
        <f t="shared" ca="1" si="202"/>
        <v>-9.0743444222017651</v>
      </c>
    </row>
    <row r="432" spans="1:34" x14ac:dyDescent="0.2">
      <c r="A432" s="347">
        <f t="shared" ca="1" si="180"/>
        <v>1E-4</v>
      </c>
      <c r="B432" s="304">
        <f t="shared" ca="1" si="181"/>
        <v>32.50450000000032</v>
      </c>
      <c r="D432" s="306">
        <f t="shared" ca="1" si="182"/>
        <v>-0.55875493644482654</v>
      </c>
      <c r="E432" s="307">
        <f t="shared" ca="1" si="183"/>
        <v>-0.75285239890998135</v>
      </c>
      <c r="F432" s="304">
        <f t="shared" ca="1" si="184"/>
        <v>0.93754669939474256</v>
      </c>
      <c r="G432" s="306">
        <f t="shared" ca="1" si="185"/>
        <v>5.9635345116684544</v>
      </c>
      <c r="H432" s="307">
        <f t="shared" ca="1" si="186"/>
        <v>-96.666994619566339</v>
      </c>
      <c r="I432" s="304">
        <f t="shared" ca="1" si="187"/>
        <v>96.850769706033461</v>
      </c>
      <c r="J432" s="306">
        <f t="shared" ca="1" si="188"/>
        <v>588.9746359926213</v>
      </c>
      <c r="K432" s="307">
        <f t="shared" ca="1" si="189"/>
        <v>-7.820404081883062</v>
      </c>
      <c r="L432" s="304">
        <f t="shared" ca="1" si="174"/>
        <v>589.02655335956172</v>
      </c>
      <c r="M432" s="306">
        <f t="shared" ca="1" si="190"/>
        <v>-1.5091828843201993</v>
      </c>
      <c r="N432" s="304">
        <f t="shared" ca="1" si="191"/>
        <v>-86.469809784927762</v>
      </c>
      <c r="P432" s="310">
        <f t="shared" ca="1" si="192"/>
        <v>23</v>
      </c>
      <c r="Q432" s="304">
        <f t="shared" ca="1" si="193"/>
        <v>0</v>
      </c>
      <c r="R432" s="306">
        <f t="shared" ca="1" si="194"/>
        <v>0</v>
      </c>
      <c r="S432" s="307">
        <f t="shared" ca="1" si="195"/>
        <v>2.5949999999999998</v>
      </c>
      <c r="T432" s="304">
        <f t="shared" ca="1" si="175"/>
        <v>25.456949999999999</v>
      </c>
      <c r="U432" s="311">
        <f t="shared" ca="1" si="176"/>
        <v>0</v>
      </c>
      <c r="V432" s="306">
        <f t="shared" ca="1" si="177"/>
        <v>1.225958374243723</v>
      </c>
      <c r="W432" s="304">
        <f t="shared" ca="1" si="178"/>
        <v>23.548039036381965</v>
      </c>
      <c r="Y432" s="314" t="str">
        <f t="shared" ca="1" si="196"/>
        <v/>
      </c>
      <c r="Z432" s="315" t="str">
        <f t="shared" ca="1" si="197"/>
        <v/>
      </c>
      <c r="AA432" s="316" t="str">
        <f t="shared" ca="1" si="198"/>
        <v/>
      </c>
      <c r="AC432" s="310" t="e">
        <f t="shared" ca="1" si="199"/>
        <v>#N/A</v>
      </c>
      <c r="AD432" s="323" t="e">
        <f t="shared" ca="1" si="200"/>
        <v>#N/A</v>
      </c>
      <c r="AE432" s="324" t="e">
        <f t="shared" ca="1" si="179"/>
        <v>#N/A</v>
      </c>
      <c r="AG432" s="306">
        <f t="shared" ca="1" si="201"/>
        <v>0.71701844157419714</v>
      </c>
      <c r="AH432" s="304">
        <f t="shared" ca="1" si="202"/>
        <v>-9.0743666306212329</v>
      </c>
    </row>
    <row r="433" spans="1:34" x14ac:dyDescent="0.2">
      <c r="A433" s="347">
        <f t="shared" ca="1" si="180"/>
        <v>1E-4</v>
      </c>
      <c r="B433" s="304">
        <f t="shared" ca="1" si="181"/>
        <v>32.504600000000323</v>
      </c>
      <c r="D433" s="306">
        <f t="shared" ca="1" si="182"/>
        <v>-0.55875065501325583</v>
      </c>
      <c r="E433" s="307">
        <f t="shared" ca="1" si="183"/>
        <v>-0.75282988449847288</v>
      </c>
      <c r="F433" s="304">
        <f t="shared" ca="1" si="184"/>
        <v>0.93752606868914656</v>
      </c>
      <c r="G433" s="306">
        <f t="shared" ca="1" si="185"/>
        <v>5.9634786366029529</v>
      </c>
      <c r="H433" s="307">
        <f t="shared" ca="1" si="186"/>
        <v>-96.667069902554786</v>
      </c>
      <c r="I433" s="304">
        <f t="shared" ca="1" si="187"/>
        <v>96.850841405713325</v>
      </c>
      <c r="J433" s="306">
        <f t="shared" ca="1" si="188"/>
        <v>588.9746359926213</v>
      </c>
      <c r="K433" s="307">
        <f t="shared" ca="1" si="189"/>
        <v>-7.830070785109168</v>
      </c>
      <c r="L433" s="304">
        <f t="shared" ca="1" si="174"/>
        <v>589.02668178202293</v>
      </c>
      <c r="M433" s="306">
        <f t="shared" ca="1" si="190"/>
        <v>-1.5091835080065932</v>
      </c>
      <c r="N433" s="304">
        <f t="shared" ca="1" si="191"/>
        <v>-86.469845519525876</v>
      </c>
      <c r="P433" s="310">
        <f t="shared" ca="1" si="192"/>
        <v>23</v>
      </c>
      <c r="Q433" s="304">
        <f t="shared" ca="1" si="193"/>
        <v>0</v>
      </c>
      <c r="R433" s="306">
        <f t="shared" ca="1" si="194"/>
        <v>0</v>
      </c>
      <c r="S433" s="307">
        <f t="shared" ca="1" si="195"/>
        <v>2.5949999999999998</v>
      </c>
      <c r="T433" s="304">
        <f t="shared" ca="1" si="175"/>
        <v>25.456949999999999</v>
      </c>
      <c r="U433" s="311">
        <f t="shared" ca="1" si="176"/>
        <v>0</v>
      </c>
      <c r="V433" s="306">
        <f t="shared" ca="1" si="177"/>
        <v>1.2259595593420545</v>
      </c>
      <c r="W433" s="304">
        <f t="shared" ca="1" si="178"/>
        <v>23.548096665373198</v>
      </c>
      <c r="Y433" s="314" t="str">
        <f t="shared" ca="1" si="196"/>
        <v/>
      </c>
      <c r="Z433" s="315" t="str">
        <f t="shared" ca="1" si="197"/>
        <v/>
      </c>
      <c r="AA433" s="316" t="str">
        <f t="shared" ca="1" si="198"/>
        <v/>
      </c>
      <c r="AC433" s="310" t="e">
        <f t="shared" ca="1" si="199"/>
        <v>#N/A</v>
      </c>
      <c r="AD433" s="323" t="e">
        <f t="shared" ca="1" si="200"/>
        <v>#N/A</v>
      </c>
      <c r="AE433" s="324" t="e">
        <f t="shared" ca="1" si="179"/>
        <v>#N/A</v>
      </c>
      <c r="AG433" s="306">
        <f t="shared" ca="1" si="201"/>
        <v>0.7169966102535561</v>
      </c>
      <c r="AH433" s="304">
        <f t="shared" ca="1" si="202"/>
        <v>-9.0743888386828395</v>
      </c>
    </row>
    <row r="434" spans="1:34" x14ac:dyDescent="0.2">
      <c r="A434" s="347">
        <f t="shared" ca="1" si="180"/>
        <v>1E-4</v>
      </c>
      <c r="B434" s="304">
        <f t="shared" ca="1" si="181"/>
        <v>32.504700000000327</v>
      </c>
      <c r="D434" s="306">
        <f t="shared" ca="1" si="182"/>
        <v>-0.55874637359307389</v>
      </c>
      <c r="E434" s="307">
        <f t="shared" ca="1" si="183"/>
        <v>-0.75280737044974089</v>
      </c>
      <c r="F434" s="304">
        <f t="shared" ca="1" si="184"/>
        <v>0.93750543838788702</v>
      </c>
      <c r="G434" s="306">
        <f t="shared" ca="1" si="185"/>
        <v>5.9634227619655933</v>
      </c>
      <c r="H434" s="307">
        <f t="shared" ca="1" si="186"/>
        <v>-96.667145183291836</v>
      </c>
      <c r="I434" s="304">
        <f t="shared" ca="1" si="187"/>
        <v>96.850913103210075</v>
      </c>
      <c r="J434" s="306">
        <f t="shared" ca="1" si="188"/>
        <v>588.9746359926213</v>
      </c>
      <c r="K434" s="307">
        <f t="shared" ca="1" si="189"/>
        <v>-7.83973749586346</v>
      </c>
      <c r="L434" s="304">
        <f t="shared" ca="1" si="174"/>
        <v>589.02681036319962</v>
      </c>
      <c r="M434" s="306">
        <f t="shared" ca="1" si="190"/>
        <v>-1.50918413168622</v>
      </c>
      <c r="N434" s="304">
        <f t="shared" ca="1" si="191"/>
        <v>-86.469881253736261</v>
      </c>
      <c r="P434" s="310">
        <f t="shared" ca="1" si="192"/>
        <v>23</v>
      </c>
      <c r="Q434" s="304">
        <f t="shared" ca="1" si="193"/>
        <v>0</v>
      </c>
      <c r="R434" s="306">
        <f t="shared" ca="1" si="194"/>
        <v>0</v>
      </c>
      <c r="S434" s="307">
        <f t="shared" ca="1" si="195"/>
        <v>2.5949999999999998</v>
      </c>
      <c r="T434" s="304">
        <f t="shared" ca="1" si="175"/>
        <v>25.456949999999999</v>
      </c>
      <c r="U434" s="311">
        <f t="shared" ca="1" si="176"/>
        <v>0</v>
      </c>
      <c r="V434" s="306">
        <f t="shared" ca="1" si="177"/>
        <v>1.2259607444424545</v>
      </c>
      <c r="W434" s="304">
        <f t="shared" ca="1" si="178"/>
        <v>23.548154293435786</v>
      </c>
      <c r="Y434" s="314" t="str">
        <f t="shared" ca="1" si="196"/>
        <v/>
      </c>
      <c r="Z434" s="315" t="str">
        <f t="shared" ca="1" si="197"/>
        <v/>
      </c>
      <c r="AA434" s="316" t="str">
        <f t="shared" ca="1" si="198"/>
        <v/>
      </c>
      <c r="AC434" s="310" t="e">
        <f t="shared" ca="1" si="199"/>
        <v>#N/A</v>
      </c>
      <c r="AD434" s="323" t="e">
        <f t="shared" ca="1" si="200"/>
        <v>#N/A</v>
      </c>
      <c r="AE434" s="324" t="e">
        <f t="shared" ca="1" si="179"/>
        <v>#N/A</v>
      </c>
      <c r="AG434" s="306">
        <f t="shared" ca="1" si="201"/>
        <v>0.71697477928287334</v>
      </c>
      <c r="AH434" s="304">
        <f t="shared" ca="1" si="202"/>
        <v>-9.0744110463865901</v>
      </c>
    </row>
    <row r="435" spans="1:34" x14ac:dyDescent="0.2">
      <c r="A435" s="347">
        <f t="shared" ca="1" si="180"/>
        <v>1E-4</v>
      </c>
      <c r="B435" s="304">
        <f t="shared" ca="1" si="181"/>
        <v>32.50480000000033</v>
      </c>
      <c r="D435" s="306">
        <f t="shared" ca="1" si="182"/>
        <v>-0.55874209218428184</v>
      </c>
      <c r="E435" s="307">
        <f t="shared" ca="1" si="183"/>
        <v>-0.75278485676378537</v>
      </c>
      <c r="F435" s="304">
        <f t="shared" ca="1" si="184"/>
        <v>0.93748480849096505</v>
      </c>
      <c r="G435" s="306">
        <f t="shared" ca="1" si="185"/>
        <v>5.9633668877563748</v>
      </c>
      <c r="H435" s="307">
        <f t="shared" ca="1" si="186"/>
        <v>-96.667220461777518</v>
      </c>
      <c r="I435" s="304">
        <f t="shared" ca="1" si="187"/>
        <v>96.850984798523797</v>
      </c>
      <c r="J435" s="306">
        <f t="shared" ca="1" si="188"/>
        <v>588.9746359926213</v>
      </c>
      <c r="K435" s="307">
        <f t="shared" ca="1" si="189"/>
        <v>-7.8494042141457134</v>
      </c>
      <c r="L435" s="304">
        <f t="shared" ca="1" si="174"/>
        <v>589.0269391030921</v>
      </c>
      <c r="M435" s="306">
        <f t="shared" ca="1" si="190"/>
        <v>-1.5091847553590798</v>
      </c>
      <c r="N435" s="304">
        <f t="shared" ca="1" si="191"/>
        <v>-86.469916987558918</v>
      </c>
      <c r="P435" s="310">
        <f t="shared" ca="1" si="192"/>
        <v>23</v>
      </c>
      <c r="Q435" s="304">
        <f t="shared" ca="1" si="193"/>
        <v>0</v>
      </c>
      <c r="R435" s="306">
        <f t="shared" ca="1" si="194"/>
        <v>0</v>
      </c>
      <c r="S435" s="307">
        <f t="shared" ca="1" si="195"/>
        <v>2.5949999999999998</v>
      </c>
      <c r="T435" s="304">
        <f t="shared" ca="1" si="175"/>
        <v>25.456949999999999</v>
      </c>
      <c r="U435" s="311">
        <f t="shared" ca="1" si="176"/>
        <v>0</v>
      </c>
      <c r="V435" s="306">
        <f t="shared" ca="1" si="177"/>
        <v>1.2259619295449242</v>
      </c>
      <c r="W435" s="304">
        <f t="shared" ca="1" si="178"/>
        <v>23.548211920569784</v>
      </c>
      <c r="Y435" s="314" t="str">
        <f t="shared" ca="1" si="196"/>
        <v/>
      </c>
      <c r="Z435" s="315" t="str">
        <f t="shared" ca="1" si="197"/>
        <v/>
      </c>
      <c r="AA435" s="316" t="str">
        <f t="shared" ca="1" si="198"/>
        <v/>
      </c>
      <c r="AC435" s="310" t="e">
        <f t="shared" ca="1" si="199"/>
        <v>#N/A</v>
      </c>
      <c r="AD435" s="323" t="e">
        <f t="shared" ca="1" si="200"/>
        <v>#N/A</v>
      </c>
      <c r="AE435" s="324" t="e">
        <f t="shared" ca="1" si="179"/>
        <v>#N/A</v>
      </c>
      <c r="AG435" s="306">
        <f t="shared" ca="1" si="201"/>
        <v>0.7169529486621542</v>
      </c>
      <c r="AH435" s="304">
        <f t="shared" ca="1" si="202"/>
        <v>-9.0744332537324812</v>
      </c>
    </row>
    <row r="436" spans="1:34" x14ac:dyDescent="0.2">
      <c r="A436" s="347">
        <f t="shared" ca="1" si="180"/>
        <v>1E-4</v>
      </c>
      <c r="B436" s="304">
        <f t="shared" ca="1" si="181"/>
        <v>32.504900000000333</v>
      </c>
      <c r="D436" s="306">
        <f t="shared" ca="1" si="182"/>
        <v>-0.55873781078688201</v>
      </c>
      <c r="E436" s="307">
        <f t="shared" ca="1" si="183"/>
        <v>-0.75276234344059034</v>
      </c>
      <c r="F436" s="304">
        <f t="shared" ca="1" si="184"/>
        <v>0.93746417899836942</v>
      </c>
      <c r="G436" s="306">
        <f t="shared" ca="1" si="185"/>
        <v>5.9633110139752965</v>
      </c>
      <c r="H436" s="307">
        <f t="shared" ca="1" si="186"/>
        <v>-96.667295738011859</v>
      </c>
      <c r="I436" s="304">
        <f t="shared" ca="1" si="187"/>
        <v>96.851056491654461</v>
      </c>
      <c r="J436" s="306">
        <f t="shared" ca="1" si="188"/>
        <v>588.9746359926213</v>
      </c>
      <c r="K436" s="307">
        <f t="shared" ca="1" si="189"/>
        <v>-7.8590709399557026</v>
      </c>
      <c r="L436" s="304">
        <f t="shared" ca="1" si="174"/>
        <v>589.02706800170063</v>
      </c>
      <c r="M436" s="306">
        <f t="shared" ca="1" si="190"/>
        <v>-1.5091853790251728</v>
      </c>
      <c r="N436" s="304">
        <f t="shared" ca="1" si="191"/>
        <v>-86.469952720993874</v>
      </c>
      <c r="P436" s="310">
        <f t="shared" ca="1" si="192"/>
        <v>23</v>
      </c>
      <c r="Q436" s="304">
        <f t="shared" ca="1" si="193"/>
        <v>0</v>
      </c>
      <c r="R436" s="306">
        <f t="shared" ca="1" si="194"/>
        <v>0</v>
      </c>
      <c r="S436" s="307">
        <f t="shared" ca="1" si="195"/>
        <v>2.5949999999999998</v>
      </c>
      <c r="T436" s="304">
        <f t="shared" ca="1" si="175"/>
        <v>25.456949999999999</v>
      </c>
      <c r="U436" s="311">
        <f t="shared" ca="1" si="176"/>
        <v>0</v>
      </c>
      <c r="V436" s="306">
        <f t="shared" ca="1" si="177"/>
        <v>1.2259631146494623</v>
      </c>
      <c r="W436" s="304">
        <f t="shared" ca="1" si="178"/>
        <v>23.548269546775156</v>
      </c>
      <c r="Y436" s="314" t="str">
        <f t="shared" ca="1" si="196"/>
        <v/>
      </c>
      <c r="Z436" s="315" t="str">
        <f t="shared" ca="1" si="197"/>
        <v/>
      </c>
      <c r="AA436" s="316" t="str">
        <f t="shared" ca="1" si="198"/>
        <v/>
      </c>
      <c r="AC436" s="310" t="e">
        <f t="shared" ca="1" si="199"/>
        <v>#N/A</v>
      </c>
      <c r="AD436" s="323" t="e">
        <f t="shared" ca="1" si="200"/>
        <v>#N/A</v>
      </c>
      <c r="AE436" s="324" t="e">
        <f t="shared" ca="1" si="179"/>
        <v>#N/A</v>
      </c>
      <c r="AG436" s="306">
        <f t="shared" ca="1" si="201"/>
        <v>0.71693111839137558</v>
      </c>
      <c r="AH436" s="304">
        <f t="shared" ca="1" si="202"/>
        <v>-9.0744554607205341</v>
      </c>
    </row>
    <row r="437" spans="1:34" x14ac:dyDescent="0.2">
      <c r="A437" s="347">
        <f t="shared" ca="1" si="180"/>
        <v>1E-4</v>
      </c>
      <c r="B437" s="304">
        <f t="shared" ca="1" si="181"/>
        <v>32.505000000000337</v>
      </c>
      <c r="D437" s="306">
        <f t="shared" ca="1" si="182"/>
        <v>-0.55873352940087273</v>
      </c>
      <c r="E437" s="307">
        <f t="shared" ca="1" si="183"/>
        <v>-0.75273983048016468</v>
      </c>
      <c r="F437" s="304">
        <f t="shared" ca="1" si="184"/>
        <v>0.93744354991010681</v>
      </c>
      <c r="G437" s="306">
        <f t="shared" ca="1" si="185"/>
        <v>5.9632551406223566</v>
      </c>
      <c r="H437" s="307">
        <f t="shared" ca="1" si="186"/>
        <v>-96.667371011994902</v>
      </c>
      <c r="I437" s="304">
        <f t="shared" ca="1" si="187"/>
        <v>96.851128182602139</v>
      </c>
      <c r="J437" s="306">
        <f t="shared" ca="1" si="188"/>
        <v>588.9746359926213</v>
      </c>
      <c r="K437" s="307">
        <f t="shared" ca="1" si="189"/>
        <v>-7.8687376732932028</v>
      </c>
      <c r="L437" s="304">
        <f t="shared" ca="1" si="174"/>
        <v>589.0271970590253</v>
      </c>
      <c r="M437" s="306">
        <f t="shared" ca="1" si="190"/>
        <v>-1.509186002684499</v>
      </c>
      <c r="N437" s="304">
        <f t="shared" ca="1" si="191"/>
        <v>-86.469988454041115</v>
      </c>
      <c r="P437" s="310">
        <f t="shared" ca="1" si="192"/>
        <v>23</v>
      </c>
      <c r="Q437" s="304">
        <f t="shared" ca="1" si="193"/>
        <v>0</v>
      </c>
      <c r="R437" s="306">
        <f t="shared" ca="1" si="194"/>
        <v>0</v>
      </c>
      <c r="S437" s="307">
        <f t="shared" ca="1" si="195"/>
        <v>2.5949999999999998</v>
      </c>
      <c r="T437" s="304">
        <f t="shared" ca="1" si="175"/>
        <v>25.456949999999999</v>
      </c>
      <c r="U437" s="311">
        <f t="shared" ca="1" si="176"/>
        <v>0</v>
      </c>
      <c r="V437" s="306">
        <f t="shared" ca="1" si="177"/>
        <v>1.2259642997560694</v>
      </c>
      <c r="W437" s="304">
        <f t="shared" ca="1" si="178"/>
        <v>23.54832717205193</v>
      </c>
      <c r="Y437" s="314" t="str">
        <f t="shared" ca="1" si="196"/>
        <v/>
      </c>
      <c r="Z437" s="315" t="str">
        <f t="shared" ca="1" si="197"/>
        <v/>
      </c>
      <c r="AA437" s="316" t="str">
        <f t="shared" ca="1" si="198"/>
        <v/>
      </c>
      <c r="AC437" s="310" t="e">
        <f t="shared" ca="1" si="199"/>
        <v>#N/A</v>
      </c>
      <c r="AD437" s="323" t="e">
        <f t="shared" ca="1" si="200"/>
        <v>#N/A</v>
      </c>
      <c r="AE437" s="324" t="e">
        <f t="shared" ca="1" si="179"/>
        <v>#N/A</v>
      </c>
      <c r="AG437" s="306">
        <f t="shared" ca="1" si="201"/>
        <v>0.71690928847055524</v>
      </c>
      <c r="AH437" s="304">
        <f t="shared" ca="1" si="202"/>
        <v>-9.0744776673507346</v>
      </c>
    </row>
    <row r="438" spans="1:34" x14ac:dyDescent="0.2">
      <c r="A438" s="347">
        <f t="shared" ca="1" si="180"/>
        <v>1E-4</v>
      </c>
      <c r="B438" s="304">
        <f t="shared" ca="1" si="181"/>
        <v>32.50510000000034</v>
      </c>
      <c r="D438" s="306">
        <f t="shared" ca="1" si="182"/>
        <v>-0.5587292480262559</v>
      </c>
      <c r="E438" s="307">
        <f t="shared" ca="1" si="183"/>
        <v>-0.75271731788250129</v>
      </c>
      <c r="F438" s="304">
        <f t="shared" ca="1" si="184"/>
        <v>0.9374229212261731</v>
      </c>
      <c r="G438" s="306">
        <f t="shared" ca="1" si="185"/>
        <v>5.9631992676975543</v>
      </c>
      <c r="H438" s="307">
        <f t="shared" ca="1" si="186"/>
        <v>-96.66744628372669</v>
      </c>
      <c r="I438" s="304">
        <f t="shared" ca="1" si="187"/>
        <v>96.851199871366873</v>
      </c>
      <c r="J438" s="306">
        <f t="shared" ca="1" si="188"/>
        <v>588.9746359926213</v>
      </c>
      <c r="K438" s="307">
        <f t="shared" ca="1" si="189"/>
        <v>-7.8784044141579885</v>
      </c>
      <c r="L438" s="304">
        <f t="shared" ca="1" si="174"/>
        <v>589.02732627506657</v>
      </c>
      <c r="M438" s="306">
        <f t="shared" ca="1" si="190"/>
        <v>-1.5091866263370586</v>
      </c>
      <c r="N438" s="304">
        <f t="shared" ca="1" si="191"/>
        <v>-86.47002418670067</v>
      </c>
      <c r="P438" s="310">
        <f t="shared" ca="1" si="192"/>
        <v>23</v>
      </c>
      <c r="Q438" s="304">
        <f t="shared" ca="1" si="193"/>
        <v>0</v>
      </c>
      <c r="R438" s="306">
        <f t="shared" ca="1" si="194"/>
        <v>0</v>
      </c>
      <c r="S438" s="307">
        <f t="shared" ca="1" si="195"/>
        <v>2.5949999999999998</v>
      </c>
      <c r="T438" s="304">
        <f t="shared" ca="1" si="175"/>
        <v>25.456949999999999</v>
      </c>
      <c r="U438" s="311">
        <f t="shared" ca="1" si="176"/>
        <v>0</v>
      </c>
      <c r="V438" s="306">
        <f t="shared" ca="1" si="177"/>
        <v>1.2259654848647452</v>
      </c>
      <c r="W438" s="304">
        <f t="shared" ca="1" si="178"/>
        <v>23.548384796400128</v>
      </c>
      <c r="Y438" s="314" t="str">
        <f t="shared" ca="1" si="196"/>
        <v/>
      </c>
      <c r="Z438" s="315" t="str">
        <f t="shared" ca="1" si="197"/>
        <v/>
      </c>
      <c r="AA438" s="316" t="str">
        <f t="shared" ca="1" si="198"/>
        <v/>
      </c>
      <c r="AC438" s="310" t="e">
        <f t="shared" ca="1" si="199"/>
        <v>#N/A</v>
      </c>
      <c r="AD438" s="323" t="e">
        <f t="shared" ca="1" si="200"/>
        <v>#N/A</v>
      </c>
      <c r="AE438" s="324" t="e">
        <f t="shared" ca="1" si="179"/>
        <v>#N/A</v>
      </c>
      <c r="AG438" s="306">
        <f t="shared" ca="1" si="201"/>
        <v>0.7168874588996772</v>
      </c>
      <c r="AH438" s="304">
        <f t="shared" ca="1" si="202"/>
        <v>-9.0744998736230951</v>
      </c>
    </row>
    <row r="439" spans="1:34" x14ac:dyDescent="0.2">
      <c r="A439" s="347">
        <f t="shared" ca="1" si="180"/>
        <v>1E-4</v>
      </c>
      <c r="B439" s="304">
        <f t="shared" ca="1" si="181"/>
        <v>32.505200000000343</v>
      </c>
      <c r="D439" s="306">
        <f t="shared" ca="1" si="182"/>
        <v>-0.55872496666303106</v>
      </c>
      <c r="E439" s="307">
        <f t="shared" ca="1" si="183"/>
        <v>-0.75269480564758773</v>
      </c>
      <c r="F439" s="304">
        <f t="shared" ca="1" si="184"/>
        <v>0.93740229294655819</v>
      </c>
      <c r="G439" s="306">
        <f t="shared" ca="1" si="185"/>
        <v>5.9631433952008877</v>
      </c>
      <c r="H439" s="307">
        <f t="shared" ca="1" si="186"/>
        <v>-96.667521553207251</v>
      </c>
      <c r="I439" s="304">
        <f t="shared" ca="1" si="187"/>
        <v>96.851271557948664</v>
      </c>
      <c r="J439" s="306">
        <f t="shared" ca="1" si="188"/>
        <v>588.9746359926213</v>
      </c>
      <c r="K439" s="307">
        <f t="shared" ca="1" si="189"/>
        <v>-7.888071162549835</v>
      </c>
      <c r="L439" s="304">
        <f t="shared" ca="1" si="174"/>
        <v>589.02745564982467</v>
      </c>
      <c r="M439" s="306">
        <f t="shared" ca="1" si="190"/>
        <v>-1.5091872499828516</v>
      </c>
      <c r="N439" s="304">
        <f t="shared" ca="1" si="191"/>
        <v>-86.470059918972524</v>
      </c>
      <c r="P439" s="310">
        <f t="shared" ca="1" si="192"/>
        <v>23</v>
      </c>
      <c r="Q439" s="304">
        <f t="shared" ca="1" si="193"/>
        <v>0</v>
      </c>
      <c r="R439" s="306">
        <f t="shared" ca="1" si="194"/>
        <v>0</v>
      </c>
      <c r="S439" s="307">
        <f t="shared" ca="1" si="195"/>
        <v>2.5949999999999998</v>
      </c>
      <c r="T439" s="304">
        <f t="shared" ca="1" si="175"/>
        <v>25.456949999999999</v>
      </c>
      <c r="U439" s="311">
        <f t="shared" ca="1" si="176"/>
        <v>0</v>
      </c>
      <c r="V439" s="306">
        <f t="shared" ca="1" si="177"/>
        <v>1.2259666699754903</v>
      </c>
      <c r="W439" s="304">
        <f t="shared" ca="1" si="178"/>
        <v>23.548442419819757</v>
      </c>
      <c r="Y439" s="314" t="str">
        <f t="shared" ca="1" si="196"/>
        <v/>
      </c>
      <c r="Z439" s="315" t="str">
        <f t="shared" ca="1" si="197"/>
        <v/>
      </c>
      <c r="AA439" s="316" t="str">
        <f t="shared" ca="1" si="198"/>
        <v/>
      </c>
      <c r="AC439" s="310" t="e">
        <f t="shared" ca="1" si="199"/>
        <v>#N/A</v>
      </c>
      <c r="AD439" s="323" t="e">
        <f t="shared" ca="1" si="200"/>
        <v>#N/A</v>
      </c>
      <c r="AE439" s="324" t="e">
        <f t="shared" ca="1" si="179"/>
        <v>#N/A</v>
      </c>
      <c r="AG439" s="306">
        <f t="shared" ca="1" si="201"/>
        <v>0.71686562967873968</v>
      </c>
      <c r="AH439" s="304">
        <f t="shared" ca="1" si="202"/>
        <v>-9.0745220795376227</v>
      </c>
    </row>
    <row r="440" spans="1:34" x14ac:dyDescent="0.2">
      <c r="A440" s="347">
        <f t="shared" ca="1" si="180"/>
        <v>1E-4</v>
      </c>
      <c r="B440" s="304">
        <f t="shared" ca="1" si="181"/>
        <v>32.505300000000346</v>
      </c>
      <c r="D440" s="306">
        <f t="shared" ca="1" si="182"/>
        <v>-0.55872068531119923</v>
      </c>
      <c r="E440" s="307">
        <f t="shared" ca="1" si="183"/>
        <v>-0.752672293775424</v>
      </c>
      <c r="F440" s="304">
        <f t="shared" ca="1" si="184"/>
        <v>0.93738166507126341</v>
      </c>
      <c r="G440" s="306">
        <f t="shared" ca="1" si="185"/>
        <v>5.9630875231323568</v>
      </c>
      <c r="H440" s="307">
        <f t="shared" ca="1" si="186"/>
        <v>-96.667596820436628</v>
      </c>
      <c r="I440" s="304">
        <f t="shared" ca="1" si="187"/>
        <v>96.851343242347582</v>
      </c>
      <c r="J440" s="306">
        <f t="shared" ca="1" si="188"/>
        <v>588.9746359926213</v>
      </c>
      <c r="K440" s="307">
        <f t="shared" ca="1" si="189"/>
        <v>-7.8977379184685175</v>
      </c>
      <c r="L440" s="304">
        <f t="shared" ca="1" si="174"/>
        <v>589.02758518329983</v>
      </c>
      <c r="M440" s="306">
        <f t="shared" ca="1" si="190"/>
        <v>-1.5091878736218782</v>
      </c>
      <c r="N440" s="304">
        <f t="shared" ca="1" si="191"/>
        <v>-86.470095650856678</v>
      </c>
      <c r="P440" s="310">
        <f t="shared" ca="1" si="192"/>
        <v>23</v>
      </c>
      <c r="Q440" s="304">
        <f t="shared" ca="1" si="193"/>
        <v>0</v>
      </c>
      <c r="R440" s="306">
        <f t="shared" ca="1" si="194"/>
        <v>0</v>
      </c>
      <c r="S440" s="307">
        <f t="shared" ca="1" si="195"/>
        <v>2.5949999999999998</v>
      </c>
      <c r="T440" s="304">
        <f t="shared" ca="1" si="175"/>
        <v>25.456949999999999</v>
      </c>
      <c r="U440" s="311">
        <f t="shared" ca="1" si="176"/>
        <v>0</v>
      </c>
      <c r="V440" s="306">
        <f t="shared" ca="1" si="177"/>
        <v>1.225967855088304</v>
      </c>
      <c r="W440" s="304">
        <f t="shared" ca="1" si="178"/>
        <v>23.548500042310827</v>
      </c>
      <c r="Y440" s="314" t="str">
        <f t="shared" ca="1" si="196"/>
        <v/>
      </c>
      <c r="Z440" s="315" t="str">
        <f t="shared" ca="1" si="197"/>
        <v/>
      </c>
      <c r="AA440" s="316" t="str">
        <f t="shared" ca="1" si="198"/>
        <v/>
      </c>
      <c r="AC440" s="310" t="e">
        <f t="shared" ca="1" si="199"/>
        <v>#N/A</v>
      </c>
      <c r="AD440" s="323" t="e">
        <f t="shared" ca="1" si="200"/>
        <v>#N/A</v>
      </c>
      <c r="AE440" s="324" t="e">
        <f t="shared" ca="1" si="179"/>
        <v>#N/A</v>
      </c>
      <c r="AG440" s="306">
        <f t="shared" ca="1" si="201"/>
        <v>0.71684380080773735</v>
      </c>
      <c r="AH440" s="304">
        <f t="shared" ca="1" si="202"/>
        <v>-9.0745442850943192</v>
      </c>
    </row>
    <row r="441" spans="1:34" x14ac:dyDescent="0.2">
      <c r="A441" s="347">
        <f t="shared" ca="1" si="180"/>
        <v>1E-4</v>
      </c>
      <c r="B441" s="304">
        <f t="shared" ca="1" si="181"/>
        <v>32.50540000000035</v>
      </c>
      <c r="D441" s="306">
        <f t="shared" ca="1" si="182"/>
        <v>-0.55871640397076006</v>
      </c>
      <c r="E441" s="307">
        <f t="shared" ca="1" si="183"/>
        <v>-0.75264978226600476</v>
      </c>
      <c r="F441" s="304">
        <f t="shared" ca="1" si="184"/>
        <v>0.93736103760028455</v>
      </c>
      <c r="G441" s="306">
        <f t="shared" ca="1" si="185"/>
        <v>5.9630316514919599</v>
      </c>
      <c r="H441" s="307">
        <f t="shared" ca="1" si="186"/>
        <v>-96.66767208541485</v>
      </c>
      <c r="I441" s="304">
        <f t="shared" ca="1" si="187"/>
        <v>96.851414924563642</v>
      </c>
      <c r="J441" s="306">
        <f t="shared" ca="1" si="188"/>
        <v>588.9746359926213</v>
      </c>
      <c r="K441" s="307">
        <f t="shared" ca="1" si="189"/>
        <v>-7.9074046819138104</v>
      </c>
      <c r="L441" s="304">
        <f t="shared" ca="1" si="174"/>
        <v>589.02771487549239</v>
      </c>
      <c r="M441" s="306">
        <f t="shared" ca="1" si="190"/>
        <v>-1.5091884972541383</v>
      </c>
      <c r="N441" s="304">
        <f t="shared" ca="1" si="191"/>
        <v>-86.470131382353159</v>
      </c>
      <c r="P441" s="310">
        <f t="shared" ca="1" si="192"/>
        <v>23</v>
      </c>
      <c r="Q441" s="304">
        <f t="shared" ca="1" si="193"/>
        <v>0</v>
      </c>
      <c r="R441" s="306">
        <f t="shared" ca="1" si="194"/>
        <v>0</v>
      </c>
      <c r="S441" s="307">
        <f t="shared" ca="1" si="195"/>
        <v>2.5949999999999998</v>
      </c>
      <c r="T441" s="304">
        <f t="shared" ca="1" si="175"/>
        <v>25.456949999999999</v>
      </c>
      <c r="U441" s="311">
        <f t="shared" ca="1" si="176"/>
        <v>0</v>
      </c>
      <c r="V441" s="306">
        <f t="shared" ca="1" si="177"/>
        <v>1.2259690402031866</v>
      </c>
      <c r="W441" s="304">
        <f t="shared" ca="1" si="178"/>
        <v>23.548557663873339</v>
      </c>
      <c r="Y441" s="314" t="str">
        <f t="shared" ca="1" si="196"/>
        <v/>
      </c>
      <c r="Z441" s="315" t="str">
        <f t="shared" ca="1" si="197"/>
        <v/>
      </c>
      <c r="AA441" s="316" t="str">
        <f t="shared" ca="1" si="198"/>
        <v/>
      </c>
      <c r="AC441" s="310" t="e">
        <f t="shared" ca="1" si="199"/>
        <v>#N/A</v>
      </c>
      <c r="AD441" s="323" t="e">
        <f t="shared" ca="1" si="200"/>
        <v>#N/A</v>
      </c>
      <c r="AE441" s="324" t="e">
        <f t="shared" ca="1" si="179"/>
        <v>#N/A</v>
      </c>
      <c r="AG441" s="306">
        <f t="shared" ca="1" si="201"/>
        <v>0.71682197228666489</v>
      </c>
      <c r="AH441" s="304">
        <f t="shared" ca="1" si="202"/>
        <v>-9.07456649029319</v>
      </c>
    </row>
    <row r="442" spans="1:34" x14ac:dyDescent="0.2">
      <c r="A442" s="347">
        <f t="shared" ca="1" si="180"/>
        <v>1E-4</v>
      </c>
      <c r="B442" s="304">
        <f t="shared" ca="1" si="181"/>
        <v>32.505500000000353</v>
      </c>
      <c r="D442" s="306">
        <f t="shared" ca="1" si="182"/>
        <v>-0.55871212264171677</v>
      </c>
      <c r="E442" s="307">
        <f t="shared" ca="1" si="183"/>
        <v>-0.75262727111933181</v>
      </c>
      <c r="F442" s="304">
        <f t="shared" ca="1" si="184"/>
        <v>0.93734041053362527</v>
      </c>
      <c r="G442" s="306">
        <f t="shared" ca="1" si="185"/>
        <v>5.9629757802796961</v>
      </c>
      <c r="H442" s="307">
        <f t="shared" ca="1" si="186"/>
        <v>-96.667747348141958</v>
      </c>
      <c r="I442" s="304">
        <f t="shared" ca="1" si="187"/>
        <v>96.851486604596872</v>
      </c>
      <c r="J442" s="306">
        <f t="shared" ca="1" si="188"/>
        <v>588.9746359926213</v>
      </c>
      <c r="K442" s="307">
        <f t="shared" ca="1" si="189"/>
        <v>-7.9170714528854882</v>
      </c>
      <c r="L442" s="304">
        <f t="shared" ca="1" si="174"/>
        <v>589.02784472640235</v>
      </c>
      <c r="M442" s="306">
        <f t="shared" ca="1" si="190"/>
        <v>-1.5091891208796322</v>
      </c>
      <c r="N442" s="304">
        <f t="shared" ca="1" si="191"/>
        <v>-86.470167113461955</v>
      </c>
      <c r="P442" s="310">
        <f t="shared" ca="1" si="192"/>
        <v>23</v>
      </c>
      <c r="Q442" s="304">
        <f t="shared" ca="1" si="193"/>
        <v>0</v>
      </c>
      <c r="R442" s="306">
        <f t="shared" ca="1" si="194"/>
        <v>0</v>
      </c>
      <c r="S442" s="307">
        <f t="shared" ca="1" si="195"/>
        <v>2.5949999999999998</v>
      </c>
      <c r="T442" s="304">
        <f t="shared" ca="1" si="175"/>
        <v>25.456949999999999</v>
      </c>
      <c r="U442" s="311">
        <f t="shared" ca="1" si="176"/>
        <v>0</v>
      </c>
      <c r="V442" s="306">
        <f t="shared" ca="1" si="177"/>
        <v>1.2259702253201377</v>
      </c>
      <c r="W442" s="304">
        <f t="shared" ca="1" si="178"/>
        <v>23.548615284507306</v>
      </c>
      <c r="Y442" s="314" t="str">
        <f t="shared" ca="1" si="196"/>
        <v/>
      </c>
      <c r="Z442" s="315" t="str">
        <f t="shared" ca="1" si="197"/>
        <v/>
      </c>
      <c r="AA442" s="316" t="str">
        <f t="shared" ca="1" si="198"/>
        <v/>
      </c>
      <c r="AC442" s="310" t="e">
        <f t="shared" ca="1" si="199"/>
        <v>#N/A</v>
      </c>
      <c r="AD442" s="323" t="e">
        <f t="shared" ca="1" si="200"/>
        <v>#N/A</v>
      </c>
      <c r="AE442" s="324" t="e">
        <f t="shared" ca="1" si="179"/>
        <v>#N/A</v>
      </c>
      <c r="AG442" s="306">
        <f t="shared" ca="1" si="201"/>
        <v>0.71680014411552229</v>
      </c>
      <c r="AH442" s="304">
        <f t="shared" ca="1" si="202"/>
        <v>-9.0745886951342349</v>
      </c>
    </row>
    <row r="443" spans="1:34" x14ac:dyDescent="0.2">
      <c r="A443" s="347">
        <f t="shared" ca="1" si="180"/>
        <v>1E-4</v>
      </c>
      <c r="B443" s="304">
        <f t="shared" ca="1" si="181"/>
        <v>32.505600000000356</v>
      </c>
      <c r="D443" s="306">
        <f t="shared" ca="1" si="182"/>
        <v>-0.55870784132406659</v>
      </c>
      <c r="E443" s="307">
        <f t="shared" ca="1" si="183"/>
        <v>-0.75260476033539803</v>
      </c>
      <c r="F443" s="304">
        <f t="shared" ca="1" si="184"/>
        <v>0.93731978387127857</v>
      </c>
      <c r="G443" s="306">
        <f t="shared" ca="1" si="185"/>
        <v>5.9629199094955636</v>
      </c>
      <c r="H443" s="307">
        <f t="shared" ca="1" si="186"/>
        <v>-96.667822608617996</v>
      </c>
      <c r="I443" s="304">
        <f t="shared" ca="1" si="187"/>
        <v>96.851558282447343</v>
      </c>
      <c r="J443" s="306">
        <f t="shared" ca="1" si="188"/>
        <v>588.9746359926213</v>
      </c>
      <c r="K443" s="307">
        <f t="shared" ca="1" si="189"/>
        <v>-7.9267382313833261</v>
      </c>
      <c r="L443" s="304">
        <f t="shared" ca="1" si="174"/>
        <v>589.02797473603039</v>
      </c>
      <c r="M443" s="306">
        <f t="shared" ca="1" si="190"/>
        <v>-1.50918974449836</v>
      </c>
      <c r="N443" s="304">
        <f t="shared" ca="1" si="191"/>
        <v>-86.470202844183078</v>
      </c>
      <c r="P443" s="310">
        <f t="shared" ca="1" si="192"/>
        <v>23</v>
      </c>
      <c r="Q443" s="304">
        <f t="shared" ca="1" si="193"/>
        <v>0</v>
      </c>
      <c r="R443" s="306">
        <f t="shared" ca="1" si="194"/>
        <v>0</v>
      </c>
      <c r="S443" s="307">
        <f t="shared" ca="1" si="195"/>
        <v>2.5949999999999998</v>
      </c>
      <c r="T443" s="304">
        <f t="shared" ca="1" si="175"/>
        <v>25.456949999999999</v>
      </c>
      <c r="U443" s="311">
        <f t="shared" ca="1" si="176"/>
        <v>0</v>
      </c>
      <c r="V443" s="306">
        <f t="shared" ca="1" si="177"/>
        <v>1.2259714104391579</v>
      </c>
      <c r="W443" s="304">
        <f t="shared" ca="1" si="178"/>
        <v>23.548672904212765</v>
      </c>
      <c r="Y443" s="314" t="str">
        <f t="shared" ca="1" si="196"/>
        <v/>
      </c>
      <c r="Z443" s="315" t="str">
        <f t="shared" ca="1" si="197"/>
        <v/>
      </c>
      <c r="AA443" s="316" t="str">
        <f t="shared" ca="1" si="198"/>
        <v/>
      </c>
      <c r="AC443" s="310" t="e">
        <f t="shared" ca="1" si="199"/>
        <v>#N/A</v>
      </c>
      <c r="AD443" s="323" t="e">
        <f t="shared" ca="1" si="200"/>
        <v>#N/A</v>
      </c>
      <c r="AE443" s="324" t="e">
        <f t="shared" ca="1" si="179"/>
        <v>#N/A</v>
      </c>
      <c r="AG443" s="306">
        <f t="shared" ca="1" si="201"/>
        <v>0.71677831629430599</v>
      </c>
      <c r="AH443" s="304">
        <f t="shared" ca="1" si="202"/>
        <v>-9.0746108996174595</v>
      </c>
    </row>
    <row r="444" spans="1:34" x14ac:dyDescent="0.2">
      <c r="A444" s="347">
        <f t="shared" ca="1" si="180"/>
        <v>1E-4</v>
      </c>
      <c r="B444" s="304">
        <f t="shared" ca="1" si="181"/>
        <v>32.50570000000036</v>
      </c>
      <c r="D444" s="306">
        <f t="shared" ca="1" si="182"/>
        <v>-0.55870356001781163</v>
      </c>
      <c r="E444" s="307">
        <f t="shared" ca="1" si="183"/>
        <v>-0.75258224991418921</v>
      </c>
      <c r="F444" s="304">
        <f t="shared" ca="1" si="184"/>
        <v>0.9372991576132349</v>
      </c>
      <c r="G444" s="306">
        <f t="shared" ca="1" si="185"/>
        <v>5.9628640391395615</v>
      </c>
      <c r="H444" s="307">
        <f t="shared" ca="1" si="186"/>
        <v>-96.667897866842992</v>
      </c>
      <c r="I444" s="304">
        <f t="shared" ca="1" si="187"/>
        <v>96.851629958115069</v>
      </c>
      <c r="J444" s="306">
        <f t="shared" ca="1" si="188"/>
        <v>588.9746359926213</v>
      </c>
      <c r="K444" s="307">
        <f t="shared" ca="1" si="189"/>
        <v>-7.9364050174070995</v>
      </c>
      <c r="L444" s="304">
        <f t="shared" ca="1" si="174"/>
        <v>589.02810490437639</v>
      </c>
      <c r="M444" s="306">
        <f t="shared" ca="1" si="190"/>
        <v>-1.5091903681103216</v>
      </c>
      <c r="N444" s="304">
        <f t="shared" ca="1" si="191"/>
        <v>-86.470238574516529</v>
      </c>
      <c r="P444" s="310">
        <f t="shared" ca="1" si="192"/>
        <v>23</v>
      </c>
      <c r="Q444" s="304">
        <f t="shared" ca="1" si="193"/>
        <v>0</v>
      </c>
      <c r="R444" s="306">
        <f t="shared" ca="1" si="194"/>
        <v>0</v>
      </c>
      <c r="S444" s="307">
        <f t="shared" ca="1" si="195"/>
        <v>2.5949999999999998</v>
      </c>
      <c r="T444" s="304">
        <f t="shared" ca="1" si="175"/>
        <v>25.456949999999999</v>
      </c>
      <c r="U444" s="311">
        <f t="shared" ca="1" si="176"/>
        <v>0</v>
      </c>
      <c r="V444" s="306">
        <f t="shared" ca="1" si="177"/>
        <v>1.225972595560247</v>
      </c>
      <c r="W444" s="304">
        <f t="shared" ca="1" si="178"/>
        <v>23.548730522989711</v>
      </c>
      <c r="Y444" s="314" t="str">
        <f t="shared" ca="1" si="196"/>
        <v/>
      </c>
      <c r="Z444" s="315" t="str">
        <f t="shared" ca="1" si="197"/>
        <v/>
      </c>
      <c r="AA444" s="316" t="str">
        <f t="shared" ca="1" si="198"/>
        <v/>
      </c>
      <c r="AC444" s="310" t="e">
        <f t="shared" ca="1" si="199"/>
        <v>#N/A</v>
      </c>
      <c r="AD444" s="323" t="e">
        <f t="shared" ca="1" si="200"/>
        <v>#N/A</v>
      </c>
      <c r="AE444" s="324" t="e">
        <f t="shared" ca="1" si="179"/>
        <v>#N/A</v>
      </c>
      <c r="AG444" s="306">
        <f t="shared" ca="1" si="201"/>
        <v>0.7167564888230018</v>
      </c>
      <c r="AH444" s="304">
        <f t="shared" ca="1" si="202"/>
        <v>-9.0746331037428778</v>
      </c>
    </row>
    <row r="445" spans="1:34" x14ac:dyDescent="0.2">
      <c r="A445" s="347">
        <f t="shared" ca="1" si="180"/>
        <v>1E-4</v>
      </c>
      <c r="B445" s="304">
        <f t="shared" ca="1" si="181"/>
        <v>32.505800000000363</v>
      </c>
      <c r="D445" s="306">
        <f t="shared" ca="1" si="182"/>
        <v>-0.55869927872295277</v>
      </c>
      <c r="E445" s="307">
        <f t="shared" ca="1" si="183"/>
        <v>-0.7525597398557089</v>
      </c>
      <c r="F445" s="304">
        <f t="shared" ca="1" si="184"/>
        <v>0.93727853175949782</v>
      </c>
      <c r="G445" s="306">
        <f t="shared" ca="1" si="185"/>
        <v>5.962808169211689</v>
      </c>
      <c r="H445" s="307">
        <f t="shared" ca="1" si="186"/>
        <v>-96.667973122816974</v>
      </c>
      <c r="I445" s="304">
        <f t="shared" ca="1" si="187"/>
        <v>96.851701631600065</v>
      </c>
      <c r="J445" s="306">
        <f t="shared" ca="1" si="188"/>
        <v>588.9746359926213</v>
      </c>
      <c r="K445" s="307">
        <f t="shared" ca="1" si="189"/>
        <v>-7.9460718109565827</v>
      </c>
      <c r="L445" s="304">
        <f t="shared" ca="1" si="174"/>
        <v>589.02823523144082</v>
      </c>
      <c r="M445" s="306">
        <f t="shared" ca="1" si="190"/>
        <v>-1.5091909917155171</v>
      </c>
      <c r="N445" s="304">
        <f t="shared" ca="1" si="191"/>
        <v>-86.470274304462322</v>
      </c>
      <c r="P445" s="310">
        <f t="shared" ca="1" si="192"/>
        <v>23</v>
      </c>
      <c r="Q445" s="304">
        <f t="shared" ca="1" si="193"/>
        <v>0</v>
      </c>
      <c r="R445" s="306">
        <f t="shared" ca="1" si="194"/>
        <v>0</v>
      </c>
      <c r="S445" s="307">
        <f t="shared" ca="1" si="195"/>
        <v>2.5949999999999998</v>
      </c>
      <c r="T445" s="304">
        <f t="shared" ca="1" si="175"/>
        <v>25.456949999999999</v>
      </c>
      <c r="U445" s="311">
        <f t="shared" ca="1" si="176"/>
        <v>0</v>
      </c>
      <c r="V445" s="306">
        <f t="shared" ca="1" si="177"/>
        <v>1.2259737806834039</v>
      </c>
      <c r="W445" s="304">
        <f t="shared" ca="1" si="178"/>
        <v>23.548788140838131</v>
      </c>
      <c r="Y445" s="314" t="str">
        <f t="shared" ca="1" si="196"/>
        <v/>
      </c>
      <c r="Z445" s="315" t="str">
        <f t="shared" ca="1" si="197"/>
        <v/>
      </c>
      <c r="AA445" s="316" t="str">
        <f t="shared" ca="1" si="198"/>
        <v/>
      </c>
      <c r="AC445" s="310" t="e">
        <f t="shared" ca="1" si="199"/>
        <v>#N/A</v>
      </c>
      <c r="AD445" s="323" t="e">
        <f t="shared" ca="1" si="200"/>
        <v>#N/A</v>
      </c>
      <c r="AE445" s="324" t="e">
        <f t="shared" ca="1" si="179"/>
        <v>#N/A</v>
      </c>
      <c r="AG445" s="306">
        <f t="shared" ca="1" si="201"/>
        <v>0.71673466170161326</v>
      </c>
      <c r="AH445" s="304">
        <f t="shared" ca="1" si="202"/>
        <v>-9.0746553075104863</v>
      </c>
    </row>
    <row r="446" spans="1:34" x14ac:dyDescent="0.2">
      <c r="A446" s="347">
        <f t="shared" ca="1" si="180"/>
        <v>1E-4</v>
      </c>
      <c r="B446" s="304">
        <f t="shared" ca="1" si="181"/>
        <v>32.505900000000366</v>
      </c>
      <c r="D446" s="306">
        <f t="shared" ca="1" si="182"/>
        <v>-0.55869499743949091</v>
      </c>
      <c r="E446" s="307">
        <f t="shared" ca="1" si="183"/>
        <v>-0.75253723015996066</v>
      </c>
      <c r="F446" s="304">
        <f t="shared" ca="1" si="184"/>
        <v>0.93725790631007122</v>
      </c>
      <c r="G446" s="306">
        <f t="shared" ca="1" si="185"/>
        <v>5.9627522997119451</v>
      </c>
      <c r="H446" s="307">
        <f t="shared" ca="1" si="186"/>
        <v>-96.668048376539986</v>
      </c>
      <c r="I446" s="304">
        <f t="shared" ca="1" si="187"/>
        <v>96.851773302902387</v>
      </c>
      <c r="J446" s="306">
        <f t="shared" ca="1" si="188"/>
        <v>588.9746359926213</v>
      </c>
      <c r="K446" s="307">
        <f t="shared" ca="1" si="189"/>
        <v>-7.9557386120315501</v>
      </c>
      <c r="L446" s="304">
        <f t="shared" ca="1" si="174"/>
        <v>589.02836571722389</v>
      </c>
      <c r="M446" s="306">
        <f t="shared" ca="1" si="190"/>
        <v>-1.5091916153139469</v>
      </c>
      <c r="N446" s="304">
        <f t="shared" ca="1" si="191"/>
        <v>-86.470310034020457</v>
      </c>
      <c r="P446" s="310">
        <f t="shared" ca="1" si="192"/>
        <v>23</v>
      </c>
      <c r="Q446" s="304">
        <f t="shared" ca="1" si="193"/>
        <v>0</v>
      </c>
      <c r="R446" s="306">
        <f t="shared" ca="1" si="194"/>
        <v>0</v>
      </c>
      <c r="S446" s="307">
        <f t="shared" ca="1" si="195"/>
        <v>2.5949999999999998</v>
      </c>
      <c r="T446" s="304">
        <f t="shared" ca="1" si="175"/>
        <v>25.456949999999999</v>
      </c>
      <c r="U446" s="311">
        <f t="shared" ca="1" si="176"/>
        <v>0</v>
      </c>
      <c r="V446" s="306">
        <f t="shared" ca="1" si="177"/>
        <v>1.2259749658086305</v>
      </c>
      <c r="W446" s="304">
        <f t="shared" ca="1" si="178"/>
        <v>23.548845757758084</v>
      </c>
      <c r="Y446" s="314" t="str">
        <f t="shared" ca="1" si="196"/>
        <v/>
      </c>
      <c r="Z446" s="315" t="str">
        <f t="shared" ca="1" si="197"/>
        <v/>
      </c>
      <c r="AA446" s="316" t="str">
        <f t="shared" ca="1" si="198"/>
        <v/>
      </c>
      <c r="AC446" s="310" t="e">
        <f t="shared" ca="1" si="199"/>
        <v>#N/A</v>
      </c>
      <c r="AD446" s="323" t="e">
        <f t="shared" ca="1" si="200"/>
        <v>#N/A</v>
      </c>
      <c r="AE446" s="324" t="e">
        <f t="shared" ca="1" si="179"/>
        <v>#N/A</v>
      </c>
      <c r="AG446" s="306">
        <f t="shared" ca="1" si="201"/>
        <v>0.71671283493014215</v>
      </c>
      <c r="AH446" s="304">
        <f t="shared" ca="1" si="202"/>
        <v>-9.0746775109202815</v>
      </c>
    </row>
    <row r="447" spans="1:34" x14ac:dyDescent="0.2">
      <c r="A447" s="347">
        <f t="shared" ca="1" si="180"/>
        <v>1E-4</v>
      </c>
      <c r="B447" s="304">
        <f t="shared" ca="1" si="181"/>
        <v>32.50600000000037</v>
      </c>
      <c r="D447" s="306">
        <f t="shared" ca="1" si="182"/>
        <v>-0.55869071616742483</v>
      </c>
      <c r="E447" s="307">
        <f t="shared" ca="1" si="183"/>
        <v>-0.75251472082691961</v>
      </c>
      <c r="F447" s="304">
        <f t="shared" ca="1" si="184"/>
        <v>0.937237281264935</v>
      </c>
      <c r="G447" s="306">
        <f t="shared" ca="1" si="185"/>
        <v>5.9626964306403281</v>
      </c>
      <c r="H447" s="307">
        <f t="shared" ca="1" si="186"/>
        <v>-96.668123628012069</v>
      </c>
      <c r="I447" s="304">
        <f t="shared" ca="1" si="187"/>
        <v>96.851844972022064</v>
      </c>
      <c r="J447" s="306">
        <f t="shared" ca="1" si="188"/>
        <v>588.9746359926213</v>
      </c>
      <c r="K447" s="307">
        <f t="shared" ca="1" si="189"/>
        <v>-7.9654054206317779</v>
      </c>
      <c r="L447" s="304">
        <f t="shared" ca="1" si="174"/>
        <v>589.02849636172596</v>
      </c>
      <c r="M447" s="306">
        <f t="shared" ca="1" si="190"/>
        <v>-1.5091922389056107</v>
      </c>
      <c r="N447" s="304">
        <f t="shared" ca="1" si="191"/>
        <v>-86.470345763190934</v>
      </c>
      <c r="P447" s="310">
        <f t="shared" ca="1" si="192"/>
        <v>23</v>
      </c>
      <c r="Q447" s="304">
        <f t="shared" ca="1" si="193"/>
        <v>0</v>
      </c>
      <c r="R447" s="306">
        <f t="shared" ca="1" si="194"/>
        <v>0</v>
      </c>
      <c r="S447" s="307">
        <f t="shared" ca="1" si="195"/>
        <v>2.5949999999999998</v>
      </c>
      <c r="T447" s="304">
        <f t="shared" ca="1" si="175"/>
        <v>25.456949999999999</v>
      </c>
      <c r="U447" s="311">
        <f t="shared" ca="1" si="176"/>
        <v>0</v>
      </c>
      <c r="V447" s="306">
        <f t="shared" ca="1" si="177"/>
        <v>1.2259761509359255</v>
      </c>
      <c r="W447" s="304">
        <f t="shared" ca="1" si="178"/>
        <v>23.548903373749535</v>
      </c>
      <c r="Y447" s="314" t="str">
        <f t="shared" ca="1" si="196"/>
        <v/>
      </c>
      <c r="Z447" s="315" t="str">
        <f t="shared" ca="1" si="197"/>
        <v/>
      </c>
      <c r="AA447" s="316" t="str">
        <f t="shared" ca="1" si="198"/>
        <v/>
      </c>
      <c r="AC447" s="310" t="e">
        <f t="shared" ca="1" si="199"/>
        <v>#N/A</v>
      </c>
      <c r="AD447" s="323" t="e">
        <f t="shared" ca="1" si="200"/>
        <v>#N/A</v>
      </c>
      <c r="AE447" s="324" t="e">
        <f t="shared" ca="1" si="179"/>
        <v>#N/A</v>
      </c>
      <c r="AG447" s="306">
        <f t="shared" ca="1" si="201"/>
        <v>0.71669100850856715</v>
      </c>
      <c r="AH447" s="304">
        <f t="shared" ca="1" si="202"/>
        <v>-9.0746997139722883</v>
      </c>
    </row>
    <row r="448" spans="1:34" x14ac:dyDescent="0.2">
      <c r="A448" s="347">
        <f t="shared" ca="1" si="180"/>
        <v>1E-4</v>
      </c>
      <c r="B448" s="304">
        <f t="shared" ca="1" si="181"/>
        <v>32.506100000000373</v>
      </c>
      <c r="D448" s="306">
        <f t="shared" ca="1" si="182"/>
        <v>-0.55868643490675629</v>
      </c>
      <c r="E448" s="307">
        <f t="shared" ca="1" si="183"/>
        <v>-0.75249221185660353</v>
      </c>
      <c r="F448" s="304">
        <f t="shared" ca="1" si="184"/>
        <v>0.93721665662410458</v>
      </c>
      <c r="G448" s="306">
        <f t="shared" ca="1" si="185"/>
        <v>5.962640561996837</v>
      </c>
      <c r="H448" s="307">
        <f t="shared" ca="1" si="186"/>
        <v>-96.668198877233252</v>
      </c>
      <c r="I448" s="304">
        <f t="shared" ca="1" si="187"/>
        <v>96.851916638959139</v>
      </c>
      <c r="J448" s="306">
        <f t="shared" ca="1" si="188"/>
        <v>588.9746359926213</v>
      </c>
      <c r="K448" s="307">
        <f t="shared" ca="1" si="189"/>
        <v>-7.9750722367570406</v>
      </c>
      <c r="L448" s="304">
        <f t="shared" ca="1" si="174"/>
        <v>589.02862716494712</v>
      </c>
      <c r="M448" s="306">
        <f t="shared" ca="1" si="190"/>
        <v>-1.5091928624905089</v>
      </c>
      <c r="N448" s="304">
        <f t="shared" ca="1" si="191"/>
        <v>-86.470381491973768</v>
      </c>
      <c r="P448" s="310">
        <f t="shared" ca="1" si="192"/>
        <v>23</v>
      </c>
      <c r="Q448" s="304">
        <f t="shared" ca="1" si="193"/>
        <v>0</v>
      </c>
      <c r="R448" s="306">
        <f t="shared" ca="1" si="194"/>
        <v>0</v>
      </c>
      <c r="S448" s="307">
        <f t="shared" ca="1" si="195"/>
        <v>2.5949999999999998</v>
      </c>
      <c r="T448" s="304">
        <f t="shared" ca="1" si="175"/>
        <v>25.456949999999999</v>
      </c>
      <c r="U448" s="311">
        <f t="shared" ca="1" si="176"/>
        <v>0</v>
      </c>
      <c r="V448" s="306">
        <f t="shared" ca="1" si="177"/>
        <v>1.2259773360652888</v>
      </c>
      <c r="W448" s="304">
        <f t="shared" ca="1" si="178"/>
        <v>23.548960988812524</v>
      </c>
      <c r="Y448" s="314" t="str">
        <f t="shared" ca="1" si="196"/>
        <v/>
      </c>
      <c r="Z448" s="315" t="str">
        <f t="shared" ca="1" si="197"/>
        <v/>
      </c>
      <c r="AA448" s="316" t="str">
        <f t="shared" ca="1" si="198"/>
        <v/>
      </c>
      <c r="AC448" s="310" t="e">
        <f t="shared" ca="1" si="199"/>
        <v>#N/A</v>
      </c>
      <c r="AD448" s="323" t="e">
        <f t="shared" ca="1" si="200"/>
        <v>#N/A</v>
      </c>
      <c r="AE448" s="324" t="e">
        <f t="shared" ca="1" si="179"/>
        <v>#N/A</v>
      </c>
      <c r="AG448" s="306">
        <f t="shared" ca="1" si="201"/>
        <v>0.71666918243690425</v>
      </c>
      <c r="AH448" s="304">
        <f t="shared" ca="1" si="202"/>
        <v>-9.0747219166664888</v>
      </c>
    </row>
    <row r="449" spans="1:34" x14ac:dyDescent="0.2">
      <c r="A449" s="347">
        <f t="shared" ca="1" si="180"/>
        <v>1E-4</v>
      </c>
      <c r="B449" s="304">
        <f t="shared" ca="1" si="181"/>
        <v>32.506200000000376</v>
      </c>
      <c r="D449" s="306">
        <f t="shared" ca="1" si="182"/>
        <v>-0.55868215365748564</v>
      </c>
      <c r="E449" s="307">
        <f t="shared" ca="1" si="183"/>
        <v>-0.75246970324899465</v>
      </c>
      <c r="F449" s="304">
        <f t="shared" ca="1" si="184"/>
        <v>0.93719603238756644</v>
      </c>
      <c r="G449" s="306">
        <f t="shared" ca="1" si="185"/>
        <v>5.962584693781471</v>
      </c>
      <c r="H449" s="307">
        <f t="shared" ca="1" si="186"/>
        <v>-96.668274124203577</v>
      </c>
      <c r="I449" s="304">
        <f t="shared" ca="1" si="187"/>
        <v>96.85198830371364</v>
      </c>
      <c r="J449" s="306">
        <f t="shared" ca="1" si="188"/>
        <v>588.9746359926213</v>
      </c>
      <c r="K449" s="307">
        <f t="shared" ca="1" si="189"/>
        <v>-7.9847390604071125</v>
      </c>
      <c r="L449" s="304">
        <f t="shared" ca="1" si="174"/>
        <v>589.02875812688762</v>
      </c>
      <c r="M449" s="306">
        <f t="shared" ca="1" si="190"/>
        <v>-1.5091934860686413</v>
      </c>
      <c r="N449" s="304">
        <f t="shared" ca="1" si="191"/>
        <v>-86.470417220368958</v>
      </c>
      <c r="P449" s="310">
        <f t="shared" ca="1" si="192"/>
        <v>23</v>
      </c>
      <c r="Q449" s="304">
        <f t="shared" ca="1" si="193"/>
        <v>0</v>
      </c>
      <c r="R449" s="306">
        <f t="shared" ca="1" si="194"/>
        <v>0</v>
      </c>
      <c r="S449" s="307">
        <f t="shared" ca="1" si="195"/>
        <v>2.5949999999999998</v>
      </c>
      <c r="T449" s="304">
        <f t="shared" ca="1" si="175"/>
        <v>25.456949999999999</v>
      </c>
      <c r="U449" s="311">
        <f t="shared" ca="1" si="176"/>
        <v>0</v>
      </c>
      <c r="V449" s="306">
        <f t="shared" ca="1" si="177"/>
        <v>1.2259785211967211</v>
      </c>
      <c r="W449" s="304">
        <f t="shared" ca="1" si="178"/>
        <v>23.549018602947058</v>
      </c>
      <c r="Y449" s="314" t="str">
        <f t="shared" ca="1" si="196"/>
        <v/>
      </c>
      <c r="Z449" s="315" t="str">
        <f t="shared" ca="1" si="197"/>
        <v/>
      </c>
      <c r="AA449" s="316" t="str">
        <f t="shared" ca="1" si="198"/>
        <v/>
      </c>
      <c r="AC449" s="310" t="e">
        <f t="shared" ca="1" si="199"/>
        <v>#N/A</v>
      </c>
      <c r="AD449" s="323" t="e">
        <f t="shared" ca="1" si="200"/>
        <v>#N/A</v>
      </c>
      <c r="AE449" s="324" t="e">
        <f t="shared" ca="1" si="179"/>
        <v>#N/A</v>
      </c>
      <c r="AG449" s="306">
        <f t="shared" ca="1" si="201"/>
        <v>0.71664735671513391</v>
      </c>
      <c r="AH449" s="304">
        <f t="shared" ca="1" si="202"/>
        <v>-9.0747441190029008</v>
      </c>
    </row>
    <row r="450" spans="1:34" x14ac:dyDescent="0.2">
      <c r="A450" s="347">
        <f t="shared" ca="1" si="180"/>
        <v>1E-4</v>
      </c>
      <c r="B450" s="304">
        <f t="shared" ca="1" si="181"/>
        <v>32.50630000000038</v>
      </c>
      <c r="D450" s="306">
        <f t="shared" ca="1" si="182"/>
        <v>-0.5586778724196142</v>
      </c>
      <c r="E450" s="307">
        <f t="shared" ca="1" si="183"/>
        <v>-0.75244719500409118</v>
      </c>
      <c r="F450" s="304">
        <f t="shared" ca="1" si="184"/>
        <v>0.93717540855532033</v>
      </c>
      <c r="G450" s="306">
        <f t="shared" ca="1" si="185"/>
        <v>5.9625288259942293</v>
      </c>
      <c r="H450" s="307">
        <f t="shared" ca="1" si="186"/>
        <v>-96.668349368923074</v>
      </c>
      <c r="I450" s="304">
        <f t="shared" ca="1" si="187"/>
        <v>96.852059966285594</v>
      </c>
      <c r="J450" s="306">
        <f t="shared" ca="1" si="188"/>
        <v>588.9746359926213</v>
      </c>
      <c r="K450" s="307">
        <f t="shared" ca="1" si="189"/>
        <v>-7.9944058915817688</v>
      </c>
      <c r="L450" s="304">
        <f t="shared" ca="1" si="174"/>
        <v>589.02888924754791</v>
      </c>
      <c r="M450" s="306">
        <f t="shared" ca="1" si="190"/>
        <v>-1.5091941096400083</v>
      </c>
      <c r="N450" s="304">
        <f t="shared" ca="1" si="191"/>
        <v>-86.470452948376504</v>
      </c>
      <c r="P450" s="310">
        <f t="shared" ca="1" si="192"/>
        <v>23</v>
      </c>
      <c r="Q450" s="304">
        <f t="shared" ca="1" si="193"/>
        <v>0</v>
      </c>
      <c r="R450" s="306">
        <f t="shared" ca="1" si="194"/>
        <v>0</v>
      </c>
      <c r="S450" s="307">
        <f t="shared" ca="1" si="195"/>
        <v>2.5949999999999998</v>
      </c>
      <c r="T450" s="304">
        <f t="shared" ca="1" si="175"/>
        <v>25.456949999999999</v>
      </c>
      <c r="U450" s="311">
        <f t="shared" ca="1" si="176"/>
        <v>0</v>
      </c>
      <c r="V450" s="306">
        <f t="shared" ca="1" si="177"/>
        <v>1.225979706330222</v>
      </c>
      <c r="W450" s="304">
        <f t="shared" ca="1" si="178"/>
        <v>23.549076216153143</v>
      </c>
      <c r="Y450" s="314" t="str">
        <f t="shared" ca="1" si="196"/>
        <v/>
      </c>
      <c r="Z450" s="315" t="str">
        <f t="shared" ca="1" si="197"/>
        <v/>
      </c>
      <c r="AA450" s="316" t="str">
        <f t="shared" ca="1" si="198"/>
        <v/>
      </c>
      <c r="AC450" s="310" t="e">
        <f t="shared" ca="1" si="199"/>
        <v>#N/A</v>
      </c>
      <c r="AD450" s="323" t="e">
        <f t="shared" ca="1" si="200"/>
        <v>#N/A</v>
      </c>
      <c r="AE450" s="324" t="e">
        <f t="shared" ca="1" si="179"/>
        <v>#N/A</v>
      </c>
      <c r="AG450" s="306">
        <f t="shared" ca="1" si="201"/>
        <v>0.7166255313432579</v>
      </c>
      <c r="AH450" s="304">
        <f t="shared" ca="1" si="202"/>
        <v>-9.0747663209815261</v>
      </c>
    </row>
    <row r="451" spans="1:34" x14ac:dyDescent="0.2">
      <c r="A451" s="347">
        <f t="shared" ca="1" si="180"/>
        <v>1E-4</v>
      </c>
      <c r="B451" s="304">
        <f t="shared" ca="1" si="181"/>
        <v>32.506400000000383</v>
      </c>
      <c r="D451" s="306">
        <f t="shared" ca="1" si="182"/>
        <v>-0.55867359119314119</v>
      </c>
      <c r="E451" s="307">
        <f t="shared" ca="1" si="183"/>
        <v>-0.75242468712188781</v>
      </c>
      <c r="F451" s="304">
        <f t="shared" ca="1" si="184"/>
        <v>0.93715478512736183</v>
      </c>
      <c r="G451" s="306">
        <f t="shared" ca="1" si="185"/>
        <v>5.96247295863511</v>
      </c>
      <c r="H451" s="307">
        <f t="shared" ca="1" si="186"/>
        <v>-96.668424611391785</v>
      </c>
      <c r="I451" s="304">
        <f t="shared" ca="1" si="187"/>
        <v>96.85213162667506</v>
      </c>
      <c r="J451" s="306">
        <f t="shared" ca="1" si="188"/>
        <v>588.9746359926213</v>
      </c>
      <c r="K451" s="307">
        <f t="shared" ca="1" si="189"/>
        <v>-8.0040727302807841</v>
      </c>
      <c r="L451" s="304">
        <f t="shared" ca="1" si="174"/>
        <v>589.02902052692821</v>
      </c>
      <c r="M451" s="306">
        <f t="shared" ca="1" si="190"/>
        <v>-1.5091947332046098</v>
      </c>
      <c r="N451" s="304">
        <f t="shared" ca="1" si="191"/>
        <v>-86.470488675996421</v>
      </c>
      <c r="P451" s="310">
        <f t="shared" ca="1" si="192"/>
        <v>23</v>
      </c>
      <c r="Q451" s="304">
        <f t="shared" ca="1" si="193"/>
        <v>0</v>
      </c>
      <c r="R451" s="306">
        <f t="shared" ca="1" si="194"/>
        <v>0</v>
      </c>
      <c r="S451" s="307">
        <f t="shared" ca="1" si="195"/>
        <v>2.5949999999999998</v>
      </c>
      <c r="T451" s="304">
        <f t="shared" ca="1" si="175"/>
        <v>25.456949999999999</v>
      </c>
      <c r="U451" s="311">
        <f t="shared" ca="1" si="176"/>
        <v>0</v>
      </c>
      <c r="V451" s="306">
        <f t="shared" ca="1" si="177"/>
        <v>1.225980891465791</v>
      </c>
      <c r="W451" s="304">
        <f t="shared" ca="1" si="178"/>
        <v>23.549133828430783</v>
      </c>
      <c r="Y451" s="314" t="str">
        <f t="shared" ca="1" si="196"/>
        <v/>
      </c>
      <c r="Z451" s="315" t="str">
        <f t="shared" ca="1" si="197"/>
        <v/>
      </c>
      <c r="AA451" s="316" t="str">
        <f t="shared" ca="1" si="198"/>
        <v/>
      </c>
      <c r="AC451" s="310" t="e">
        <f t="shared" ca="1" si="199"/>
        <v>#N/A</v>
      </c>
      <c r="AD451" s="323" t="e">
        <f t="shared" ca="1" si="200"/>
        <v>#N/A</v>
      </c>
      <c r="AE451" s="324" t="e">
        <f t="shared" ca="1" si="179"/>
        <v>#N/A</v>
      </c>
      <c r="AG451" s="306">
        <f t="shared" ca="1" si="201"/>
        <v>0.71660370632127268</v>
      </c>
      <c r="AH451" s="304">
        <f t="shared" ca="1" si="202"/>
        <v>-9.0747885226023683</v>
      </c>
    </row>
    <row r="452" spans="1:34" x14ac:dyDescent="0.2">
      <c r="A452" s="347">
        <f t="shared" ca="1" si="180"/>
        <v>1E-4</v>
      </c>
      <c r="B452" s="304">
        <f t="shared" ca="1" si="181"/>
        <v>32.506500000000386</v>
      </c>
      <c r="D452" s="306">
        <f t="shared" ca="1" si="182"/>
        <v>-0.55866930997806774</v>
      </c>
      <c r="E452" s="307">
        <f t="shared" ca="1" si="183"/>
        <v>-0.75240217960238631</v>
      </c>
      <c r="F452" s="304">
        <f t="shared" ca="1" si="184"/>
        <v>0.9371341621036936</v>
      </c>
      <c r="G452" s="306">
        <f t="shared" ca="1" si="185"/>
        <v>5.9624170917041122</v>
      </c>
      <c r="H452" s="307">
        <f t="shared" ca="1" si="186"/>
        <v>-96.668499851609752</v>
      </c>
      <c r="I452" s="304">
        <f t="shared" ca="1" si="187"/>
        <v>96.852203284882066</v>
      </c>
      <c r="J452" s="306">
        <f t="shared" ca="1" si="188"/>
        <v>588.9746359926213</v>
      </c>
      <c r="K452" s="307">
        <f t="shared" ca="1" si="189"/>
        <v>-8.0137395765039336</v>
      </c>
      <c r="L452" s="304">
        <f t="shared" ref="L452:L515" ca="1" si="203">SQRT(pos_x^2+pos_z^2)</f>
        <v>589.02915196502863</v>
      </c>
      <c r="M452" s="306">
        <f t="shared" ca="1" si="190"/>
        <v>-1.5091953567624461</v>
      </c>
      <c r="N452" s="304">
        <f t="shared" ca="1" si="191"/>
        <v>-86.470524403228723</v>
      </c>
      <c r="P452" s="310">
        <f t="shared" ca="1" si="192"/>
        <v>23</v>
      </c>
      <c r="Q452" s="304">
        <f t="shared" ca="1" si="193"/>
        <v>0</v>
      </c>
      <c r="R452" s="306">
        <f t="shared" ca="1" si="194"/>
        <v>0</v>
      </c>
      <c r="S452" s="307">
        <f t="shared" ca="1" si="195"/>
        <v>2.5949999999999998</v>
      </c>
      <c r="T452" s="304">
        <f t="shared" ref="T452:T515" ca="1" si="204">m*g</f>
        <v>25.456949999999999</v>
      </c>
      <c r="U452" s="311">
        <f t="shared" ref="U452:U515" ca="1" si="205">IF(pos_xz&lt;L_rampe,Poids*COS(Beta),0)</f>
        <v>0</v>
      </c>
      <c r="V452" s="306">
        <f t="shared" ref="V452:V515" ca="1" si="206">Rho_moyen*(20000-Alt_rampe-pos_z)/(20000+Alt_rampe+pos_z)</f>
        <v>1.2259820766034293</v>
      </c>
      <c r="W452" s="304">
        <f t="shared" ref="W452:W515" ca="1" si="207">1/2*Rho*Sref*Cx*vit_xz^2</f>
        <v>23.549191439780024</v>
      </c>
      <c r="Y452" s="314" t="str">
        <f t="shared" ca="1" si="196"/>
        <v/>
      </c>
      <c r="Z452" s="315" t="str">
        <f t="shared" ca="1" si="197"/>
        <v/>
      </c>
      <c r="AA452" s="316" t="str">
        <f t="shared" ca="1" si="198"/>
        <v/>
      </c>
      <c r="AC452" s="310" t="e">
        <f t="shared" ca="1" si="199"/>
        <v>#N/A</v>
      </c>
      <c r="AD452" s="323" t="e">
        <f t="shared" ca="1" si="200"/>
        <v>#N/A</v>
      </c>
      <c r="AE452" s="324" t="e">
        <f t="shared" ref="AE452:AE515" ca="1" si="208">IF(t&lt;T_para, pos_z, NA())</f>
        <v>#N/A</v>
      </c>
      <c r="AG452" s="306">
        <f t="shared" ca="1" si="201"/>
        <v>0.71658188164917824</v>
      </c>
      <c r="AH452" s="304">
        <f t="shared" ca="1" si="202"/>
        <v>-9.0748107238654274</v>
      </c>
    </row>
    <row r="453" spans="1:34" x14ac:dyDescent="0.2">
      <c r="A453" s="347">
        <f t="shared" ref="A453:A516" ca="1" si="209">IF(B452+0.01&lt;=T_ini+ROUNDUP(Temps_fin_propu,0), 0.01, IF(K452&gt;0, 0.1, 0.0001))</f>
        <v>1E-4</v>
      </c>
      <c r="B453" s="304">
        <f t="shared" ref="B453:B516" ca="1" si="210">B452+pas</f>
        <v>32.50660000000039</v>
      </c>
      <c r="D453" s="306">
        <f t="shared" ref="D453:D516" ca="1" si="211">IF(AND(L452&lt;L_rampe,Poussee&lt;Poids*SIN(M452)),0,(-W452+Poussee)/m*COS(M452)-U452/m*SIN(M452))</f>
        <v>-0.55866502877439428</v>
      </c>
      <c r="E453" s="307">
        <f t="shared" ref="E453:E516" ca="1" si="212">IF(AND(L452&lt;L_rampe,Poussee&lt;Poids*SIN(M452)),0,(-W452+Poussee)/m*SIN(M452)+U452/m*COS(M452)-Poids/m)</f>
        <v>-0.75237967244556891</v>
      </c>
      <c r="F453" s="304">
        <f t="shared" ref="F453:F516" ca="1" si="213">SQRT(acc_x^2+acc_z^2)</f>
        <v>0.93711353948430198</v>
      </c>
      <c r="G453" s="306">
        <f t="shared" ref="G453:G516" ca="1" si="214">G452+acc_x*pas</f>
        <v>5.962361225201235</v>
      </c>
      <c r="H453" s="307">
        <f t="shared" ref="H453:H516" ca="1" si="215">H452+acc_z*pas</f>
        <v>-96.66857508957699</v>
      </c>
      <c r="I453" s="304">
        <f t="shared" ref="I453:I516" ca="1" si="216">SQRT(vit_x^2+vit_z^2)</f>
        <v>96.852274940906625</v>
      </c>
      <c r="J453" s="306">
        <f t="shared" ref="J453:J516" ca="1" si="217">J452+0.5*(vit_x+G452)*pas*(K452&gt;=0)</f>
        <v>588.9746359926213</v>
      </c>
      <c r="K453" s="307">
        <f t="shared" ref="K453:K516" ca="1" si="218">K452+0.5*(vit_z+H452)*pas</f>
        <v>-8.0234064302509935</v>
      </c>
      <c r="L453" s="304">
        <f t="shared" ca="1" si="203"/>
        <v>589.02928356184952</v>
      </c>
      <c r="M453" s="306">
        <f t="shared" ref="M453:M516" ca="1" si="219">IF(AND(L452&gt;L_rampe,G453&gt;0),ATAN2(G453,H453),$M$4)</f>
        <v>-1.5091959803135169</v>
      </c>
      <c r="N453" s="304">
        <f t="shared" ref="N453:N516" ca="1" si="220">DEGREES(Beta)</f>
        <v>-86.470560130073395</v>
      </c>
      <c r="P453" s="310">
        <f t="shared" ref="P453:P516" ca="1" si="221">MATCH(t-pas/2-T_ini,CdP_t)</f>
        <v>23</v>
      </c>
      <c r="Q453" s="304">
        <f t="shared" ref="Q453:Q516" ca="1" si="222">(INDEX(CdP,2,i_P+1)-INDEX(CdP,2,i_P+0))/(INDEX(CdP,1,i_P+1)-INDEX(CdP,1,i_P+0))*(t-pas/2-T_ini-INDEX(CdP,1,i_P+0))+INDEX(CdP,2,i_P+0)</f>
        <v>0</v>
      </c>
      <c r="R453" s="306">
        <f t="shared" ref="R453:R516" ca="1" si="223">Poussee/(g*ISP)</f>
        <v>0</v>
      </c>
      <c r="S453" s="307">
        <f t="shared" ref="S453:S516" ca="1" si="224">S452-Débit*pas</f>
        <v>2.5949999999999998</v>
      </c>
      <c r="T453" s="304">
        <f t="shared" ca="1" si="204"/>
        <v>25.456949999999999</v>
      </c>
      <c r="U453" s="311">
        <f t="shared" ca="1" si="205"/>
        <v>0</v>
      </c>
      <c r="V453" s="306">
        <f t="shared" ca="1" si="206"/>
        <v>1.2259832617431352</v>
      </c>
      <c r="W453" s="304">
        <f t="shared" ca="1" si="207"/>
        <v>23.549249050200828</v>
      </c>
      <c r="Y453" s="314" t="str">
        <f t="shared" ref="Y453:Y516" ca="1" si="225">IF(AND(pos_z&lt;=0,K452&gt;0),"Impact balistique","") &amp; IF(AND(H454&lt;0,vit_z&gt;=0),"Apogée","") &amp; IF(AND(Poussee=0,Q452&gt;0),"Fin de propulsion","") &amp; IF(AND(L454&gt;L_rampe,pos_xz&lt;=L_rampe),"Sortie de rampe","")</f>
        <v/>
      </c>
      <c r="Z453" s="315" t="str">
        <f t="shared" ref="Z453:Z516" ca="1" si="226">IF(ABS(t-T_para)&lt;pas/2,"Para","")</f>
        <v/>
      </c>
      <c r="AA453" s="316" t="str">
        <f t="shared" ref="AA453:AA516" ca="1" si="227">IF(ABS(t-T_satellite)&lt;pas/2,"Satellite","")</f>
        <v/>
      </c>
      <c r="AC453" s="310" t="e">
        <f t="shared" ref="AC453:AC516" ca="1" si="228">IF(ABS(t-ROUND(t,0))&lt;0.001,t,NA())</f>
        <v>#N/A</v>
      </c>
      <c r="AD453" s="323" t="e">
        <f t="shared" ref="AD453:AD516" ca="1" si="229">IF(ABS(t-ROUND(t,0))&lt;0.001,pos_x,NA())</f>
        <v>#N/A</v>
      </c>
      <c r="AE453" s="324" t="e">
        <f t="shared" ca="1" si="208"/>
        <v>#N/A</v>
      </c>
      <c r="AG453" s="306">
        <f t="shared" ref="AG453:AG516" ca="1" si="230">IF(AND(L452&lt;L_rampe,Poussee&lt;Poids*SIN(M452)),0,(-W452+Poussee)/m-Poids*SIN(M452)/m)</f>
        <v>0.71656005732695327</v>
      </c>
      <c r="AH453" s="304">
        <f t="shared" ref="AH453:AH516" ca="1" si="231">IF(AND(L452&lt;L_rampe,Poussee&lt;Poids*SIN(M452)), g*SIN(M452), (-W452+Poussee)/m)</f>
        <v>-9.0748329247707229</v>
      </c>
    </row>
    <row r="454" spans="1:34" x14ac:dyDescent="0.2">
      <c r="A454" s="347">
        <f t="shared" ca="1" si="209"/>
        <v>1E-4</v>
      </c>
      <c r="B454" s="304">
        <f t="shared" ca="1" si="210"/>
        <v>32.506700000000393</v>
      </c>
      <c r="D454" s="306">
        <f t="shared" ca="1" si="211"/>
        <v>-0.55866074758212281</v>
      </c>
      <c r="E454" s="307">
        <f t="shared" ca="1" si="212"/>
        <v>-0.75235716565144806</v>
      </c>
      <c r="F454" s="304">
        <f t="shared" ca="1" si="213"/>
        <v>0.93709291726919841</v>
      </c>
      <c r="G454" s="306">
        <f t="shared" ca="1" si="214"/>
        <v>5.9623053591264767</v>
      </c>
      <c r="H454" s="307">
        <f t="shared" ca="1" si="215"/>
        <v>-96.668650325293555</v>
      </c>
      <c r="I454" s="304">
        <f t="shared" ca="1" si="216"/>
        <v>96.852346594748781</v>
      </c>
      <c r="J454" s="306">
        <f t="shared" ca="1" si="217"/>
        <v>588.9746359926213</v>
      </c>
      <c r="K454" s="307">
        <f t="shared" ca="1" si="218"/>
        <v>-8.0330732915217364</v>
      </c>
      <c r="L454" s="304">
        <f t="shared" ca="1" si="203"/>
        <v>589.02941531739111</v>
      </c>
      <c r="M454" s="306">
        <f t="shared" ca="1" si="219"/>
        <v>-1.5091966038578226</v>
      </c>
      <c r="N454" s="304">
        <f t="shared" ca="1" si="220"/>
        <v>-86.470595856530451</v>
      </c>
      <c r="P454" s="310">
        <f t="shared" ca="1" si="221"/>
        <v>23</v>
      </c>
      <c r="Q454" s="304">
        <f t="shared" ca="1" si="222"/>
        <v>0</v>
      </c>
      <c r="R454" s="306">
        <f t="shared" ca="1" si="223"/>
        <v>0</v>
      </c>
      <c r="S454" s="307">
        <f t="shared" ca="1" si="224"/>
        <v>2.5949999999999998</v>
      </c>
      <c r="T454" s="304">
        <f t="shared" ca="1" si="204"/>
        <v>25.456949999999999</v>
      </c>
      <c r="U454" s="311">
        <f t="shared" ca="1" si="205"/>
        <v>0</v>
      </c>
      <c r="V454" s="306">
        <f t="shared" ca="1" si="206"/>
        <v>1.2259844468849102</v>
      </c>
      <c r="W454" s="304">
        <f t="shared" ca="1" si="207"/>
        <v>23.549306659693226</v>
      </c>
      <c r="Y454" s="314" t="str">
        <f t="shared" ca="1" si="225"/>
        <v/>
      </c>
      <c r="Z454" s="315" t="str">
        <f t="shared" ca="1" si="226"/>
        <v/>
      </c>
      <c r="AA454" s="316" t="str">
        <f t="shared" ca="1" si="227"/>
        <v/>
      </c>
      <c r="AC454" s="310" t="e">
        <f t="shared" ca="1" si="228"/>
        <v>#N/A</v>
      </c>
      <c r="AD454" s="323" t="e">
        <f t="shared" ca="1" si="229"/>
        <v>#N/A</v>
      </c>
      <c r="AE454" s="324" t="e">
        <f t="shared" ca="1" si="208"/>
        <v>#N/A</v>
      </c>
      <c r="AG454" s="306">
        <f t="shared" ca="1" si="230"/>
        <v>0.71653823335461375</v>
      </c>
      <c r="AH454" s="304">
        <f t="shared" ca="1" si="231"/>
        <v>-9.0748551253182388</v>
      </c>
    </row>
    <row r="455" spans="1:34" x14ac:dyDescent="0.2">
      <c r="A455" s="347">
        <f t="shared" ca="1" si="209"/>
        <v>1E-4</v>
      </c>
      <c r="B455" s="304">
        <f t="shared" ca="1" si="210"/>
        <v>32.506800000000396</v>
      </c>
      <c r="D455" s="306">
        <f t="shared" ca="1" si="211"/>
        <v>-0.55865646640125122</v>
      </c>
      <c r="E455" s="307">
        <f t="shared" ca="1" si="212"/>
        <v>-0.7523346592200113</v>
      </c>
      <c r="F455" s="304">
        <f t="shared" ca="1" si="213"/>
        <v>0.93707229545837223</v>
      </c>
      <c r="G455" s="306">
        <f t="shared" ca="1" si="214"/>
        <v>5.9622494934798365</v>
      </c>
      <c r="H455" s="307">
        <f t="shared" ca="1" si="215"/>
        <v>-96.668725558759476</v>
      </c>
      <c r="I455" s="304">
        <f t="shared" ca="1" si="216"/>
        <v>96.852418246408575</v>
      </c>
      <c r="J455" s="306">
        <f t="shared" ca="1" si="217"/>
        <v>588.9746359926213</v>
      </c>
      <c r="K455" s="307">
        <f t="shared" ca="1" si="218"/>
        <v>-8.0427401603159385</v>
      </c>
      <c r="L455" s="304">
        <f t="shared" ca="1" si="203"/>
        <v>589.02954723165385</v>
      </c>
      <c r="M455" s="306">
        <f t="shared" ca="1" si="219"/>
        <v>-1.5091972273953633</v>
      </c>
      <c r="N455" s="304">
        <f t="shared" ca="1" si="220"/>
        <v>-86.470631582599907</v>
      </c>
      <c r="P455" s="310">
        <f t="shared" ca="1" si="221"/>
        <v>23</v>
      </c>
      <c r="Q455" s="304">
        <f t="shared" ca="1" si="222"/>
        <v>0</v>
      </c>
      <c r="R455" s="306">
        <f t="shared" ca="1" si="223"/>
        <v>0</v>
      </c>
      <c r="S455" s="307">
        <f t="shared" ca="1" si="224"/>
        <v>2.5949999999999998</v>
      </c>
      <c r="T455" s="304">
        <f t="shared" ca="1" si="204"/>
        <v>25.456949999999999</v>
      </c>
      <c r="U455" s="311">
        <f t="shared" ca="1" si="205"/>
        <v>0</v>
      </c>
      <c r="V455" s="306">
        <f t="shared" ca="1" si="206"/>
        <v>1.2259856320287539</v>
      </c>
      <c r="W455" s="304">
        <f t="shared" ca="1" si="207"/>
        <v>23.549364268257253</v>
      </c>
      <c r="Y455" s="314" t="str">
        <f t="shared" ca="1" si="225"/>
        <v/>
      </c>
      <c r="Z455" s="315" t="str">
        <f t="shared" ca="1" si="226"/>
        <v/>
      </c>
      <c r="AA455" s="316" t="str">
        <f t="shared" ca="1" si="227"/>
        <v/>
      </c>
      <c r="AC455" s="310" t="e">
        <f t="shared" ca="1" si="228"/>
        <v>#N/A</v>
      </c>
      <c r="AD455" s="323" t="e">
        <f t="shared" ca="1" si="229"/>
        <v>#N/A</v>
      </c>
      <c r="AE455" s="324" t="e">
        <f t="shared" ca="1" si="208"/>
        <v>#N/A</v>
      </c>
      <c r="AG455" s="306">
        <f t="shared" ca="1" si="230"/>
        <v>0.71651640973215258</v>
      </c>
      <c r="AH455" s="304">
        <f t="shared" ca="1" si="231"/>
        <v>-9.0748773255079875</v>
      </c>
    </row>
    <row r="456" spans="1:34" x14ac:dyDescent="0.2">
      <c r="A456" s="347">
        <f t="shared" ca="1" si="209"/>
        <v>1E-4</v>
      </c>
      <c r="B456" s="304">
        <f t="shared" ca="1" si="210"/>
        <v>32.5069000000004</v>
      </c>
      <c r="D456" s="306">
        <f t="shared" ca="1" si="211"/>
        <v>-0.55865218523178162</v>
      </c>
      <c r="E456" s="307">
        <f t="shared" ca="1" si="212"/>
        <v>-0.75231215315124622</v>
      </c>
      <c r="F456" s="304">
        <f t="shared" ca="1" si="213"/>
        <v>0.937051674051815</v>
      </c>
      <c r="G456" s="306">
        <f t="shared" ca="1" si="214"/>
        <v>5.9621936282613133</v>
      </c>
      <c r="H456" s="307">
        <f t="shared" ca="1" si="215"/>
        <v>-96.668800789974796</v>
      </c>
      <c r="I456" s="304">
        <f t="shared" ca="1" si="216"/>
        <v>96.852489895886052</v>
      </c>
      <c r="J456" s="306">
        <f t="shared" ca="1" si="217"/>
        <v>588.9746359926213</v>
      </c>
      <c r="K456" s="307">
        <f t="shared" ca="1" si="218"/>
        <v>-8.052407036633376</v>
      </c>
      <c r="L456" s="304">
        <f t="shared" ca="1" si="203"/>
        <v>589.02967930463774</v>
      </c>
      <c r="M456" s="306">
        <f t="shared" ca="1" si="219"/>
        <v>-1.5091978509261388</v>
      </c>
      <c r="N456" s="304">
        <f t="shared" ca="1" si="220"/>
        <v>-86.470667308281733</v>
      </c>
      <c r="P456" s="310">
        <f t="shared" ca="1" si="221"/>
        <v>23</v>
      </c>
      <c r="Q456" s="304">
        <f t="shared" ca="1" si="222"/>
        <v>0</v>
      </c>
      <c r="R456" s="306">
        <f t="shared" ca="1" si="223"/>
        <v>0</v>
      </c>
      <c r="S456" s="307">
        <f t="shared" ca="1" si="224"/>
        <v>2.5949999999999998</v>
      </c>
      <c r="T456" s="304">
        <f t="shared" ca="1" si="204"/>
        <v>25.456949999999999</v>
      </c>
      <c r="U456" s="311">
        <f t="shared" ca="1" si="205"/>
        <v>0</v>
      </c>
      <c r="V456" s="306">
        <f t="shared" ca="1" si="206"/>
        <v>1.2259868171746657</v>
      </c>
      <c r="W456" s="304">
        <f t="shared" ca="1" si="207"/>
        <v>23.549421875892893</v>
      </c>
      <c r="Y456" s="314" t="str">
        <f t="shared" ca="1" si="225"/>
        <v/>
      </c>
      <c r="Z456" s="315" t="str">
        <f t="shared" ca="1" si="226"/>
        <v/>
      </c>
      <c r="AA456" s="316" t="str">
        <f t="shared" ca="1" si="227"/>
        <v/>
      </c>
      <c r="AC456" s="310" t="e">
        <f t="shared" ca="1" si="228"/>
        <v>#N/A</v>
      </c>
      <c r="AD456" s="323" t="e">
        <f t="shared" ca="1" si="229"/>
        <v>#N/A</v>
      </c>
      <c r="AE456" s="324" t="e">
        <f t="shared" ca="1" si="208"/>
        <v>#N/A</v>
      </c>
      <c r="AG456" s="306">
        <f t="shared" ca="1" si="230"/>
        <v>0.71649458645954844</v>
      </c>
      <c r="AH456" s="304">
        <f t="shared" ca="1" si="231"/>
        <v>-9.0748995253399833</v>
      </c>
    </row>
    <row r="457" spans="1:34" x14ac:dyDescent="0.2">
      <c r="A457" s="347">
        <f t="shared" ca="1" si="209"/>
        <v>1E-4</v>
      </c>
      <c r="B457" s="304">
        <f t="shared" ca="1" si="210"/>
        <v>32.507000000000403</v>
      </c>
      <c r="D457" s="306">
        <f t="shared" ca="1" si="211"/>
        <v>-0.55864790407371656</v>
      </c>
      <c r="E457" s="307">
        <f t="shared" ca="1" si="212"/>
        <v>-0.75228964744516169</v>
      </c>
      <c r="F457" s="304">
        <f t="shared" ca="1" si="213"/>
        <v>0.93703105304953582</v>
      </c>
      <c r="G457" s="306">
        <f t="shared" ca="1" si="214"/>
        <v>5.9621377634709063</v>
      </c>
      <c r="H457" s="307">
        <f t="shared" ca="1" si="215"/>
        <v>-96.668876018939542</v>
      </c>
      <c r="I457" s="304">
        <f t="shared" ca="1" si="216"/>
        <v>96.852561543181238</v>
      </c>
      <c r="J457" s="306">
        <f t="shared" ca="1" si="217"/>
        <v>588.9746359926213</v>
      </c>
      <c r="K457" s="307">
        <f t="shared" ca="1" si="218"/>
        <v>-8.0620739204738214</v>
      </c>
      <c r="L457" s="304">
        <f t="shared" ca="1" si="203"/>
        <v>589.02981153634312</v>
      </c>
      <c r="M457" s="306">
        <f t="shared" ca="1" si="219"/>
        <v>-1.5091984744501497</v>
      </c>
      <c r="N457" s="304">
        <f t="shared" ca="1" si="220"/>
        <v>-86.470703033575987</v>
      </c>
      <c r="P457" s="310">
        <f t="shared" ca="1" si="221"/>
        <v>23</v>
      </c>
      <c r="Q457" s="304">
        <f t="shared" ca="1" si="222"/>
        <v>0</v>
      </c>
      <c r="R457" s="306">
        <f t="shared" ca="1" si="223"/>
        <v>0</v>
      </c>
      <c r="S457" s="307">
        <f t="shared" ca="1" si="224"/>
        <v>2.5949999999999998</v>
      </c>
      <c r="T457" s="304">
        <f t="shared" ca="1" si="204"/>
        <v>25.456949999999999</v>
      </c>
      <c r="U457" s="311">
        <f t="shared" ca="1" si="205"/>
        <v>0</v>
      </c>
      <c r="V457" s="306">
        <f t="shared" ca="1" si="206"/>
        <v>1.2259880023226462</v>
      </c>
      <c r="W457" s="304">
        <f t="shared" ca="1" si="207"/>
        <v>23.54947948260018</v>
      </c>
      <c r="Y457" s="314" t="str">
        <f t="shared" ca="1" si="225"/>
        <v/>
      </c>
      <c r="Z457" s="315" t="str">
        <f t="shared" ca="1" si="226"/>
        <v/>
      </c>
      <c r="AA457" s="316" t="str">
        <f t="shared" ca="1" si="227"/>
        <v/>
      </c>
      <c r="AC457" s="310" t="e">
        <f t="shared" ca="1" si="228"/>
        <v>#N/A</v>
      </c>
      <c r="AD457" s="323" t="e">
        <f t="shared" ca="1" si="229"/>
        <v>#N/A</v>
      </c>
      <c r="AE457" s="324" t="e">
        <f t="shared" ca="1" si="208"/>
        <v>#N/A</v>
      </c>
      <c r="AG457" s="306">
        <f t="shared" ca="1" si="230"/>
        <v>0.71647276353681555</v>
      </c>
      <c r="AH457" s="304">
        <f t="shared" ca="1" si="231"/>
        <v>-9.0749217248142173</v>
      </c>
    </row>
    <row r="458" spans="1:34" x14ac:dyDescent="0.2">
      <c r="A458" s="347">
        <f t="shared" ca="1" si="209"/>
        <v>1E-4</v>
      </c>
      <c r="B458" s="304">
        <f t="shared" ca="1" si="210"/>
        <v>32.507100000000406</v>
      </c>
      <c r="D458" s="306">
        <f t="shared" ca="1" si="211"/>
        <v>-0.55864362292705205</v>
      </c>
      <c r="E458" s="307">
        <f t="shared" ca="1" si="212"/>
        <v>-0.75226714210174173</v>
      </c>
      <c r="F458" s="304">
        <f t="shared" ca="1" si="213"/>
        <v>0.93701043245151994</v>
      </c>
      <c r="G458" s="306">
        <f t="shared" ca="1" si="214"/>
        <v>5.9620818991086137</v>
      </c>
      <c r="H458" s="307">
        <f t="shared" ca="1" si="215"/>
        <v>-96.668951245653759</v>
      </c>
      <c r="I458" s="304">
        <f t="shared" ca="1" si="216"/>
        <v>96.852633188294163</v>
      </c>
      <c r="J458" s="306">
        <f t="shared" ca="1" si="217"/>
        <v>588.9746359926213</v>
      </c>
      <c r="K458" s="307">
        <f t="shared" ca="1" si="218"/>
        <v>-8.0717408118370511</v>
      </c>
      <c r="L458" s="304">
        <f t="shared" ca="1" si="203"/>
        <v>589.02994392677033</v>
      </c>
      <c r="M458" s="306">
        <f t="shared" ca="1" si="219"/>
        <v>-1.5091990979673955</v>
      </c>
      <c r="N458" s="304">
        <f t="shared" ca="1" si="220"/>
        <v>-86.470738758482625</v>
      </c>
      <c r="P458" s="310">
        <f t="shared" ca="1" si="221"/>
        <v>23</v>
      </c>
      <c r="Q458" s="304">
        <f t="shared" ca="1" si="222"/>
        <v>0</v>
      </c>
      <c r="R458" s="306">
        <f t="shared" ca="1" si="223"/>
        <v>0</v>
      </c>
      <c r="S458" s="307">
        <f t="shared" ca="1" si="224"/>
        <v>2.5949999999999998</v>
      </c>
      <c r="T458" s="304">
        <f t="shared" ca="1" si="204"/>
        <v>25.456949999999999</v>
      </c>
      <c r="U458" s="311">
        <f t="shared" ca="1" si="205"/>
        <v>0</v>
      </c>
      <c r="V458" s="306">
        <f t="shared" ca="1" si="206"/>
        <v>1.2259891874726947</v>
      </c>
      <c r="W458" s="304">
        <f t="shared" ca="1" si="207"/>
        <v>23.549537088379093</v>
      </c>
      <c r="Y458" s="314" t="str">
        <f t="shared" ca="1" si="225"/>
        <v/>
      </c>
      <c r="Z458" s="315" t="str">
        <f t="shared" ca="1" si="226"/>
        <v/>
      </c>
      <c r="AA458" s="316" t="str">
        <f t="shared" ca="1" si="227"/>
        <v/>
      </c>
      <c r="AC458" s="310" t="e">
        <f t="shared" ca="1" si="228"/>
        <v>#N/A</v>
      </c>
      <c r="AD458" s="323" t="e">
        <f t="shared" ca="1" si="229"/>
        <v>#N/A</v>
      </c>
      <c r="AE458" s="324" t="e">
        <f t="shared" ca="1" si="208"/>
        <v>#N/A</v>
      </c>
      <c r="AG458" s="306">
        <f t="shared" ca="1" si="230"/>
        <v>0.71645094096393613</v>
      </c>
      <c r="AH458" s="304">
        <f t="shared" ca="1" si="231"/>
        <v>-9.0749439239307055</v>
      </c>
    </row>
    <row r="459" spans="1:34" x14ac:dyDescent="0.2">
      <c r="A459" s="347">
        <f t="shared" ca="1" si="209"/>
        <v>1E-4</v>
      </c>
      <c r="B459" s="304">
        <f t="shared" ca="1" si="210"/>
        <v>32.50720000000041</v>
      </c>
      <c r="D459" s="306">
        <f t="shared" ca="1" si="211"/>
        <v>-0.55863934179179275</v>
      </c>
      <c r="E459" s="307">
        <f t="shared" ca="1" si="212"/>
        <v>-0.75224463712099343</v>
      </c>
      <c r="F459" s="304">
        <f t="shared" ca="1" si="213"/>
        <v>0.93698981225777611</v>
      </c>
      <c r="G459" s="306">
        <f t="shared" ca="1" si="214"/>
        <v>5.9620260351744347</v>
      </c>
      <c r="H459" s="307">
        <f t="shared" ca="1" si="215"/>
        <v>-96.669026470117473</v>
      </c>
      <c r="I459" s="304">
        <f t="shared" ca="1" si="216"/>
        <v>96.852704831224884</v>
      </c>
      <c r="J459" s="306">
        <f t="shared" ca="1" si="217"/>
        <v>588.9746359926213</v>
      </c>
      <c r="K459" s="307">
        <f t="shared" ca="1" si="218"/>
        <v>-8.0814077107228393</v>
      </c>
      <c r="L459" s="304">
        <f t="shared" ca="1" si="203"/>
        <v>589.0300764759196</v>
      </c>
      <c r="M459" s="306">
        <f t="shared" ca="1" si="219"/>
        <v>-1.5091997214778767</v>
      </c>
      <c r="N459" s="304">
        <f t="shared" ca="1" si="220"/>
        <v>-86.470774483001676</v>
      </c>
      <c r="P459" s="310">
        <f t="shared" ca="1" si="221"/>
        <v>23</v>
      </c>
      <c r="Q459" s="304">
        <f t="shared" ca="1" si="222"/>
        <v>0</v>
      </c>
      <c r="R459" s="306">
        <f t="shared" ca="1" si="223"/>
        <v>0</v>
      </c>
      <c r="S459" s="307">
        <f t="shared" ca="1" si="224"/>
        <v>2.5949999999999998</v>
      </c>
      <c r="T459" s="304">
        <f t="shared" ca="1" si="204"/>
        <v>25.456949999999999</v>
      </c>
      <c r="U459" s="311">
        <f t="shared" ca="1" si="205"/>
        <v>0</v>
      </c>
      <c r="V459" s="306">
        <f t="shared" ca="1" si="206"/>
        <v>1.2259903726248123</v>
      </c>
      <c r="W459" s="304">
        <f t="shared" ca="1" si="207"/>
        <v>23.549594693229686</v>
      </c>
      <c r="Y459" s="314" t="str">
        <f t="shared" ca="1" si="225"/>
        <v/>
      </c>
      <c r="Z459" s="315" t="str">
        <f t="shared" ca="1" si="226"/>
        <v/>
      </c>
      <c r="AA459" s="316" t="str">
        <f t="shared" ca="1" si="227"/>
        <v/>
      </c>
      <c r="AC459" s="310" t="e">
        <f t="shared" ca="1" si="228"/>
        <v>#N/A</v>
      </c>
      <c r="AD459" s="323" t="e">
        <f t="shared" ca="1" si="229"/>
        <v>#N/A</v>
      </c>
      <c r="AE459" s="324" t="e">
        <f t="shared" ca="1" si="208"/>
        <v>#N/A</v>
      </c>
      <c r="AG459" s="306">
        <f t="shared" ca="1" si="230"/>
        <v>0.7164291187409173</v>
      </c>
      <c r="AH459" s="304">
        <f t="shared" ca="1" si="231"/>
        <v>-9.0749661226894389</v>
      </c>
    </row>
    <row r="460" spans="1:34" x14ac:dyDescent="0.2">
      <c r="A460" s="347">
        <f t="shared" ca="1" si="209"/>
        <v>1E-4</v>
      </c>
      <c r="B460" s="304">
        <f t="shared" ca="1" si="210"/>
        <v>32.507300000000413</v>
      </c>
      <c r="D460" s="306">
        <f t="shared" ca="1" si="211"/>
        <v>-0.55863506066793711</v>
      </c>
      <c r="E460" s="307">
        <f t="shared" ca="1" si="212"/>
        <v>-0.75222213250289549</v>
      </c>
      <c r="F460" s="304">
        <f t="shared" ca="1" si="213"/>
        <v>0.9369691924682868</v>
      </c>
      <c r="G460" s="306">
        <f t="shared" ca="1" si="214"/>
        <v>5.9619701716683675</v>
      </c>
      <c r="H460" s="307">
        <f t="shared" ca="1" si="215"/>
        <v>-96.669101692330727</v>
      </c>
      <c r="I460" s="304">
        <f t="shared" ca="1" si="216"/>
        <v>96.852776471973385</v>
      </c>
      <c r="J460" s="306">
        <f t="shared" ca="1" si="217"/>
        <v>588.9746359926213</v>
      </c>
      <c r="K460" s="307">
        <f t="shared" ca="1" si="218"/>
        <v>-8.0910746171309622</v>
      </c>
      <c r="L460" s="304">
        <f t="shared" ca="1" si="203"/>
        <v>589.03020918379116</v>
      </c>
      <c r="M460" s="306">
        <f t="shared" ca="1" si="219"/>
        <v>-1.5092003449815934</v>
      </c>
      <c r="N460" s="304">
        <f t="shared" ca="1" si="220"/>
        <v>-86.470810207133155</v>
      </c>
      <c r="P460" s="310">
        <f t="shared" ca="1" si="221"/>
        <v>23</v>
      </c>
      <c r="Q460" s="304">
        <f t="shared" ca="1" si="222"/>
        <v>0</v>
      </c>
      <c r="R460" s="306">
        <f t="shared" ca="1" si="223"/>
        <v>0</v>
      </c>
      <c r="S460" s="307">
        <f t="shared" ca="1" si="224"/>
        <v>2.5949999999999998</v>
      </c>
      <c r="T460" s="304">
        <f t="shared" ca="1" si="204"/>
        <v>25.456949999999999</v>
      </c>
      <c r="U460" s="311">
        <f t="shared" ca="1" si="205"/>
        <v>0</v>
      </c>
      <c r="V460" s="306">
        <f t="shared" ca="1" si="206"/>
        <v>1.2259915577789977</v>
      </c>
      <c r="W460" s="304">
        <f t="shared" ca="1" si="207"/>
        <v>23.549652297151923</v>
      </c>
      <c r="Y460" s="314" t="str">
        <f t="shared" ca="1" si="225"/>
        <v/>
      </c>
      <c r="Z460" s="315" t="str">
        <f t="shared" ca="1" si="226"/>
        <v/>
      </c>
      <c r="AA460" s="316" t="str">
        <f t="shared" ca="1" si="227"/>
        <v/>
      </c>
      <c r="AC460" s="310" t="e">
        <f t="shared" ca="1" si="228"/>
        <v>#N/A</v>
      </c>
      <c r="AD460" s="323" t="e">
        <f t="shared" ca="1" si="229"/>
        <v>#N/A</v>
      </c>
      <c r="AE460" s="324" t="e">
        <f t="shared" ca="1" si="208"/>
        <v>#N/A</v>
      </c>
      <c r="AG460" s="306">
        <f t="shared" ca="1" si="230"/>
        <v>0.71640729686774307</v>
      </c>
      <c r="AH460" s="304">
        <f t="shared" ca="1" si="231"/>
        <v>-9.074988321090439</v>
      </c>
    </row>
    <row r="461" spans="1:34" x14ac:dyDescent="0.2">
      <c r="A461" s="347">
        <f t="shared" ca="1" si="209"/>
        <v>1E-4</v>
      </c>
      <c r="B461" s="304">
        <f t="shared" ca="1" si="210"/>
        <v>32.507400000000416</v>
      </c>
      <c r="D461" s="306">
        <f t="shared" ca="1" si="211"/>
        <v>-0.55863077955548512</v>
      </c>
      <c r="E461" s="307">
        <f t="shared" ca="1" si="212"/>
        <v>-0.75219962824746567</v>
      </c>
      <c r="F461" s="304">
        <f t="shared" ca="1" si="213"/>
        <v>0.93694857308306656</v>
      </c>
      <c r="G461" s="306">
        <f t="shared" ca="1" si="214"/>
        <v>5.961914308590412</v>
      </c>
      <c r="H461" s="307">
        <f t="shared" ca="1" si="215"/>
        <v>-96.669176912293551</v>
      </c>
      <c r="I461" s="304">
        <f t="shared" ca="1" si="216"/>
        <v>96.852848110539753</v>
      </c>
      <c r="J461" s="306">
        <f t="shared" ca="1" si="217"/>
        <v>588.9746359926213</v>
      </c>
      <c r="K461" s="307">
        <f t="shared" ca="1" si="218"/>
        <v>-8.1007415310611925</v>
      </c>
      <c r="L461" s="304">
        <f t="shared" ca="1" si="203"/>
        <v>589.03034205038523</v>
      </c>
      <c r="M461" s="306">
        <f t="shared" ca="1" si="219"/>
        <v>-1.5092009684785455</v>
      </c>
      <c r="N461" s="304">
        <f t="shared" ca="1" si="220"/>
        <v>-86.470845930877047</v>
      </c>
      <c r="P461" s="310">
        <f t="shared" ca="1" si="221"/>
        <v>23</v>
      </c>
      <c r="Q461" s="304">
        <f t="shared" ca="1" si="222"/>
        <v>0</v>
      </c>
      <c r="R461" s="306">
        <f t="shared" ca="1" si="223"/>
        <v>0</v>
      </c>
      <c r="S461" s="307">
        <f t="shared" ca="1" si="224"/>
        <v>2.5949999999999998</v>
      </c>
      <c r="T461" s="304">
        <f t="shared" ca="1" si="204"/>
        <v>25.456949999999999</v>
      </c>
      <c r="U461" s="311">
        <f t="shared" ca="1" si="205"/>
        <v>0</v>
      </c>
      <c r="V461" s="306">
        <f t="shared" ca="1" si="206"/>
        <v>1.2259927429352513</v>
      </c>
      <c r="W461" s="304">
        <f t="shared" ca="1" si="207"/>
        <v>23.549709900145839</v>
      </c>
      <c r="Y461" s="314" t="str">
        <f t="shared" ca="1" si="225"/>
        <v/>
      </c>
      <c r="Z461" s="315" t="str">
        <f t="shared" ca="1" si="226"/>
        <v/>
      </c>
      <c r="AA461" s="316" t="str">
        <f t="shared" ca="1" si="227"/>
        <v/>
      </c>
      <c r="AC461" s="310" t="e">
        <f t="shared" ca="1" si="228"/>
        <v>#N/A</v>
      </c>
      <c r="AD461" s="323" t="e">
        <f t="shared" ca="1" si="229"/>
        <v>#N/A</v>
      </c>
      <c r="AE461" s="324" t="e">
        <f t="shared" ca="1" si="208"/>
        <v>#N/A</v>
      </c>
      <c r="AG461" s="306">
        <f t="shared" ca="1" si="230"/>
        <v>0.71638547534442587</v>
      </c>
      <c r="AH461" s="304">
        <f t="shared" ca="1" si="231"/>
        <v>-9.0750105191336896</v>
      </c>
    </row>
    <row r="462" spans="1:34" x14ac:dyDescent="0.2">
      <c r="A462" s="347">
        <f t="shared" ca="1" si="209"/>
        <v>1E-4</v>
      </c>
      <c r="B462" s="304">
        <f t="shared" ca="1" si="210"/>
        <v>32.50750000000042</v>
      </c>
      <c r="D462" s="306">
        <f t="shared" ca="1" si="211"/>
        <v>-0.55862649845443912</v>
      </c>
      <c r="E462" s="307">
        <f t="shared" ca="1" si="212"/>
        <v>-0.75217712435468798</v>
      </c>
      <c r="F462" s="304">
        <f t="shared" ca="1" si="213"/>
        <v>0.9369279541021045</v>
      </c>
      <c r="G462" s="306">
        <f t="shared" ca="1" si="214"/>
        <v>5.9618584459405666</v>
      </c>
      <c r="H462" s="307">
        <f t="shared" ca="1" si="215"/>
        <v>-96.669252130005987</v>
      </c>
      <c r="I462" s="304">
        <f t="shared" ca="1" si="216"/>
        <v>96.852919746923988</v>
      </c>
      <c r="J462" s="306">
        <f t="shared" ca="1" si="217"/>
        <v>588.9746359926213</v>
      </c>
      <c r="K462" s="307">
        <f t="shared" ca="1" si="218"/>
        <v>-8.1104084525133082</v>
      </c>
      <c r="L462" s="304">
        <f t="shared" ca="1" si="203"/>
        <v>589.03047507570216</v>
      </c>
      <c r="M462" s="306">
        <f t="shared" ca="1" si="219"/>
        <v>-1.5092015919687329</v>
      </c>
      <c r="N462" s="304">
        <f t="shared" ca="1" si="220"/>
        <v>-86.470881654233352</v>
      </c>
      <c r="P462" s="310">
        <f t="shared" ca="1" si="221"/>
        <v>23</v>
      </c>
      <c r="Q462" s="304">
        <f t="shared" ca="1" si="222"/>
        <v>0</v>
      </c>
      <c r="R462" s="306">
        <f t="shared" ca="1" si="223"/>
        <v>0</v>
      </c>
      <c r="S462" s="307">
        <f t="shared" ca="1" si="224"/>
        <v>2.5949999999999998</v>
      </c>
      <c r="T462" s="304">
        <f t="shared" ca="1" si="204"/>
        <v>25.456949999999999</v>
      </c>
      <c r="U462" s="311">
        <f t="shared" ca="1" si="205"/>
        <v>0</v>
      </c>
      <c r="V462" s="306">
        <f t="shared" ca="1" si="206"/>
        <v>1.2259939280935737</v>
      </c>
      <c r="W462" s="304">
        <f t="shared" ca="1" si="207"/>
        <v>23.549767502211456</v>
      </c>
      <c r="Y462" s="314" t="str">
        <f t="shared" ca="1" si="225"/>
        <v/>
      </c>
      <c r="Z462" s="315" t="str">
        <f t="shared" ca="1" si="226"/>
        <v/>
      </c>
      <c r="AA462" s="316" t="str">
        <f t="shared" ca="1" si="227"/>
        <v/>
      </c>
      <c r="AC462" s="310" t="e">
        <f t="shared" ca="1" si="228"/>
        <v>#N/A</v>
      </c>
      <c r="AD462" s="323" t="e">
        <f t="shared" ca="1" si="229"/>
        <v>#N/A</v>
      </c>
      <c r="AE462" s="324" t="e">
        <f t="shared" ca="1" si="208"/>
        <v>#N/A</v>
      </c>
      <c r="AG462" s="306">
        <f t="shared" ca="1" si="230"/>
        <v>0.71636365417094972</v>
      </c>
      <c r="AH462" s="304">
        <f t="shared" ca="1" si="231"/>
        <v>-9.0750327168192069</v>
      </c>
    </row>
    <row r="463" spans="1:34" x14ac:dyDescent="0.2">
      <c r="A463" s="347">
        <f t="shared" ca="1" si="209"/>
        <v>1E-4</v>
      </c>
      <c r="B463" s="304">
        <f t="shared" ca="1" si="210"/>
        <v>32.507600000000423</v>
      </c>
      <c r="D463" s="306">
        <f t="shared" ca="1" si="211"/>
        <v>-0.55862221736480044</v>
      </c>
      <c r="E463" s="307">
        <f t="shared" ca="1" si="212"/>
        <v>-0.75215462082455353</v>
      </c>
      <c r="F463" s="304">
        <f t="shared" ca="1" si="213"/>
        <v>0.93690733552539451</v>
      </c>
      <c r="G463" s="306">
        <f t="shared" ca="1" si="214"/>
        <v>5.9618025837188302</v>
      </c>
      <c r="H463" s="307">
        <f t="shared" ca="1" si="215"/>
        <v>-96.669327345468062</v>
      </c>
      <c r="I463" s="304">
        <f t="shared" ca="1" si="216"/>
        <v>96.852991381126145</v>
      </c>
      <c r="J463" s="306">
        <f t="shared" ca="1" si="217"/>
        <v>588.9746359926213</v>
      </c>
      <c r="K463" s="307">
        <f t="shared" ca="1" si="218"/>
        <v>-8.1200753814870819</v>
      </c>
      <c r="L463" s="304">
        <f t="shared" ca="1" si="203"/>
        <v>589.03060825974205</v>
      </c>
      <c r="M463" s="306">
        <f t="shared" ca="1" si="219"/>
        <v>-1.5092022154521563</v>
      </c>
      <c r="N463" s="304">
        <f t="shared" ca="1" si="220"/>
        <v>-86.470917377202113</v>
      </c>
      <c r="P463" s="310">
        <f t="shared" ca="1" si="221"/>
        <v>23</v>
      </c>
      <c r="Q463" s="304">
        <f t="shared" ca="1" si="222"/>
        <v>0</v>
      </c>
      <c r="R463" s="306">
        <f t="shared" ca="1" si="223"/>
        <v>0</v>
      </c>
      <c r="S463" s="307">
        <f t="shared" ca="1" si="224"/>
        <v>2.5949999999999998</v>
      </c>
      <c r="T463" s="304">
        <f t="shared" ca="1" si="204"/>
        <v>25.456949999999999</v>
      </c>
      <c r="U463" s="311">
        <f t="shared" ca="1" si="205"/>
        <v>0</v>
      </c>
      <c r="V463" s="306">
        <f t="shared" ca="1" si="206"/>
        <v>1.2259951132539642</v>
      </c>
      <c r="W463" s="304">
        <f t="shared" ca="1" si="207"/>
        <v>23.549825103348759</v>
      </c>
      <c r="Y463" s="314" t="str">
        <f t="shared" ca="1" si="225"/>
        <v/>
      </c>
      <c r="Z463" s="315" t="str">
        <f t="shared" ca="1" si="226"/>
        <v/>
      </c>
      <c r="AA463" s="316" t="str">
        <f t="shared" ca="1" si="227"/>
        <v/>
      </c>
      <c r="AC463" s="310" t="e">
        <f t="shared" ca="1" si="228"/>
        <v>#N/A</v>
      </c>
      <c r="AD463" s="323" t="e">
        <f t="shared" ca="1" si="229"/>
        <v>#N/A</v>
      </c>
      <c r="AE463" s="324" t="e">
        <f t="shared" ca="1" si="208"/>
        <v>#N/A</v>
      </c>
      <c r="AG463" s="306">
        <f t="shared" ca="1" si="230"/>
        <v>0.71634183334731105</v>
      </c>
      <c r="AH463" s="304">
        <f t="shared" ca="1" si="231"/>
        <v>-9.0750549141469978</v>
      </c>
    </row>
    <row r="464" spans="1:34" x14ac:dyDescent="0.2">
      <c r="A464" s="347">
        <f t="shared" ca="1" si="209"/>
        <v>1E-4</v>
      </c>
      <c r="B464" s="304">
        <f t="shared" ca="1" si="210"/>
        <v>32.507700000000426</v>
      </c>
      <c r="D464" s="306">
        <f t="shared" ca="1" si="211"/>
        <v>-0.55861793628656597</v>
      </c>
      <c r="E464" s="307">
        <f t="shared" ca="1" si="212"/>
        <v>-0.75213211765706767</v>
      </c>
      <c r="F464" s="304">
        <f t="shared" ca="1" si="213"/>
        <v>0.9368867173529396</v>
      </c>
      <c r="G464" s="306">
        <f t="shared" ca="1" si="214"/>
        <v>5.9617467219252012</v>
      </c>
      <c r="H464" s="307">
        <f t="shared" ca="1" si="215"/>
        <v>-96.669402558679835</v>
      </c>
      <c r="I464" s="304">
        <f t="shared" ca="1" si="216"/>
        <v>96.853063013146269</v>
      </c>
      <c r="J464" s="306">
        <f t="shared" ca="1" si="217"/>
        <v>588.9746359926213</v>
      </c>
      <c r="K464" s="307">
        <f t="shared" ca="1" si="218"/>
        <v>-8.1297423179822896</v>
      </c>
      <c r="L464" s="304">
        <f t="shared" ca="1" si="203"/>
        <v>589.03074160250549</v>
      </c>
      <c r="M464" s="306">
        <f t="shared" ca="1" si="219"/>
        <v>-1.5092028389288152</v>
      </c>
      <c r="N464" s="304">
        <f t="shared" ca="1" si="220"/>
        <v>-86.470953099783287</v>
      </c>
      <c r="P464" s="310">
        <f t="shared" ca="1" si="221"/>
        <v>23</v>
      </c>
      <c r="Q464" s="304">
        <f t="shared" ca="1" si="222"/>
        <v>0</v>
      </c>
      <c r="R464" s="306">
        <f t="shared" ca="1" si="223"/>
        <v>0</v>
      </c>
      <c r="S464" s="307">
        <f t="shared" ca="1" si="224"/>
        <v>2.5949999999999998</v>
      </c>
      <c r="T464" s="304">
        <f t="shared" ca="1" si="204"/>
        <v>25.456949999999999</v>
      </c>
      <c r="U464" s="311">
        <f t="shared" ca="1" si="205"/>
        <v>0</v>
      </c>
      <c r="V464" s="306">
        <f t="shared" ca="1" si="206"/>
        <v>1.2259962984164228</v>
      </c>
      <c r="W464" s="304">
        <f t="shared" ca="1" si="207"/>
        <v>23.549882703557792</v>
      </c>
      <c r="Y464" s="314" t="str">
        <f t="shared" ca="1" si="225"/>
        <v/>
      </c>
      <c r="Z464" s="315" t="str">
        <f t="shared" ca="1" si="226"/>
        <v/>
      </c>
      <c r="AA464" s="316" t="str">
        <f t="shared" ca="1" si="227"/>
        <v/>
      </c>
      <c r="AC464" s="310" t="e">
        <f t="shared" ca="1" si="228"/>
        <v>#N/A</v>
      </c>
      <c r="AD464" s="323" t="e">
        <f t="shared" ca="1" si="229"/>
        <v>#N/A</v>
      </c>
      <c r="AE464" s="324" t="e">
        <f t="shared" ca="1" si="208"/>
        <v>#N/A</v>
      </c>
      <c r="AG464" s="306">
        <f t="shared" ca="1" si="230"/>
        <v>0.71632001287350988</v>
      </c>
      <c r="AH464" s="304">
        <f t="shared" ca="1" si="231"/>
        <v>-9.0750771111170572</v>
      </c>
    </row>
    <row r="465" spans="1:34" x14ac:dyDescent="0.2">
      <c r="A465" s="347">
        <f t="shared" ca="1" si="209"/>
        <v>1E-4</v>
      </c>
      <c r="B465" s="304">
        <f t="shared" ca="1" si="210"/>
        <v>32.507800000000429</v>
      </c>
      <c r="D465" s="306">
        <f t="shared" ca="1" si="211"/>
        <v>-0.55861365521973994</v>
      </c>
      <c r="E465" s="307">
        <f t="shared" ca="1" si="212"/>
        <v>-0.75210961485221439</v>
      </c>
      <c r="F465" s="304">
        <f t="shared" ca="1" si="213"/>
        <v>0.93686609958472966</v>
      </c>
      <c r="G465" s="306">
        <f t="shared" ca="1" si="214"/>
        <v>5.9616908605596795</v>
      </c>
      <c r="H465" s="307">
        <f t="shared" ca="1" si="215"/>
        <v>-96.669477769641318</v>
      </c>
      <c r="I465" s="304">
        <f t="shared" ca="1" si="216"/>
        <v>96.853134642984358</v>
      </c>
      <c r="J465" s="306">
        <f t="shared" ca="1" si="217"/>
        <v>588.9746359926213</v>
      </c>
      <c r="K465" s="307">
        <f t="shared" ca="1" si="218"/>
        <v>-8.139409261998706</v>
      </c>
      <c r="L465" s="304">
        <f t="shared" ca="1" si="203"/>
        <v>589.03087510399234</v>
      </c>
      <c r="M465" s="306">
        <f t="shared" ca="1" si="219"/>
        <v>-1.5092034623987101</v>
      </c>
      <c r="N465" s="304">
        <f t="shared" ca="1" si="220"/>
        <v>-86.470988821976917</v>
      </c>
      <c r="P465" s="310">
        <f t="shared" ca="1" si="221"/>
        <v>23</v>
      </c>
      <c r="Q465" s="304">
        <f t="shared" ca="1" si="222"/>
        <v>0</v>
      </c>
      <c r="R465" s="306">
        <f t="shared" ca="1" si="223"/>
        <v>0</v>
      </c>
      <c r="S465" s="307">
        <f t="shared" ca="1" si="224"/>
        <v>2.5949999999999998</v>
      </c>
      <c r="T465" s="304">
        <f t="shared" ca="1" si="204"/>
        <v>25.456949999999999</v>
      </c>
      <c r="U465" s="311">
        <f t="shared" ca="1" si="205"/>
        <v>0</v>
      </c>
      <c r="V465" s="306">
        <f t="shared" ca="1" si="206"/>
        <v>1.22599748358095</v>
      </c>
      <c r="W465" s="304">
        <f t="shared" ca="1" si="207"/>
        <v>23.549940302838539</v>
      </c>
      <c r="Y465" s="314" t="str">
        <f t="shared" ca="1" si="225"/>
        <v/>
      </c>
      <c r="Z465" s="315" t="str">
        <f t="shared" ca="1" si="226"/>
        <v/>
      </c>
      <c r="AA465" s="316" t="str">
        <f t="shared" ca="1" si="227"/>
        <v/>
      </c>
      <c r="AC465" s="310" t="e">
        <f t="shared" ca="1" si="228"/>
        <v>#N/A</v>
      </c>
      <c r="AD465" s="323" t="e">
        <f t="shared" ca="1" si="229"/>
        <v>#N/A</v>
      </c>
      <c r="AE465" s="324" t="e">
        <f t="shared" ca="1" si="208"/>
        <v>#N/A</v>
      </c>
      <c r="AG465" s="306">
        <f t="shared" ca="1" si="230"/>
        <v>0.71629819274953554</v>
      </c>
      <c r="AH465" s="304">
        <f t="shared" ca="1" si="231"/>
        <v>-9.0750993077294009</v>
      </c>
    </row>
    <row r="466" spans="1:34" x14ac:dyDescent="0.2">
      <c r="A466" s="347">
        <f t="shared" ca="1" si="209"/>
        <v>1E-4</v>
      </c>
      <c r="B466" s="304">
        <f t="shared" ca="1" si="210"/>
        <v>32.507900000000433</v>
      </c>
      <c r="D466" s="306">
        <f t="shared" ca="1" si="211"/>
        <v>-0.55860937416432088</v>
      </c>
      <c r="E466" s="307">
        <f t="shared" ca="1" si="212"/>
        <v>-0.75208711241000259</v>
      </c>
      <c r="F466" s="304">
        <f t="shared" ca="1" si="213"/>
        <v>0.93684548222077169</v>
      </c>
      <c r="G466" s="306">
        <f t="shared" ca="1" si="214"/>
        <v>5.9616349996222633</v>
      </c>
      <c r="H466" s="307">
        <f t="shared" ca="1" si="215"/>
        <v>-96.669552978352556</v>
      </c>
      <c r="I466" s="304">
        <f t="shared" ca="1" si="216"/>
        <v>96.853206270640484</v>
      </c>
      <c r="J466" s="306">
        <f t="shared" ca="1" si="217"/>
        <v>588.9746359926213</v>
      </c>
      <c r="K466" s="307">
        <f t="shared" ca="1" si="218"/>
        <v>-8.1490762135361052</v>
      </c>
      <c r="L466" s="304">
        <f t="shared" ca="1" si="203"/>
        <v>589.03100876420308</v>
      </c>
      <c r="M466" s="306">
        <f t="shared" ca="1" si="219"/>
        <v>-1.509204085861841</v>
      </c>
      <c r="N466" s="304">
        <f t="shared" ca="1" si="220"/>
        <v>-86.471024543783003</v>
      </c>
      <c r="P466" s="310">
        <f t="shared" ca="1" si="221"/>
        <v>23</v>
      </c>
      <c r="Q466" s="304">
        <f t="shared" ca="1" si="222"/>
        <v>0</v>
      </c>
      <c r="R466" s="306">
        <f t="shared" ca="1" si="223"/>
        <v>0</v>
      </c>
      <c r="S466" s="307">
        <f t="shared" ca="1" si="224"/>
        <v>2.5949999999999998</v>
      </c>
      <c r="T466" s="304">
        <f t="shared" ca="1" si="204"/>
        <v>25.456949999999999</v>
      </c>
      <c r="U466" s="311">
        <f t="shared" ca="1" si="205"/>
        <v>0</v>
      </c>
      <c r="V466" s="306">
        <f t="shared" ca="1" si="206"/>
        <v>1.225998668747545</v>
      </c>
      <c r="W466" s="304">
        <f t="shared" ca="1" si="207"/>
        <v>23.54999790119102</v>
      </c>
      <c r="Y466" s="314" t="str">
        <f t="shared" ca="1" si="225"/>
        <v/>
      </c>
      <c r="Z466" s="315" t="str">
        <f t="shared" ca="1" si="226"/>
        <v/>
      </c>
      <c r="AA466" s="316" t="str">
        <f t="shared" ca="1" si="227"/>
        <v/>
      </c>
      <c r="AC466" s="310" t="e">
        <f t="shared" ca="1" si="228"/>
        <v>#N/A</v>
      </c>
      <c r="AD466" s="323" t="e">
        <f t="shared" ca="1" si="229"/>
        <v>#N/A</v>
      </c>
      <c r="AE466" s="324" t="e">
        <f t="shared" ca="1" si="208"/>
        <v>#N/A</v>
      </c>
      <c r="AG466" s="306">
        <f t="shared" ca="1" si="230"/>
        <v>0.71627637297538982</v>
      </c>
      <c r="AH466" s="304">
        <f t="shared" ca="1" si="231"/>
        <v>-9.0751215039840236</v>
      </c>
    </row>
    <row r="467" spans="1:34" x14ac:dyDescent="0.2">
      <c r="A467" s="347">
        <f t="shared" ca="1" si="209"/>
        <v>1E-4</v>
      </c>
      <c r="B467" s="304">
        <f t="shared" ca="1" si="210"/>
        <v>32.508000000000436</v>
      </c>
      <c r="D467" s="306">
        <f t="shared" ca="1" si="211"/>
        <v>-0.55860509312030848</v>
      </c>
      <c r="E467" s="307">
        <f t="shared" ca="1" si="212"/>
        <v>-0.75206461033041982</v>
      </c>
      <c r="F467" s="304">
        <f t="shared" ca="1" si="213"/>
        <v>0.93682486526105546</v>
      </c>
      <c r="G467" s="306">
        <f t="shared" ca="1" si="214"/>
        <v>5.9615791391129509</v>
      </c>
      <c r="H467" s="307">
        <f t="shared" ca="1" si="215"/>
        <v>-96.66962818481359</v>
      </c>
      <c r="I467" s="304">
        <f t="shared" ca="1" si="216"/>
        <v>96.853277896114662</v>
      </c>
      <c r="J467" s="306">
        <f t="shared" ca="1" si="217"/>
        <v>588.9746359926213</v>
      </c>
      <c r="K467" s="307">
        <f t="shared" ca="1" si="218"/>
        <v>-8.1587431725942636</v>
      </c>
      <c r="L467" s="304">
        <f t="shared" ca="1" si="203"/>
        <v>589.03114258313803</v>
      </c>
      <c r="M467" s="306">
        <f t="shared" ca="1" si="219"/>
        <v>-1.5092047093182077</v>
      </c>
      <c r="N467" s="304">
        <f t="shared" ca="1" si="220"/>
        <v>-86.47106026520153</v>
      </c>
      <c r="P467" s="310">
        <f t="shared" ca="1" si="221"/>
        <v>23</v>
      </c>
      <c r="Q467" s="304">
        <f t="shared" ca="1" si="222"/>
        <v>0</v>
      </c>
      <c r="R467" s="306">
        <f t="shared" ca="1" si="223"/>
        <v>0</v>
      </c>
      <c r="S467" s="307">
        <f t="shared" ca="1" si="224"/>
        <v>2.5949999999999998</v>
      </c>
      <c r="T467" s="304">
        <f t="shared" ca="1" si="204"/>
        <v>25.456949999999999</v>
      </c>
      <c r="U467" s="311">
        <f t="shared" ca="1" si="205"/>
        <v>0</v>
      </c>
      <c r="V467" s="306">
        <f t="shared" ca="1" si="206"/>
        <v>1.2259998539162082</v>
      </c>
      <c r="W467" s="304">
        <f t="shared" ca="1" si="207"/>
        <v>23.550055498615244</v>
      </c>
      <c r="Y467" s="314" t="str">
        <f t="shared" ca="1" si="225"/>
        <v/>
      </c>
      <c r="Z467" s="315" t="str">
        <f t="shared" ca="1" si="226"/>
        <v/>
      </c>
      <c r="AA467" s="316" t="str">
        <f t="shared" ca="1" si="227"/>
        <v/>
      </c>
      <c r="AC467" s="310" t="e">
        <f t="shared" ca="1" si="228"/>
        <v>#N/A</v>
      </c>
      <c r="AD467" s="323" t="e">
        <f t="shared" ca="1" si="229"/>
        <v>#N/A</v>
      </c>
      <c r="AE467" s="324" t="e">
        <f t="shared" ca="1" si="208"/>
        <v>#N/A</v>
      </c>
      <c r="AG467" s="306">
        <f t="shared" ca="1" si="230"/>
        <v>0.71625455355106915</v>
      </c>
      <c r="AH467" s="304">
        <f t="shared" ca="1" si="231"/>
        <v>-9.0751436998809325</v>
      </c>
    </row>
    <row r="468" spans="1:34" x14ac:dyDescent="0.2">
      <c r="A468" s="347">
        <f t="shared" ca="1" si="209"/>
        <v>1E-4</v>
      </c>
      <c r="B468" s="304">
        <f t="shared" ca="1" si="210"/>
        <v>32.508100000000439</v>
      </c>
      <c r="D468" s="306">
        <f t="shared" ca="1" si="211"/>
        <v>-0.55860081208770629</v>
      </c>
      <c r="E468" s="307">
        <f t="shared" ca="1" si="212"/>
        <v>-0.75204210861346255</v>
      </c>
      <c r="F468" s="304">
        <f t="shared" ca="1" si="213"/>
        <v>0.93680424870558088</v>
      </c>
      <c r="G468" s="306">
        <f t="shared" ca="1" si="214"/>
        <v>5.9615232790317423</v>
      </c>
      <c r="H468" s="307">
        <f t="shared" ca="1" si="215"/>
        <v>-96.669703389024448</v>
      </c>
      <c r="I468" s="304">
        <f t="shared" ca="1" si="216"/>
        <v>96.853349519406933</v>
      </c>
      <c r="J468" s="306">
        <f t="shared" ca="1" si="217"/>
        <v>588.9746359926213</v>
      </c>
      <c r="K468" s="307">
        <f t="shared" ca="1" si="218"/>
        <v>-8.1684101391729556</v>
      </c>
      <c r="L468" s="304">
        <f t="shared" ca="1" si="203"/>
        <v>589.03127656079732</v>
      </c>
      <c r="M468" s="306">
        <f t="shared" ca="1" si="219"/>
        <v>-1.5092053327678105</v>
      </c>
      <c r="N468" s="304">
        <f t="shared" ca="1" si="220"/>
        <v>-86.471095986232513</v>
      </c>
      <c r="P468" s="310">
        <f t="shared" ca="1" si="221"/>
        <v>23</v>
      </c>
      <c r="Q468" s="304">
        <f t="shared" ca="1" si="222"/>
        <v>0</v>
      </c>
      <c r="R468" s="306">
        <f t="shared" ca="1" si="223"/>
        <v>0</v>
      </c>
      <c r="S468" s="307">
        <f t="shared" ca="1" si="224"/>
        <v>2.5949999999999998</v>
      </c>
      <c r="T468" s="304">
        <f t="shared" ca="1" si="204"/>
        <v>25.456949999999999</v>
      </c>
      <c r="U468" s="311">
        <f t="shared" ca="1" si="205"/>
        <v>0</v>
      </c>
      <c r="V468" s="306">
        <f t="shared" ca="1" si="206"/>
        <v>1.2260010390869402</v>
      </c>
      <c r="W468" s="304">
        <f t="shared" ca="1" si="207"/>
        <v>23.550113095111239</v>
      </c>
      <c r="Y468" s="314" t="str">
        <f t="shared" ca="1" si="225"/>
        <v/>
      </c>
      <c r="Z468" s="315" t="str">
        <f t="shared" ca="1" si="226"/>
        <v/>
      </c>
      <c r="AA468" s="316" t="str">
        <f t="shared" ca="1" si="227"/>
        <v/>
      </c>
      <c r="AC468" s="310" t="e">
        <f t="shared" ca="1" si="228"/>
        <v>#N/A</v>
      </c>
      <c r="AD468" s="323" t="e">
        <f t="shared" ca="1" si="229"/>
        <v>#N/A</v>
      </c>
      <c r="AE468" s="324" t="e">
        <f t="shared" ca="1" si="208"/>
        <v>#N/A</v>
      </c>
      <c r="AG468" s="306">
        <f t="shared" ca="1" si="230"/>
        <v>0.71623273447656643</v>
      </c>
      <c r="AH468" s="304">
        <f t="shared" ca="1" si="231"/>
        <v>-9.0751658954201329</v>
      </c>
    </row>
    <row r="469" spans="1:34" x14ac:dyDescent="0.2">
      <c r="A469" s="347">
        <f t="shared" ca="1" si="209"/>
        <v>1E-4</v>
      </c>
      <c r="B469" s="304">
        <f t="shared" ca="1" si="210"/>
        <v>32.508200000000443</v>
      </c>
      <c r="D469" s="306">
        <f t="shared" ca="1" si="211"/>
        <v>-0.55859653106651386</v>
      </c>
      <c r="E469" s="307">
        <f t="shared" ca="1" si="212"/>
        <v>-0.75201960725912187</v>
      </c>
      <c r="F469" s="304">
        <f t="shared" ca="1" si="213"/>
        <v>0.93678363255434105</v>
      </c>
      <c r="G469" s="306">
        <f t="shared" ca="1" si="214"/>
        <v>5.9614674193786357</v>
      </c>
      <c r="H469" s="307">
        <f t="shared" ca="1" si="215"/>
        <v>-96.669778590985175</v>
      </c>
      <c r="I469" s="304">
        <f t="shared" ca="1" si="216"/>
        <v>96.853421140517327</v>
      </c>
      <c r="J469" s="306">
        <f t="shared" ca="1" si="217"/>
        <v>588.9746359926213</v>
      </c>
      <c r="K469" s="307">
        <f t="shared" ca="1" si="218"/>
        <v>-8.1780771132719554</v>
      </c>
      <c r="L469" s="304">
        <f t="shared" ca="1" si="203"/>
        <v>589.03141069718129</v>
      </c>
      <c r="M469" s="306">
        <f t="shared" ca="1" si="219"/>
        <v>-1.5092059562106497</v>
      </c>
      <c r="N469" s="304">
        <f t="shared" ca="1" si="220"/>
        <v>-86.471131706875966</v>
      </c>
      <c r="P469" s="310">
        <f t="shared" ca="1" si="221"/>
        <v>23</v>
      </c>
      <c r="Q469" s="304">
        <f t="shared" ca="1" si="222"/>
        <v>0</v>
      </c>
      <c r="R469" s="306">
        <f t="shared" ca="1" si="223"/>
        <v>0</v>
      </c>
      <c r="S469" s="307">
        <f t="shared" ca="1" si="224"/>
        <v>2.5949999999999998</v>
      </c>
      <c r="T469" s="304">
        <f t="shared" ca="1" si="204"/>
        <v>25.456949999999999</v>
      </c>
      <c r="U469" s="311">
        <f t="shared" ca="1" si="205"/>
        <v>0</v>
      </c>
      <c r="V469" s="306">
        <f t="shared" ca="1" si="206"/>
        <v>1.2260022242597399</v>
      </c>
      <c r="W469" s="304">
        <f t="shared" ca="1" si="207"/>
        <v>23.550170690678993</v>
      </c>
      <c r="Y469" s="314" t="str">
        <f t="shared" ca="1" si="225"/>
        <v/>
      </c>
      <c r="Z469" s="315" t="str">
        <f t="shared" ca="1" si="226"/>
        <v/>
      </c>
      <c r="AA469" s="316" t="str">
        <f t="shared" ca="1" si="227"/>
        <v/>
      </c>
      <c r="AC469" s="310" t="e">
        <f t="shared" ca="1" si="228"/>
        <v>#N/A</v>
      </c>
      <c r="AD469" s="323" t="e">
        <f t="shared" ca="1" si="229"/>
        <v>#N/A</v>
      </c>
      <c r="AE469" s="324" t="e">
        <f t="shared" ca="1" si="208"/>
        <v>#N/A</v>
      </c>
      <c r="AG469" s="306">
        <f t="shared" ca="1" si="230"/>
        <v>0.71621091575187101</v>
      </c>
      <c r="AH469" s="304">
        <f t="shared" ca="1" si="231"/>
        <v>-9.0751880906016353</v>
      </c>
    </row>
    <row r="470" spans="1:34" x14ac:dyDescent="0.2">
      <c r="A470" s="347">
        <f t="shared" ca="1" si="209"/>
        <v>1E-4</v>
      </c>
      <c r="B470" s="304">
        <f t="shared" ca="1" si="210"/>
        <v>32.508300000000446</v>
      </c>
      <c r="D470" s="306">
        <f t="shared" ca="1" si="211"/>
        <v>-0.55859225005672997</v>
      </c>
      <c r="E470" s="307">
        <f t="shared" ca="1" si="212"/>
        <v>-0.75199710626740313</v>
      </c>
      <c r="F470" s="304">
        <f t="shared" ca="1" si="213"/>
        <v>0.93676301680733975</v>
      </c>
      <c r="G470" s="306">
        <f t="shared" ca="1" si="214"/>
        <v>5.9614115601536302</v>
      </c>
      <c r="H470" s="307">
        <f t="shared" ca="1" si="215"/>
        <v>-96.669853790695797</v>
      </c>
      <c r="I470" s="304">
        <f t="shared" ca="1" si="216"/>
        <v>96.853492759445885</v>
      </c>
      <c r="J470" s="306">
        <f t="shared" ca="1" si="217"/>
        <v>588.9746359926213</v>
      </c>
      <c r="K470" s="307">
        <f t="shared" ca="1" si="218"/>
        <v>-8.1877440948910394</v>
      </c>
      <c r="L470" s="304">
        <f t="shared" ca="1" si="203"/>
        <v>589.03154499229004</v>
      </c>
      <c r="M470" s="306">
        <f t="shared" ca="1" si="219"/>
        <v>-1.5092065796467251</v>
      </c>
      <c r="N470" s="304">
        <f t="shared" ca="1" si="220"/>
        <v>-86.471167427131874</v>
      </c>
      <c r="P470" s="310">
        <f t="shared" ca="1" si="221"/>
        <v>23</v>
      </c>
      <c r="Q470" s="304">
        <f t="shared" ca="1" si="222"/>
        <v>0</v>
      </c>
      <c r="R470" s="306">
        <f t="shared" ca="1" si="223"/>
        <v>0</v>
      </c>
      <c r="S470" s="307">
        <f t="shared" ca="1" si="224"/>
        <v>2.5949999999999998</v>
      </c>
      <c r="T470" s="304">
        <f t="shared" ca="1" si="204"/>
        <v>25.456949999999999</v>
      </c>
      <c r="U470" s="311">
        <f t="shared" ca="1" si="205"/>
        <v>0</v>
      </c>
      <c r="V470" s="306">
        <f t="shared" ca="1" si="206"/>
        <v>1.2260034094346079</v>
      </c>
      <c r="W470" s="304">
        <f t="shared" ca="1" si="207"/>
        <v>23.550228285318532</v>
      </c>
      <c r="Y470" s="314" t="str">
        <f t="shared" ca="1" si="225"/>
        <v/>
      </c>
      <c r="Z470" s="315" t="str">
        <f t="shared" ca="1" si="226"/>
        <v/>
      </c>
      <c r="AA470" s="316" t="str">
        <f t="shared" ca="1" si="227"/>
        <v/>
      </c>
      <c r="AC470" s="310" t="e">
        <f t="shared" ca="1" si="228"/>
        <v>#N/A</v>
      </c>
      <c r="AD470" s="323" t="e">
        <f t="shared" ca="1" si="229"/>
        <v>#N/A</v>
      </c>
      <c r="AE470" s="324" t="e">
        <f t="shared" ca="1" si="208"/>
        <v>#N/A</v>
      </c>
      <c r="AG470" s="306">
        <f t="shared" ca="1" si="230"/>
        <v>0.71618909737699354</v>
      </c>
      <c r="AH470" s="304">
        <f t="shared" ca="1" si="231"/>
        <v>-9.0752102854254311</v>
      </c>
    </row>
    <row r="471" spans="1:34" x14ac:dyDescent="0.2">
      <c r="A471" s="347">
        <f t="shared" ca="1" si="209"/>
        <v>1E-4</v>
      </c>
      <c r="B471" s="304">
        <f t="shared" ca="1" si="210"/>
        <v>32.508400000000449</v>
      </c>
      <c r="D471" s="306">
        <f t="shared" ca="1" si="211"/>
        <v>-0.55858796905835673</v>
      </c>
      <c r="E471" s="307">
        <f t="shared" ca="1" si="212"/>
        <v>-0.75197460563829388</v>
      </c>
      <c r="F471" s="304">
        <f t="shared" ca="1" si="213"/>
        <v>0.93674240146456877</v>
      </c>
      <c r="G471" s="306">
        <f t="shared" ca="1" si="214"/>
        <v>5.961355701356724</v>
      </c>
      <c r="H471" s="307">
        <f t="shared" ca="1" si="215"/>
        <v>-96.669928988156357</v>
      </c>
      <c r="I471" s="304">
        <f t="shared" ca="1" si="216"/>
        <v>96.853564376192637</v>
      </c>
      <c r="J471" s="306">
        <f t="shared" ca="1" si="217"/>
        <v>588.9746359926213</v>
      </c>
      <c r="K471" s="307">
        <f t="shared" ca="1" si="218"/>
        <v>-8.1974110840299819</v>
      </c>
      <c r="L471" s="304">
        <f t="shared" ca="1" si="203"/>
        <v>589.03167944612392</v>
      </c>
      <c r="M471" s="306">
        <f t="shared" ca="1" si="219"/>
        <v>-1.5092072030760371</v>
      </c>
      <c r="N471" s="304">
        <f t="shared" ca="1" si="220"/>
        <v>-86.471203147000281</v>
      </c>
      <c r="P471" s="310">
        <f t="shared" ca="1" si="221"/>
        <v>23</v>
      </c>
      <c r="Q471" s="304">
        <f t="shared" ca="1" si="222"/>
        <v>0</v>
      </c>
      <c r="R471" s="306">
        <f t="shared" ca="1" si="223"/>
        <v>0</v>
      </c>
      <c r="S471" s="307">
        <f t="shared" ca="1" si="224"/>
        <v>2.5949999999999998</v>
      </c>
      <c r="T471" s="304">
        <f t="shared" ca="1" si="204"/>
        <v>25.456949999999999</v>
      </c>
      <c r="U471" s="311">
        <f t="shared" ca="1" si="205"/>
        <v>0</v>
      </c>
      <c r="V471" s="306">
        <f t="shared" ca="1" si="206"/>
        <v>1.2260045946115441</v>
      </c>
      <c r="W471" s="304">
        <f t="shared" ca="1" si="207"/>
        <v>23.550285879029865</v>
      </c>
      <c r="Y471" s="314" t="str">
        <f t="shared" ca="1" si="225"/>
        <v/>
      </c>
      <c r="Z471" s="315" t="str">
        <f t="shared" ca="1" si="226"/>
        <v/>
      </c>
      <c r="AA471" s="316" t="str">
        <f t="shared" ca="1" si="227"/>
        <v/>
      </c>
      <c r="AC471" s="310" t="e">
        <f t="shared" ca="1" si="228"/>
        <v>#N/A</v>
      </c>
      <c r="AD471" s="323" t="e">
        <f t="shared" ca="1" si="229"/>
        <v>#N/A</v>
      </c>
      <c r="AE471" s="324" t="e">
        <f t="shared" ca="1" si="208"/>
        <v>#N/A</v>
      </c>
      <c r="AG471" s="306">
        <f t="shared" ca="1" si="230"/>
        <v>0.71616727935191626</v>
      </c>
      <c r="AH471" s="304">
        <f t="shared" ca="1" si="231"/>
        <v>-9.075232479891536</v>
      </c>
    </row>
    <row r="472" spans="1:34" x14ac:dyDescent="0.2">
      <c r="A472" s="347">
        <f t="shared" ca="1" si="209"/>
        <v>1E-4</v>
      </c>
      <c r="B472" s="304">
        <f t="shared" ca="1" si="210"/>
        <v>32.508500000000453</v>
      </c>
      <c r="D472" s="306">
        <f t="shared" ca="1" si="211"/>
        <v>-0.55858368807139291</v>
      </c>
      <c r="E472" s="307">
        <f t="shared" ca="1" si="212"/>
        <v>-0.75195210537179591</v>
      </c>
      <c r="F472" s="304">
        <f t="shared" ca="1" si="213"/>
        <v>0.93672178652602911</v>
      </c>
      <c r="G472" s="306">
        <f t="shared" ca="1" si="214"/>
        <v>5.9612998429879172</v>
      </c>
      <c r="H472" s="307">
        <f t="shared" ca="1" si="215"/>
        <v>-96.670004183366899</v>
      </c>
      <c r="I472" s="304">
        <f t="shared" ca="1" si="216"/>
        <v>96.853635990757638</v>
      </c>
      <c r="J472" s="306">
        <f t="shared" ca="1" si="217"/>
        <v>588.9746359926213</v>
      </c>
      <c r="K472" s="307">
        <f t="shared" ca="1" si="218"/>
        <v>-8.2070780806885573</v>
      </c>
      <c r="L472" s="304">
        <f t="shared" ca="1" si="203"/>
        <v>589.03181405868327</v>
      </c>
      <c r="M472" s="306">
        <f t="shared" ca="1" si="219"/>
        <v>-1.5092078264985853</v>
      </c>
      <c r="N472" s="304">
        <f t="shared" ca="1" si="220"/>
        <v>-86.471238866481144</v>
      </c>
      <c r="P472" s="310">
        <f t="shared" ca="1" si="221"/>
        <v>23</v>
      </c>
      <c r="Q472" s="304">
        <f t="shared" ca="1" si="222"/>
        <v>0</v>
      </c>
      <c r="R472" s="306">
        <f t="shared" ca="1" si="223"/>
        <v>0</v>
      </c>
      <c r="S472" s="307">
        <f t="shared" ca="1" si="224"/>
        <v>2.5949999999999998</v>
      </c>
      <c r="T472" s="304">
        <f t="shared" ca="1" si="204"/>
        <v>25.456949999999999</v>
      </c>
      <c r="U472" s="311">
        <f t="shared" ca="1" si="205"/>
        <v>0</v>
      </c>
      <c r="V472" s="306">
        <f t="shared" ca="1" si="206"/>
        <v>1.2260057797905481</v>
      </c>
      <c r="W472" s="304">
        <f t="shared" ca="1" si="207"/>
        <v>23.550343471813004</v>
      </c>
      <c r="Y472" s="314" t="str">
        <f t="shared" ca="1" si="225"/>
        <v/>
      </c>
      <c r="Z472" s="315" t="str">
        <f t="shared" ca="1" si="226"/>
        <v/>
      </c>
      <c r="AA472" s="316" t="str">
        <f t="shared" ca="1" si="227"/>
        <v/>
      </c>
      <c r="AC472" s="310" t="e">
        <f t="shared" ca="1" si="228"/>
        <v>#N/A</v>
      </c>
      <c r="AD472" s="323" t="e">
        <f t="shared" ca="1" si="229"/>
        <v>#N/A</v>
      </c>
      <c r="AE472" s="324" t="e">
        <f t="shared" ca="1" si="208"/>
        <v>#N/A</v>
      </c>
      <c r="AG472" s="306">
        <f t="shared" ca="1" si="230"/>
        <v>0.71614546167664095</v>
      </c>
      <c r="AH472" s="304">
        <f t="shared" ca="1" si="231"/>
        <v>-9.0752546739999485</v>
      </c>
    </row>
    <row r="473" spans="1:34" x14ac:dyDescent="0.2">
      <c r="A473" s="347">
        <f t="shared" ca="1" si="209"/>
        <v>1E-4</v>
      </c>
      <c r="B473" s="304">
        <f t="shared" ca="1" si="210"/>
        <v>32.508600000000456</v>
      </c>
      <c r="D473" s="306">
        <f t="shared" ca="1" si="211"/>
        <v>-0.55857940709584242</v>
      </c>
      <c r="E473" s="307">
        <f t="shared" ca="1" si="212"/>
        <v>-0.75192960546789678</v>
      </c>
      <c r="F473" s="304">
        <f t="shared" ca="1" si="213"/>
        <v>0.93670117199171354</v>
      </c>
      <c r="G473" s="306">
        <f t="shared" ca="1" si="214"/>
        <v>5.9612439850472079</v>
      </c>
      <c r="H473" s="307">
        <f t="shared" ca="1" si="215"/>
        <v>-96.67007937632745</v>
      </c>
      <c r="I473" s="304">
        <f t="shared" ca="1" si="216"/>
        <v>96.85370760314089</v>
      </c>
      <c r="J473" s="306">
        <f t="shared" ca="1" si="217"/>
        <v>588.9746359926213</v>
      </c>
      <c r="K473" s="307">
        <f t="shared" ca="1" si="218"/>
        <v>-8.2167450848665418</v>
      </c>
      <c r="L473" s="304">
        <f t="shared" ca="1" si="203"/>
        <v>589.03194882996831</v>
      </c>
      <c r="M473" s="306">
        <f t="shared" ca="1" si="219"/>
        <v>-1.5092084499143701</v>
      </c>
      <c r="N473" s="304">
        <f t="shared" ca="1" si="220"/>
        <v>-86.471274585574491</v>
      </c>
      <c r="P473" s="310">
        <f t="shared" ca="1" si="221"/>
        <v>23</v>
      </c>
      <c r="Q473" s="304">
        <f t="shared" ca="1" si="222"/>
        <v>0</v>
      </c>
      <c r="R473" s="306">
        <f t="shared" ca="1" si="223"/>
        <v>0</v>
      </c>
      <c r="S473" s="307">
        <f t="shared" ca="1" si="224"/>
        <v>2.5949999999999998</v>
      </c>
      <c r="T473" s="304">
        <f t="shared" ca="1" si="204"/>
        <v>25.456949999999999</v>
      </c>
      <c r="U473" s="311">
        <f t="shared" ca="1" si="205"/>
        <v>0</v>
      </c>
      <c r="V473" s="306">
        <f t="shared" ca="1" si="206"/>
        <v>1.2260069649716205</v>
      </c>
      <c r="W473" s="304">
        <f t="shared" ca="1" si="207"/>
        <v>23.550401063667955</v>
      </c>
      <c r="Y473" s="314" t="str">
        <f t="shared" ca="1" si="225"/>
        <v/>
      </c>
      <c r="Z473" s="315" t="str">
        <f t="shared" ca="1" si="226"/>
        <v/>
      </c>
      <c r="AA473" s="316" t="str">
        <f t="shared" ca="1" si="227"/>
        <v/>
      </c>
      <c r="AC473" s="310" t="e">
        <f t="shared" ca="1" si="228"/>
        <v>#N/A</v>
      </c>
      <c r="AD473" s="323" t="e">
        <f t="shared" ca="1" si="229"/>
        <v>#N/A</v>
      </c>
      <c r="AE473" s="324" t="e">
        <f t="shared" ca="1" si="208"/>
        <v>#N/A</v>
      </c>
      <c r="AG473" s="306">
        <f t="shared" ca="1" si="230"/>
        <v>0.71612364435116049</v>
      </c>
      <c r="AH473" s="304">
        <f t="shared" ca="1" si="231"/>
        <v>-9.0752768677506772</v>
      </c>
    </row>
    <row r="474" spans="1:34" x14ac:dyDescent="0.2">
      <c r="A474" s="347">
        <f t="shared" ca="1" si="209"/>
        <v>1E-4</v>
      </c>
      <c r="B474" s="304">
        <f t="shared" ca="1" si="210"/>
        <v>32.508700000000459</v>
      </c>
      <c r="D474" s="306">
        <f t="shared" ca="1" si="211"/>
        <v>-0.55857512613170424</v>
      </c>
      <c r="E474" s="307">
        <f t="shared" ca="1" si="212"/>
        <v>-0.75190710592659826</v>
      </c>
      <c r="F474" s="304">
        <f t="shared" ca="1" si="213"/>
        <v>0.9366805578616233</v>
      </c>
      <c r="G474" s="306">
        <f t="shared" ca="1" si="214"/>
        <v>5.9611881275345944</v>
      </c>
      <c r="H474" s="307">
        <f t="shared" ca="1" si="215"/>
        <v>-96.67015456703804</v>
      </c>
      <c r="I474" s="304">
        <f t="shared" ca="1" si="216"/>
        <v>96.853779213342449</v>
      </c>
      <c r="J474" s="306">
        <f t="shared" ca="1" si="217"/>
        <v>588.9746359926213</v>
      </c>
      <c r="K474" s="307">
        <f t="shared" ca="1" si="218"/>
        <v>-8.2264120965637098</v>
      </c>
      <c r="L474" s="304">
        <f t="shared" ca="1" si="203"/>
        <v>589.03208375997929</v>
      </c>
      <c r="M474" s="306">
        <f t="shared" ca="1" si="219"/>
        <v>-1.5092090733233916</v>
      </c>
      <c r="N474" s="304">
        <f t="shared" ca="1" si="220"/>
        <v>-86.471310304280337</v>
      </c>
      <c r="P474" s="310">
        <f t="shared" ca="1" si="221"/>
        <v>23</v>
      </c>
      <c r="Q474" s="304">
        <f t="shared" ca="1" si="222"/>
        <v>0</v>
      </c>
      <c r="R474" s="306">
        <f t="shared" ca="1" si="223"/>
        <v>0</v>
      </c>
      <c r="S474" s="307">
        <f t="shared" ca="1" si="224"/>
        <v>2.5949999999999998</v>
      </c>
      <c r="T474" s="304">
        <f t="shared" ca="1" si="204"/>
        <v>25.456949999999999</v>
      </c>
      <c r="U474" s="311">
        <f t="shared" ca="1" si="205"/>
        <v>0</v>
      </c>
      <c r="V474" s="306">
        <f t="shared" ca="1" si="206"/>
        <v>1.2260081501547604</v>
      </c>
      <c r="W474" s="304">
        <f t="shared" ca="1" si="207"/>
        <v>23.550458654594724</v>
      </c>
      <c r="Y474" s="314" t="str">
        <f t="shared" ca="1" si="225"/>
        <v/>
      </c>
      <c r="Z474" s="315" t="str">
        <f t="shared" ca="1" si="226"/>
        <v/>
      </c>
      <c r="AA474" s="316" t="str">
        <f t="shared" ca="1" si="227"/>
        <v/>
      </c>
      <c r="AC474" s="310" t="e">
        <f t="shared" ca="1" si="228"/>
        <v>#N/A</v>
      </c>
      <c r="AD474" s="323" t="e">
        <f t="shared" ca="1" si="229"/>
        <v>#N/A</v>
      </c>
      <c r="AE474" s="324" t="e">
        <f t="shared" ca="1" si="208"/>
        <v>#N/A</v>
      </c>
      <c r="AG474" s="306">
        <f t="shared" ca="1" si="230"/>
        <v>0.7161018273754749</v>
      </c>
      <c r="AH474" s="304">
        <f t="shared" ca="1" si="231"/>
        <v>-9.0752990611437223</v>
      </c>
    </row>
    <row r="475" spans="1:34" x14ac:dyDescent="0.2">
      <c r="A475" s="347">
        <f t="shared" ca="1" si="209"/>
        <v>1E-4</v>
      </c>
      <c r="B475" s="304">
        <f t="shared" ca="1" si="210"/>
        <v>32.508800000000463</v>
      </c>
      <c r="D475" s="306">
        <f t="shared" ca="1" si="211"/>
        <v>-0.5585708451789777</v>
      </c>
      <c r="E475" s="307">
        <f t="shared" ca="1" si="212"/>
        <v>-0.75188460674789859</v>
      </c>
      <c r="F475" s="304">
        <f t="shared" ca="1" si="213"/>
        <v>0.93665994413575715</v>
      </c>
      <c r="G475" s="306">
        <f t="shared" ca="1" si="214"/>
        <v>5.9611322704500767</v>
      </c>
      <c r="H475" s="307">
        <f t="shared" ca="1" si="215"/>
        <v>-96.67022975549871</v>
      </c>
      <c r="I475" s="304">
        <f t="shared" ca="1" si="216"/>
        <v>96.853850821362343</v>
      </c>
      <c r="J475" s="306">
        <f t="shared" ca="1" si="217"/>
        <v>588.9746359926213</v>
      </c>
      <c r="K475" s="307">
        <f t="shared" ca="1" si="218"/>
        <v>-8.2360791157798374</v>
      </c>
      <c r="L475" s="304">
        <f t="shared" ca="1" si="203"/>
        <v>589.03221884871641</v>
      </c>
      <c r="M475" s="306">
        <f t="shared" ca="1" si="219"/>
        <v>-1.5092096967256499</v>
      </c>
      <c r="N475" s="304">
        <f t="shared" ca="1" si="220"/>
        <v>-86.471346022598681</v>
      </c>
      <c r="P475" s="310">
        <f t="shared" ca="1" si="221"/>
        <v>23</v>
      </c>
      <c r="Q475" s="304">
        <f t="shared" ca="1" si="222"/>
        <v>0</v>
      </c>
      <c r="R475" s="306">
        <f t="shared" ca="1" si="223"/>
        <v>0</v>
      </c>
      <c r="S475" s="307">
        <f t="shared" ca="1" si="224"/>
        <v>2.5949999999999998</v>
      </c>
      <c r="T475" s="304">
        <f t="shared" ca="1" si="204"/>
        <v>25.456949999999999</v>
      </c>
      <c r="U475" s="311">
        <f t="shared" ca="1" si="205"/>
        <v>0</v>
      </c>
      <c r="V475" s="306">
        <f t="shared" ca="1" si="206"/>
        <v>1.226009335339969</v>
      </c>
      <c r="W475" s="304">
        <f t="shared" ca="1" si="207"/>
        <v>23.550516244593343</v>
      </c>
      <c r="Y475" s="314" t="str">
        <f t="shared" ca="1" si="225"/>
        <v/>
      </c>
      <c r="Z475" s="315" t="str">
        <f t="shared" ca="1" si="226"/>
        <v/>
      </c>
      <c r="AA475" s="316" t="str">
        <f t="shared" ca="1" si="227"/>
        <v/>
      </c>
      <c r="AC475" s="310" t="e">
        <f t="shared" ca="1" si="228"/>
        <v>#N/A</v>
      </c>
      <c r="AD475" s="323" t="e">
        <f t="shared" ca="1" si="229"/>
        <v>#N/A</v>
      </c>
      <c r="AE475" s="324" t="e">
        <f t="shared" ca="1" si="208"/>
        <v>#N/A</v>
      </c>
      <c r="AG475" s="306">
        <f t="shared" ca="1" si="230"/>
        <v>0.71608001074958239</v>
      </c>
      <c r="AH475" s="304">
        <f t="shared" ca="1" si="231"/>
        <v>-9.0753212541790855</v>
      </c>
    </row>
    <row r="476" spans="1:34" x14ac:dyDescent="0.2">
      <c r="A476" s="347">
        <f t="shared" ca="1" si="209"/>
        <v>1E-4</v>
      </c>
      <c r="B476" s="304">
        <f t="shared" ca="1" si="210"/>
        <v>32.508900000000466</v>
      </c>
      <c r="D476" s="306">
        <f t="shared" ca="1" si="211"/>
        <v>-0.55856656423766471</v>
      </c>
      <c r="E476" s="307">
        <f t="shared" ca="1" si="212"/>
        <v>-0.75186210793178354</v>
      </c>
      <c r="F476" s="304">
        <f t="shared" ca="1" si="213"/>
        <v>0.93663933081410478</v>
      </c>
      <c r="G476" s="306">
        <f t="shared" ca="1" si="214"/>
        <v>5.9610764137936529</v>
      </c>
      <c r="H476" s="307">
        <f t="shared" ca="1" si="215"/>
        <v>-96.670304941709503</v>
      </c>
      <c r="I476" s="304">
        <f t="shared" ca="1" si="216"/>
        <v>96.853922427200601</v>
      </c>
      <c r="J476" s="306">
        <f t="shared" ca="1" si="217"/>
        <v>588.9746359926213</v>
      </c>
      <c r="K476" s="307">
        <f t="shared" ca="1" si="218"/>
        <v>-8.2457461425146974</v>
      </c>
      <c r="L476" s="304">
        <f t="shared" ca="1" si="203"/>
        <v>589.03235409617992</v>
      </c>
      <c r="M476" s="306">
        <f t="shared" ca="1" si="219"/>
        <v>-1.5092103201211451</v>
      </c>
      <c r="N476" s="304">
        <f t="shared" ca="1" si="220"/>
        <v>-86.471381740529523</v>
      </c>
      <c r="P476" s="310">
        <f t="shared" ca="1" si="221"/>
        <v>23</v>
      </c>
      <c r="Q476" s="304">
        <f t="shared" ca="1" si="222"/>
        <v>0</v>
      </c>
      <c r="R476" s="306">
        <f t="shared" ca="1" si="223"/>
        <v>0</v>
      </c>
      <c r="S476" s="307">
        <f t="shared" ca="1" si="224"/>
        <v>2.5949999999999998</v>
      </c>
      <c r="T476" s="304">
        <f t="shared" ca="1" si="204"/>
        <v>25.456949999999999</v>
      </c>
      <c r="U476" s="311">
        <f t="shared" ca="1" si="205"/>
        <v>0</v>
      </c>
      <c r="V476" s="306">
        <f t="shared" ca="1" si="206"/>
        <v>1.2260105205272451</v>
      </c>
      <c r="W476" s="304">
        <f t="shared" ca="1" si="207"/>
        <v>23.550573833663794</v>
      </c>
      <c r="Y476" s="314" t="str">
        <f t="shared" ca="1" si="225"/>
        <v/>
      </c>
      <c r="Z476" s="315" t="str">
        <f t="shared" ca="1" si="226"/>
        <v/>
      </c>
      <c r="AA476" s="316" t="str">
        <f t="shared" ca="1" si="227"/>
        <v/>
      </c>
      <c r="AC476" s="310" t="e">
        <f t="shared" ca="1" si="228"/>
        <v>#N/A</v>
      </c>
      <c r="AD476" s="323" t="e">
        <f t="shared" ca="1" si="229"/>
        <v>#N/A</v>
      </c>
      <c r="AE476" s="324" t="e">
        <f t="shared" ca="1" si="208"/>
        <v>#N/A</v>
      </c>
      <c r="AG476" s="306">
        <f t="shared" ca="1" si="230"/>
        <v>0.71605819447346875</v>
      </c>
      <c r="AH476" s="304">
        <f t="shared" ca="1" si="231"/>
        <v>-9.0753434468567811</v>
      </c>
    </row>
    <row r="477" spans="1:34" x14ac:dyDescent="0.2">
      <c r="A477" s="347">
        <f t="shared" ca="1" si="209"/>
        <v>1E-4</v>
      </c>
      <c r="B477" s="304">
        <f t="shared" ca="1" si="210"/>
        <v>32.509000000000469</v>
      </c>
      <c r="D477" s="306">
        <f t="shared" ca="1" si="211"/>
        <v>-0.55856228330776392</v>
      </c>
      <c r="E477" s="307">
        <f t="shared" ca="1" si="212"/>
        <v>-0.75183960947826023</v>
      </c>
      <c r="F477" s="304">
        <f t="shared" ca="1" si="213"/>
        <v>0.93661871789667195</v>
      </c>
      <c r="G477" s="306">
        <f t="shared" ca="1" si="214"/>
        <v>5.9610205575653223</v>
      </c>
      <c r="H477" s="307">
        <f t="shared" ca="1" si="215"/>
        <v>-96.670380125670448</v>
      </c>
      <c r="I477" s="304">
        <f t="shared" ca="1" si="216"/>
        <v>96.853994030857265</v>
      </c>
      <c r="J477" s="306">
        <f t="shared" ca="1" si="217"/>
        <v>588.9746359926213</v>
      </c>
      <c r="K477" s="307">
        <f t="shared" ca="1" si="218"/>
        <v>-8.2554131767680659</v>
      </c>
      <c r="L477" s="304">
        <f t="shared" ca="1" si="203"/>
        <v>589.03248950237025</v>
      </c>
      <c r="M477" s="306">
        <f t="shared" ca="1" si="219"/>
        <v>-1.5092109435098773</v>
      </c>
      <c r="N477" s="304">
        <f t="shared" ca="1" si="220"/>
        <v>-86.471417458072864</v>
      </c>
      <c r="P477" s="310">
        <f t="shared" ca="1" si="221"/>
        <v>23</v>
      </c>
      <c r="Q477" s="304">
        <f t="shared" ca="1" si="222"/>
        <v>0</v>
      </c>
      <c r="R477" s="306">
        <f t="shared" ca="1" si="223"/>
        <v>0</v>
      </c>
      <c r="S477" s="307">
        <f t="shared" ca="1" si="224"/>
        <v>2.5949999999999998</v>
      </c>
      <c r="T477" s="304">
        <f t="shared" ca="1" si="204"/>
        <v>25.456949999999999</v>
      </c>
      <c r="U477" s="311">
        <f t="shared" ca="1" si="205"/>
        <v>0</v>
      </c>
      <c r="V477" s="306">
        <f t="shared" ca="1" si="206"/>
        <v>1.2260117057165894</v>
      </c>
      <c r="W477" s="304">
        <f t="shared" ca="1" si="207"/>
        <v>23.550631421806109</v>
      </c>
      <c r="Y477" s="314" t="str">
        <f t="shared" ca="1" si="225"/>
        <v/>
      </c>
      <c r="Z477" s="315" t="str">
        <f t="shared" ca="1" si="226"/>
        <v/>
      </c>
      <c r="AA477" s="316" t="str">
        <f t="shared" ca="1" si="227"/>
        <v/>
      </c>
      <c r="AC477" s="310" t="e">
        <f t="shared" ca="1" si="228"/>
        <v>#N/A</v>
      </c>
      <c r="AD477" s="323" t="e">
        <f t="shared" ca="1" si="229"/>
        <v>#N/A</v>
      </c>
      <c r="AE477" s="324" t="e">
        <f t="shared" ca="1" si="208"/>
        <v>#N/A</v>
      </c>
      <c r="AG477" s="306">
        <f t="shared" ca="1" si="230"/>
        <v>0.71603637854714464</v>
      </c>
      <c r="AH477" s="304">
        <f t="shared" ca="1" si="231"/>
        <v>-9.0753656391768001</v>
      </c>
    </row>
    <row r="478" spans="1:34" x14ac:dyDescent="0.2">
      <c r="A478" s="347">
        <f t="shared" ca="1" si="209"/>
        <v>1E-4</v>
      </c>
      <c r="B478" s="304">
        <f t="shared" ca="1" si="210"/>
        <v>32.509100000000473</v>
      </c>
      <c r="D478" s="306">
        <f t="shared" ca="1" si="211"/>
        <v>-0.55855800238927722</v>
      </c>
      <c r="E478" s="307">
        <f t="shared" ca="1" si="212"/>
        <v>-0.75181711138731977</v>
      </c>
      <c r="F478" s="304">
        <f t="shared" ca="1" si="213"/>
        <v>0.93659810538345278</v>
      </c>
      <c r="G478" s="306">
        <f t="shared" ca="1" si="214"/>
        <v>5.9609647017650831</v>
      </c>
      <c r="H478" s="307">
        <f t="shared" ca="1" si="215"/>
        <v>-96.670455307381587</v>
      </c>
      <c r="I478" s="304">
        <f t="shared" ca="1" si="216"/>
        <v>96.854065632332393</v>
      </c>
      <c r="J478" s="306">
        <f t="shared" ca="1" si="217"/>
        <v>588.9746359926213</v>
      </c>
      <c r="K478" s="307">
        <f t="shared" ca="1" si="218"/>
        <v>-8.265080218539719</v>
      </c>
      <c r="L478" s="304">
        <f t="shared" ca="1" si="203"/>
        <v>589.03262506728743</v>
      </c>
      <c r="M478" s="306">
        <f t="shared" ca="1" si="219"/>
        <v>-1.5092115668918464</v>
      </c>
      <c r="N478" s="304">
        <f t="shared" ca="1" si="220"/>
        <v>-86.471453175228731</v>
      </c>
      <c r="P478" s="310">
        <f t="shared" ca="1" si="221"/>
        <v>23</v>
      </c>
      <c r="Q478" s="304">
        <f t="shared" ca="1" si="222"/>
        <v>0</v>
      </c>
      <c r="R478" s="306">
        <f t="shared" ca="1" si="223"/>
        <v>0</v>
      </c>
      <c r="S478" s="307">
        <f t="shared" ca="1" si="224"/>
        <v>2.5949999999999998</v>
      </c>
      <c r="T478" s="304">
        <f t="shared" ca="1" si="204"/>
        <v>25.456949999999999</v>
      </c>
      <c r="U478" s="311">
        <f t="shared" ca="1" si="205"/>
        <v>0</v>
      </c>
      <c r="V478" s="306">
        <f t="shared" ca="1" si="206"/>
        <v>1.2260128909080015</v>
      </c>
      <c r="W478" s="304">
        <f t="shared" ca="1" si="207"/>
        <v>23.550689009020314</v>
      </c>
      <c r="Y478" s="314" t="str">
        <f t="shared" ca="1" si="225"/>
        <v/>
      </c>
      <c r="Z478" s="315" t="str">
        <f t="shared" ca="1" si="226"/>
        <v/>
      </c>
      <c r="AA478" s="316" t="str">
        <f t="shared" ca="1" si="227"/>
        <v/>
      </c>
      <c r="AC478" s="310" t="e">
        <f t="shared" ca="1" si="228"/>
        <v>#N/A</v>
      </c>
      <c r="AD478" s="323" t="e">
        <f t="shared" ca="1" si="229"/>
        <v>#N/A</v>
      </c>
      <c r="AE478" s="324" t="e">
        <f t="shared" ca="1" si="208"/>
        <v>#N/A</v>
      </c>
      <c r="AG478" s="306">
        <f t="shared" ca="1" si="230"/>
        <v>0.71601456297059229</v>
      </c>
      <c r="AH478" s="304">
        <f t="shared" ca="1" si="231"/>
        <v>-9.0753878311391567</v>
      </c>
    </row>
    <row r="479" spans="1:34" x14ac:dyDescent="0.2">
      <c r="A479" s="347">
        <f t="shared" ca="1" si="209"/>
        <v>1E-4</v>
      </c>
      <c r="B479" s="304">
        <f t="shared" ca="1" si="210"/>
        <v>32.509200000000476</v>
      </c>
      <c r="D479" s="306">
        <f t="shared" ca="1" si="211"/>
        <v>-0.55855372148220639</v>
      </c>
      <c r="E479" s="307">
        <f t="shared" ca="1" si="212"/>
        <v>-0.75179461365894618</v>
      </c>
      <c r="F479" s="304">
        <f t="shared" ca="1" si="213"/>
        <v>0.93657749327443607</v>
      </c>
      <c r="G479" s="306">
        <f t="shared" ca="1" si="214"/>
        <v>5.9609088463929352</v>
      </c>
      <c r="H479" s="307">
        <f t="shared" ca="1" si="215"/>
        <v>-96.670530486842949</v>
      </c>
      <c r="I479" s="304">
        <f t="shared" ca="1" si="216"/>
        <v>96.854137231625984</v>
      </c>
      <c r="J479" s="306">
        <f t="shared" ca="1" si="217"/>
        <v>588.9746359926213</v>
      </c>
      <c r="K479" s="307">
        <f t="shared" ca="1" si="218"/>
        <v>-8.2747472678294294</v>
      </c>
      <c r="L479" s="304">
        <f t="shared" ca="1" si="203"/>
        <v>589.03276079093189</v>
      </c>
      <c r="M479" s="306">
        <f t="shared" ca="1" si="219"/>
        <v>-1.5092121902670526</v>
      </c>
      <c r="N479" s="304">
        <f t="shared" ca="1" si="220"/>
        <v>-86.471488891997097</v>
      </c>
      <c r="P479" s="310">
        <f t="shared" ca="1" si="221"/>
        <v>23</v>
      </c>
      <c r="Q479" s="304">
        <f t="shared" ca="1" si="222"/>
        <v>0</v>
      </c>
      <c r="R479" s="306">
        <f t="shared" ca="1" si="223"/>
        <v>0</v>
      </c>
      <c r="S479" s="307">
        <f t="shared" ca="1" si="224"/>
        <v>2.5949999999999998</v>
      </c>
      <c r="T479" s="304">
        <f t="shared" ca="1" si="204"/>
        <v>25.456949999999999</v>
      </c>
      <c r="U479" s="311">
        <f t="shared" ca="1" si="205"/>
        <v>0</v>
      </c>
      <c r="V479" s="306">
        <f t="shared" ca="1" si="206"/>
        <v>1.2260140761014819</v>
      </c>
      <c r="W479" s="304">
        <f t="shared" ca="1" si="207"/>
        <v>23.5507465953064</v>
      </c>
      <c r="Y479" s="314" t="str">
        <f t="shared" ca="1" si="225"/>
        <v/>
      </c>
      <c r="Z479" s="315" t="str">
        <f t="shared" ca="1" si="226"/>
        <v/>
      </c>
      <c r="AA479" s="316" t="str">
        <f t="shared" ca="1" si="227"/>
        <v/>
      </c>
      <c r="AC479" s="310" t="e">
        <f t="shared" ca="1" si="228"/>
        <v>#N/A</v>
      </c>
      <c r="AD479" s="323" t="e">
        <f t="shared" ca="1" si="229"/>
        <v>#N/A</v>
      </c>
      <c r="AE479" s="324" t="e">
        <f t="shared" ca="1" si="208"/>
        <v>#N/A</v>
      </c>
      <c r="AG479" s="306">
        <f t="shared" ca="1" si="230"/>
        <v>0.71599274774380461</v>
      </c>
      <c r="AH479" s="304">
        <f t="shared" ca="1" si="231"/>
        <v>-9.0754100227438599</v>
      </c>
    </row>
    <row r="480" spans="1:34" x14ac:dyDescent="0.2">
      <c r="A480" s="347">
        <f t="shared" ca="1" si="209"/>
        <v>1E-4</v>
      </c>
      <c r="B480" s="304">
        <f t="shared" ca="1" si="210"/>
        <v>32.509300000000479</v>
      </c>
      <c r="D480" s="306">
        <f t="shared" ca="1" si="211"/>
        <v>-0.5585494405865522</v>
      </c>
      <c r="E480" s="307">
        <f t="shared" ca="1" si="212"/>
        <v>-0.75177211629314833</v>
      </c>
      <c r="F480" s="304">
        <f t="shared" ca="1" si="213"/>
        <v>0.93655688156962968</v>
      </c>
      <c r="G480" s="306">
        <f t="shared" ca="1" si="214"/>
        <v>5.9608529914488768</v>
      </c>
      <c r="H480" s="307">
        <f t="shared" ca="1" si="215"/>
        <v>-96.670605664054577</v>
      </c>
      <c r="I480" s="304">
        <f t="shared" ca="1" si="216"/>
        <v>96.854208828738081</v>
      </c>
      <c r="J480" s="306">
        <f t="shared" ca="1" si="217"/>
        <v>588.9746359926213</v>
      </c>
      <c r="K480" s="307">
        <f t="shared" ca="1" si="218"/>
        <v>-8.284414324636975</v>
      </c>
      <c r="L480" s="304">
        <f t="shared" ca="1" si="203"/>
        <v>589.03289667330387</v>
      </c>
      <c r="M480" s="306">
        <f t="shared" ca="1" si="219"/>
        <v>-1.5092128136354961</v>
      </c>
      <c r="N480" s="304">
        <f t="shared" ca="1" si="220"/>
        <v>-86.47152460837799</v>
      </c>
      <c r="P480" s="310">
        <f t="shared" ca="1" si="221"/>
        <v>23</v>
      </c>
      <c r="Q480" s="304">
        <f t="shared" ca="1" si="222"/>
        <v>0</v>
      </c>
      <c r="R480" s="306">
        <f t="shared" ca="1" si="223"/>
        <v>0</v>
      </c>
      <c r="S480" s="307">
        <f t="shared" ca="1" si="224"/>
        <v>2.5949999999999998</v>
      </c>
      <c r="T480" s="304">
        <f t="shared" ca="1" si="204"/>
        <v>25.456949999999999</v>
      </c>
      <c r="U480" s="311">
        <f t="shared" ca="1" si="205"/>
        <v>0</v>
      </c>
      <c r="V480" s="306">
        <f t="shared" ca="1" si="206"/>
        <v>1.2260152612970296</v>
      </c>
      <c r="W480" s="304">
        <f t="shared" ca="1" si="207"/>
        <v>23.550804180664361</v>
      </c>
      <c r="Y480" s="314" t="str">
        <f t="shared" ca="1" si="225"/>
        <v/>
      </c>
      <c r="Z480" s="315" t="str">
        <f t="shared" ca="1" si="226"/>
        <v/>
      </c>
      <c r="AA480" s="316" t="str">
        <f t="shared" ca="1" si="227"/>
        <v/>
      </c>
      <c r="AC480" s="310" t="e">
        <f t="shared" ca="1" si="228"/>
        <v>#N/A</v>
      </c>
      <c r="AD480" s="323" t="e">
        <f t="shared" ca="1" si="229"/>
        <v>#N/A</v>
      </c>
      <c r="AE480" s="324" t="e">
        <f t="shared" ca="1" si="208"/>
        <v>#N/A</v>
      </c>
      <c r="AG480" s="306">
        <f t="shared" ca="1" si="230"/>
        <v>0.71597093286678692</v>
      </c>
      <c r="AH480" s="304">
        <f t="shared" ca="1" si="231"/>
        <v>-9.075432213990906</v>
      </c>
    </row>
    <row r="481" spans="1:34" x14ac:dyDescent="0.2">
      <c r="A481" s="347">
        <f t="shared" ca="1" si="209"/>
        <v>1E-4</v>
      </c>
      <c r="B481" s="304">
        <f t="shared" ca="1" si="210"/>
        <v>32.509400000000483</v>
      </c>
      <c r="D481" s="306">
        <f t="shared" ca="1" si="211"/>
        <v>-0.55854515970231189</v>
      </c>
      <c r="E481" s="307">
        <f t="shared" ca="1" si="212"/>
        <v>-0.75174961928992445</v>
      </c>
      <c r="F481" s="304">
        <f t="shared" ca="1" si="213"/>
        <v>0.93653627026903097</v>
      </c>
      <c r="G481" s="306">
        <f t="shared" ca="1" si="214"/>
        <v>5.9607971369329062</v>
      </c>
      <c r="H481" s="307">
        <f t="shared" ca="1" si="215"/>
        <v>-96.670680839016512</v>
      </c>
      <c r="I481" s="304">
        <f t="shared" ca="1" si="216"/>
        <v>96.85428042366874</v>
      </c>
      <c r="J481" s="306">
        <f t="shared" ca="1" si="217"/>
        <v>588.9746359926213</v>
      </c>
      <c r="K481" s="307">
        <f t="shared" ca="1" si="218"/>
        <v>-8.2940813889621285</v>
      </c>
      <c r="L481" s="304">
        <f t="shared" ca="1" si="203"/>
        <v>589.03303271440348</v>
      </c>
      <c r="M481" s="306">
        <f t="shared" ca="1" si="219"/>
        <v>-1.5092134369971768</v>
      </c>
      <c r="N481" s="304">
        <f t="shared" ca="1" si="220"/>
        <v>-86.471560324371396</v>
      </c>
      <c r="P481" s="310">
        <f t="shared" ca="1" si="221"/>
        <v>23</v>
      </c>
      <c r="Q481" s="304">
        <f t="shared" ca="1" si="222"/>
        <v>0</v>
      </c>
      <c r="R481" s="306">
        <f t="shared" ca="1" si="223"/>
        <v>0</v>
      </c>
      <c r="S481" s="307">
        <f t="shared" ca="1" si="224"/>
        <v>2.5949999999999998</v>
      </c>
      <c r="T481" s="304">
        <f t="shared" ca="1" si="204"/>
        <v>25.456949999999999</v>
      </c>
      <c r="U481" s="311">
        <f t="shared" ca="1" si="205"/>
        <v>0</v>
      </c>
      <c r="V481" s="306">
        <f t="shared" ca="1" si="206"/>
        <v>1.2260164464946455</v>
      </c>
      <c r="W481" s="304">
        <f t="shared" ca="1" si="207"/>
        <v>23.550861765094247</v>
      </c>
      <c r="Y481" s="314" t="str">
        <f t="shared" ca="1" si="225"/>
        <v/>
      </c>
      <c r="Z481" s="315" t="str">
        <f t="shared" ca="1" si="226"/>
        <v/>
      </c>
      <c r="AA481" s="316" t="str">
        <f t="shared" ca="1" si="227"/>
        <v/>
      </c>
      <c r="AC481" s="310" t="e">
        <f t="shared" ca="1" si="228"/>
        <v>#N/A</v>
      </c>
      <c r="AD481" s="323" t="e">
        <f t="shared" ca="1" si="229"/>
        <v>#N/A</v>
      </c>
      <c r="AE481" s="324" t="e">
        <f t="shared" ca="1" si="208"/>
        <v>#N/A</v>
      </c>
      <c r="AG481" s="306">
        <f t="shared" ca="1" si="230"/>
        <v>0.71594911833953923</v>
      </c>
      <c r="AH481" s="304">
        <f t="shared" ca="1" si="231"/>
        <v>-9.0754544048802934</v>
      </c>
    </row>
    <row r="482" spans="1:34" x14ac:dyDescent="0.2">
      <c r="A482" s="347">
        <f t="shared" ca="1" si="209"/>
        <v>1E-4</v>
      </c>
      <c r="B482" s="304">
        <f t="shared" ca="1" si="210"/>
        <v>32.509500000000486</v>
      </c>
      <c r="D482" s="306">
        <f t="shared" ca="1" si="211"/>
        <v>-0.55854087882948955</v>
      </c>
      <c r="E482" s="307">
        <f t="shared" ca="1" si="212"/>
        <v>-0.75172712264925678</v>
      </c>
      <c r="F482" s="304">
        <f t="shared" ca="1" si="213"/>
        <v>0.93651565937262859</v>
      </c>
      <c r="G482" s="306">
        <f t="shared" ca="1" si="214"/>
        <v>5.9607412828450235</v>
      </c>
      <c r="H482" s="307">
        <f t="shared" ca="1" si="215"/>
        <v>-96.670756011728784</v>
      </c>
      <c r="I482" s="304">
        <f t="shared" ca="1" si="216"/>
        <v>96.854352016417977</v>
      </c>
      <c r="J482" s="306">
        <f t="shared" ca="1" si="217"/>
        <v>588.9746359926213</v>
      </c>
      <c r="K482" s="307">
        <f t="shared" ca="1" si="218"/>
        <v>-8.3037484608046661</v>
      </c>
      <c r="L482" s="304">
        <f t="shared" ca="1" si="203"/>
        <v>589.03316891423106</v>
      </c>
      <c r="M482" s="306">
        <f t="shared" ca="1" si="219"/>
        <v>-1.5092140603520952</v>
      </c>
      <c r="N482" s="304">
        <f t="shared" ca="1" si="220"/>
        <v>-86.471596039977356</v>
      </c>
      <c r="P482" s="310">
        <f t="shared" ca="1" si="221"/>
        <v>23</v>
      </c>
      <c r="Q482" s="304">
        <f t="shared" ca="1" si="222"/>
        <v>0</v>
      </c>
      <c r="R482" s="306">
        <f t="shared" ca="1" si="223"/>
        <v>0</v>
      </c>
      <c r="S482" s="307">
        <f t="shared" ca="1" si="224"/>
        <v>2.5949999999999998</v>
      </c>
      <c r="T482" s="304">
        <f t="shared" ca="1" si="204"/>
        <v>25.456949999999999</v>
      </c>
      <c r="U482" s="311">
        <f t="shared" ca="1" si="205"/>
        <v>0</v>
      </c>
      <c r="V482" s="306">
        <f t="shared" ca="1" si="206"/>
        <v>1.2260176316943292</v>
      </c>
      <c r="W482" s="304">
        <f t="shared" ca="1" si="207"/>
        <v>23.55091934859604</v>
      </c>
      <c r="Y482" s="314" t="str">
        <f t="shared" ca="1" si="225"/>
        <v/>
      </c>
      <c r="Z482" s="315" t="str">
        <f t="shared" ca="1" si="226"/>
        <v/>
      </c>
      <c r="AA482" s="316" t="str">
        <f t="shared" ca="1" si="227"/>
        <v/>
      </c>
      <c r="AC482" s="310" t="e">
        <f t="shared" ca="1" si="228"/>
        <v>#N/A</v>
      </c>
      <c r="AD482" s="323" t="e">
        <f t="shared" ca="1" si="229"/>
        <v>#N/A</v>
      </c>
      <c r="AE482" s="324" t="e">
        <f t="shared" ca="1" si="208"/>
        <v>#N/A</v>
      </c>
      <c r="AG482" s="306">
        <f t="shared" ca="1" si="230"/>
        <v>0.71592730416204375</v>
      </c>
      <c r="AH482" s="304">
        <f t="shared" ca="1" si="231"/>
        <v>-9.0754765954120415</v>
      </c>
    </row>
    <row r="483" spans="1:34" x14ac:dyDescent="0.2">
      <c r="A483" s="347">
        <f t="shared" ca="1" si="209"/>
        <v>1E-4</v>
      </c>
      <c r="B483" s="304">
        <f t="shared" ca="1" si="210"/>
        <v>32.509600000000489</v>
      </c>
      <c r="D483" s="306">
        <f t="shared" ca="1" si="211"/>
        <v>-0.55853659796808197</v>
      </c>
      <c r="E483" s="307">
        <f t="shared" ca="1" si="212"/>
        <v>-0.75170462637115243</v>
      </c>
      <c r="F483" s="304">
        <f t="shared" ca="1" si="213"/>
        <v>0.93649504888042667</v>
      </c>
      <c r="G483" s="306">
        <f t="shared" ca="1" si="214"/>
        <v>5.9606854291852267</v>
      </c>
      <c r="H483" s="307">
        <f t="shared" ca="1" si="215"/>
        <v>-96.670831182191421</v>
      </c>
      <c r="I483" s="304">
        <f t="shared" ca="1" si="216"/>
        <v>96.854423606985833</v>
      </c>
      <c r="J483" s="306">
        <f t="shared" ca="1" si="217"/>
        <v>588.9746359926213</v>
      </c>
      <c r="K483" s="307">
        <f t="shared" ca="1" si="218"/>
        <v>-8.3134155401643621</v>
      </c>
      <c r="L483" s="304">
        <f t="shared" ca="1" si="203"/>
        <v>589.03330527278695</v>
      </c>
      <c r="M483" s="306">
        <f t="shared" ca="1" si="219"/>
        <v>-1.5092146837002507</v>
      </c>
      <c r="N483" s="304">
        <f t="shared" ca="1" si="220"/>
        <v>-86.471631755195844</v>
      </c>
      <c r="P483" s="310">
        <f t="shared" ca="1" si="221"/>
        <v>23</v>
      </c>
      <c r="Q483" s="304">
        <f t="shared" ca="1" si="222"/>
        <v>0</v>
      </c>
      <c r="R483" s="306">
        <f t="shared" ca="1" si="223"/>
        <v>0</v>
      </c>
      <c r="S483" s="307">
        <f t="shared" ca="1" si="224"/>
        <v>2.5949999999999998</v>
      </c>
      <c r="T483" s="304">
        <f t="shared" ca="1" si="204"/>
        <v>25.456949999999999</v>
      </c>
      <c r="U483" s="311">
        <f t="shared" ca="1" si="205"/>
        <v>0</v>
      </c>
      <c r="V483" s="306">
        <f t="shared" ca="1" si="206"/>
        <v>1.2260188168960811</v>
      </c>
      <c r="W483" s="304">
        <f t="shared" ca="1" si="207"/>
        <v>23.550976931169775</v>
      </c>
      <c r="Y483" s="314" t="str">
        <f t="shared" ca="1" si="225"/>
        <v/>
      </c>
      <c r="Z483" s="315" t="str">
        <f t="shared" ca="1" si="226"/>
        <v/>
      </c>
      <c r="AA483" s="316" t="str">
        <f t="shared" ca="1" si="227"/>
        <v/>
      </c>
      <c r="AC483" s="310" t="e">
        <f t="shared" ca="1" si="228"/>
        <v>#N/A</v>
      </c>
      <c r="AD483" s="323" t="e">
        <f t="shared" ca="1" si="229"/>
        <v>#N/A</v>
      </c>
      <c r="AE483" s="324" t="e">
        <f t="shared" ca="1" si="208"/>
        <v>#N/A</v>
      </c>
      <c r="AG483" s="306">
        <f t="shared" ca="1" si="230"/>
        <v>0.71590549033430761</v>
      </c>
      <c r="AH483" s="304">
        <f t="shared" ca="1" si="231"/>
        <v>-9.0754987855861433</v>
      </c>
    </row>
    <row r="484" spans="1:34" x14ac:dyDescent="0.2">
      <c r="A484" s="347">
        <f t="shared" ca="1" si="209"/>
        <v>1E-4</v>
      </c>
      <c r="B484" s="304">
        <f t="shared" ca="1" si="210"/>
        <v>32.509700000000493</v>
      </c>
      <c r="D484" s="306">
        <f t="shared" ca="1" si="211"/>
        <v>-0.55853231711809503</v>
      </c>
      <c r="E484" s="307">
        <f t="shared" ca="1" si="212"/>
        <v>-0.75168213045559718</v>
      </c>
      <c r="F484" s="304">
        <f t="shared" ca="1" si="213"/>
        <v>0.93647443879241776</v>
      </c>
      <c r="G484" s="306">
        <f t="shared" ca="1" si="214"/>
        <v>5.9606295759535151</v>
      </c>
      <c r="H484" s="307">
        <f t="shared" ca="1" si="215"/>
        <v>-96.670906350404465</v>
      </c>
      <c r="I484" s="304">
        <f t="shared" ca="1" si="216"/>
        <v>96.854495195372337</v>
      </c>
      <c r="J484" s="306">
        <f t="shared" ca="1" si="217"/>
        <v>588.9746359926213</v>
      </c>
      <c r="K484" s="307">
        <f t="shared" ca="1" si="218"/>
        <v>-8.3230826270409928</v>
      </c>
      <c r="L484" s="304">
        <f t="shared" ca="1" si="203"/>
        <v>589.03344179007127</v>
      </c>
      <c r="M484" s="306">
        <f t="shared" ca="1" si="219"/>
        <v>-1.5092153070416441</v>
      </c>
      <c r="N484" s="304">
        <f t="shared" ca="1" si="220"/>
        <v>-86.471667470026873</v>
      </c>
      <c r="P484" s="310">
        <f t="shared" ca="1" si="221"/>
        <v>23</v>
      </c>
      <c r="Q484" s="304">
        <f t="shared" ca="1" si="222"/>
        <v>0</v>
      </c>
      <c r="R484" s="306">
        <f t="shared" ca="1" si="223"/>
        <v>0</v>
      </c>
      <c r="S484" s="307">
        <f t="shared" ca="1" si="224"/>
        <v>2.5949999999999998</v>
      </c>
      <c r="T484" s="304">
        <f t="shared" ca="1" si="204"/>
        <v>25.456949999999999</v>
      </c>
      <c r="U484" s="311">
        <f t="shared" ca="1" si="205"/>
        <v>0</v>
      </c>
      <c r="V484" s="306">
        <f t="shared" ca="1" si="206"/>
        <v>1.2260200020999004</v>
      </c>
      <c r="W484" s="304">
        <f t="shared" ca="1" si="207"/>
        <v>23.551034512815441</v>
      </c>
      <c r="Y484" s="314" t="str">
        <f t="shared" ca="1" si="225"/>
        <v/>
      </c>
      <c r="Z484" s="315" t="str">
        <f t="shared" ca="1" si="226"/>
        <v/>
      </c>
      <c r="AA484" s="316" t="str">
        <f t="shared" ca="1" si="227"/>
        <v/>
      </c>
      <c r="AC484" s="310" t="e">
        <f t="shared" ca="1" si="228"/>
        <v>#N/A</v>
      </c>
      <c r="AD484" s="323" t="e">
        <f t="shared" ca="1" si="229"/>
        <v>#N/A</v>
      </c>
      <c r="AE484" s="324" t="e">
        <f t="shared" ca="1" si="208"/>
        <v>#N/A</v>
      </c>
      <c r="AG484" s="306">
        <f t="shared" ca="1" si="230"/>
        <v>0.71588367685631482</v>
      </c>
      <c r="AH484" s="304">
        <f t="shared" ca="1" si="231"/>
        <v>-9.0755209754026112</v>
      </c>
    </row>
    <row r="485" spans="1:34" x14ac:dyDescent="0.2">
      <c r="A485" s="347">
        <f t="shared" ca="1" si="209"/>
        <v>1E-4</v>
      </c>
      <c r="B485" s="304">
        <f t="shared" ca="1" si="210"/>
        <v>32.509800000000496</v>
      </c>
      <c r="D485" s="306">
        <f t="shared" ca="1" si="211"/>
        <v>-0.55852803627952374</v>
      </c>
      <c r="E485" s="307">
        <f t="shared" ca="1" si="212"/>
        <v>-0.75165963490259458</v>
      </c>
      <c r="F485" s="304">
        <f t="shared" ca="1" si="213"/>
        <v>0.93645382910860198</v>
      </c>
      <c r="G485" s="306">
        <f t="shared" ca="1" si="214"/>
        <v>5.9605737231498868</v>
      </c>
      <c r="H485" s="307">
        <f t="shared" ca="1" si="215"/>
        <v>-96.670981516367959</v>
      </c>
      <c r="I485" s="304">
        <f t="shared" ca="1" si="216"/>
        <v>96.854566781577532</v>
      </c>
      <c r="J485" s="306">
        <f t="shared" ca="1" si="217"/>
        <v>588.9746359926213</v>
      </c>
      <c r="K485" s="307">
        <f t="shared" ca="1" si="218"/>
        <v>-8.3327497214343307</v>
      </c>
      <c r="L485" s="304">
        <f t="shared" ca="1" si="203"/>
        <v>589.03357846608446</v>
      </c>
      <c r="M485" s="306">
        <f t="shared" ca="1" si="219"/>
        <v>-1.5092159303762751</v>
      </c>
      <c r="N485" s="304">
        <f t="shared" ca="1" si="220"/>
        <v>-86.471703184470456</v>
      </c>
      <c r="P485" s="310">
        <f t="shared" ca="1" si="221"/>
        <v>23</v>
      </c>
      <c r="Q485" s="304">
        <f t="shared" ca="1" si="222"/>
        <v>0</v>
      </c>
      <c r="R485" s="306">
        <f t="shared" ca="1" si="223"/>
        <v>0</v>
      </c>
      <c r="S485" s="307">
        <f t="shared" ca="1" si="224"/>
        <v>2.5949999999999998</v>
      </c>
      <c r="T485" s="304">
        <f t="shared" ca="1" si="204"/>
        <v>25.456949999999999</v>
      </c>
      <c r="U485" s="311">
        <f t="shared" ca="1" si="205"/>
        <v>0</v>
      </c>
      <c r="V485" s="306">
        <f t="shared" ca="1" si="206"/>
        <v>1.2260211873057878</v>
      </c>
      <c r="W485" s="304">
        <f t="shared" ca="1" si="207"/>
        <v>23.551092093533065</v>
      </c>
      <c r="Y485" s="314" t="str">
        <f t="shared" ca="1" si="225"/>
        <v/>
      </c>
      <c r="Z485" s="315" t="str">
        <f t="shared" ca="1" si="226"/>
        <v/>
      </c>
      <c r="AA485" s="316" t="str">
        <f t="shared" ca="1" si="227"/>
        <v/>
      </c>
      <c r="AC485" s="310" t="e">
        <f t="shared" ca="1" si="228"/>
        <v>#N/A</v>
      </c>
      <c r="AD485" s="323" t="e">
        <f t="shared" ca="1" si="229"/>
        <v>#N/A</v>
      </c>
      <c r="AE485" s="324" t="e">
        <f t="shared" ca="1" si="208"/>
        <v>#N/A</v>
      </c>
      <c r="AG485" s="306">
        <f t="shared" ca="1" si="230"/>
        <v>0.71586186372807425</v>
      </c>
      <c r="AH485" s="304">
        <f t="shared" ca="1" si="231"/>
        <v>-9.0755431648614433</v>
      </c>
    </row>
    <row r="486" spans="1:34" x14ac:dyDescent="0.2">
      <c r="A486" s="347">
        <f t="shared" ca="1" si="209"/>
        <v>1E-4</v>
      </c>
      <c r="B486" s="304">
        <f t="shared" ca="1" si="210"/>
        <v>32.509900000000499</v>
      </c>
      <c r="D486" s="306">
        <f t="shared" ca="1" si="211"/>
        <v>-0.55852375545237154</v>
      </c>
      <c r="E486" s="307">
        <f t="shared" ca="1" si="212"/>
        <v>-0.75163713971213753</v>
      </c>
      <c r="F486" s="304">
        <f t="shared" ca="1" si="213"/>
        <v>0.93643321982897632</v>
      </c>
      <c r="G486" s="306">
        <f t="shared" ca="1" si="214"/>
        <v>5.9605178707743418</v>
      </c>
      <c r="H486" s="307">
        <f t="shared" ca="1" si="215"/>
        <v>-96.671056680081932</v>
      </c>
      <c r="I486" s="304">
        <f t="shared" ca="1" si="216"/>
        <v>96.854638365601431</v>
      </c>
      <c r="J486" s="306">
        <f t="shared" ca="1" si="217"/>
        <v>588.9746359926213</v>
      </c>
      <c r="K486" s="307">
        <f t="shared" ca="1" si="218"/>
        <v>-8.3424168233441538</v>
      </c>
      <c r="L486" s="304">
        <f t="shared" ca="1" si="203"/>
        <v>589.03371530082654</v>
      </c>
      <c r="M486" s="306">
        <f t="shared" ca="1" si="219"/>
        <v>-1.5092165537041438</v>
      </c>
      <c r="N486" s="304">
        <f t="shared" ca="1" si="220"/>
        <v>-86.471738898526581</v>
      </c>
      <c r="P486" s="310">
        <f t="shared" ca="1" si="221"/>
        <v>23</v>
      </c>
      <c r="Q486" s="304">
        <f t="shared" ca="1" si="222"/>
        <v>0</v>
      </c>
      <c r="R486" s="306">
        <f t="shared" ca="1" si="223"/>
        <v>0</v>
      </c>
      <c r="S486" s="307">
        <f t="shared" ca="1" si="224"/>
        <v>2.5949999999999998</v>
      </c>
      <c r="T486" s="304">
        <f t="shared" ca="1" si="204"/>
        <v>25.456949999999999</v>
      </c>
      <c r="U486" s="311">
        <f t="shared" ca="1" si="205"/>
        <v>0</v>
      </c>
      <c r="V486" s="306">
        <f t="shared" ca="1" si="206"/>
        <v>1.2260223725137427</v>
      </c>
      <c r="W486" s="304">
        <f t="shared" ca="1" si="207"/>
        <v>23.551149673322641</v>
      </c>
      <c r="Y486" s="314" t="str">
        <f t="shared" ca="1" si="225"/>
        <v/>
      </c>
      <c r="Z486" s="315" t="str">
        <f t="shared" ca="1" si="226"/>
        <v/>
      </c>
      <c r="AA486" s="316" t="str">
        <f t="shared" ca="1" si="227"/>
        <v/>
      </c>
      <c r="AC486" s="310" t="e">
        <f t="shared" ca="1" si="228"/>
        <v>#N/A</v>
      </c>
      <c r="AD486" s="323" t="e">
        <f t="shared" ca="1" si="229"/>
        <v>#N/A</v>
      </c>
      <c r="AE486" s="324" t="e">
        <f t="shared" ca="1" si="208"/>
        <v>#N/A</v>
      </c>
      <c r="AG486" s="306">
        <f t="shared" ca="1" si="230"/>
        <v>0.71584005094957348</v>
      </c>
      <c r="AH486" s="304">
        <f t="shared" ca="1" si="231"/>
        <v>-9.0755653539626469</v>
      </c>
    </row>
    <row r="487" spans="1:34" x14ac:dyDescent="0.2">
      <c r="A487" s="347">
        <f t="shared" ca="1" si="209"/>
        <v>1E-4</v>
      </c>
      <c r="B487" s="304">
        <f t="shared" ca="1" si="210"/>
        <v>32.510000000000502</v>
      </c>
      <c r="D487" s="306">
        <f t="shared" ca="1" si="211"/>
        <v>-0.55851947463663965</v>
      </c>
      <c r="E487" s="307">
        <f t="shared" ca="1" si="212"/>
        <v>-0.75161464488422602</v>
      </c>
      <c r="F487" s="304">
        <f t="shared" ca="1" si="213"/>
        <v>0.93641261095354178</v>
      </c>
      <c r="G487" s="306">
        <f t="shared" ca="1" si="214"/>
        <v>5.9604620188268784</v>
      </c>
      <c r="H487" s="307">
        <f t="shared" ca="1" si="215"/>
        <v>-96.671131841546426</v>
      </c>
      <c r="I487" s="304">
        <f t="shared" ca="1" si="216"/>
        <v>96.854709947444107</v>
      </c>
      <c r="J487" s="306">
        <f t="shared" ca="1" si="217"/>
        <v>588.9746359926213</v>
      </c>
      <c r="K487" s="307">
        <f t="shared" ca="1" si="218"/>
        <v>-8.3520839327702348</v>
      </c>
      <c r="L487" s="304">
        <f t="shared" ca="1" si="203"/>
        <v>589.03385229429796</v>
      </c>
      <c r="M487" s="306">
        <f t="shared" ca="1" si="219"/>
        <v>-1.5092171770252505</v>
      </c>
      <c r="N487" s="304">
        <f t="shared" ca="1" si="220"/>
        <v>-86.47177461219529</v>
      </c>
      <c r="P487" s="310">
        <f t="shared" ca="1" si="221"/>
        <v>23</v>
      </c>
      <c r="Q487" s="304">
        <f t="shared" ca="1" si="222"/>
        <v>0</v>
      </c>
      <c r="R487" s="306">
        <f t="shared" ca="1" si="223"/>
        <v>0</v>
      </c>
      <c r="S487" s="307">
        <f t="shared" ca="1" si="224"/>
        <v>2.5949999999999998</v>
      </c>
      <c r="T487" s="304">
        <f t="shared" ca="1" si="204"/>
        <v>25.456949999999999</v>
      </c>
      <c r="U487" s="311">
        <f t="shared" ca="1" si="205"/>
        <v>0</v>
      </c>
      <c r="V487" s="306">
        <f t="shared" ca="1" si="206"/>
        <v>1.2260235577237653</v>
      </c>
      <c r="W487" s="304">
        <f t="shared" ca="1" si="207"/>
        <v>23.551207252184192</v>
      </c>
      <c r="Y487" s="314" t="str">
        <f t="shared" ca="1" si="225"/>
        <v/>
      </c>
      <c r="Z487" s="315" t="str">
        <f t="shared" ca="1" si="226"/>
        <v/>
      </c>
      <c r="AA487" s="316" t="str">
        <f t="shared" ca="1" si="227"/>
        <v/>
      </c>
      <c r="AC487" s="310" t="e">
        <f t="shared" ca="1" si="228"/>
        <v>#N/A</v>
      </c>
      <c r="AD487" s="323" t="e">
        <f t="shared" ca="1" si="229"/>
        <v>#N/A</v>
      </c>
      <c r="AE487" s="324" t="e">
        <f t="shared" ca="1" si="208"/>
        <v>#N/A</v>
      </c>
      <c r="AG487" s="306">
        <f t="shared" ca="1" si="230"/>
        <v>0.71581823852081605</v>
      </c>
      <c r="AH487" s="304">
        <f t="shared" ca="1" si="231"/>
        <v>-9.07558754270622</v>
      </c>
    </row>
    <row r="488" spans="1:34" x14ac:dyDescent="0.2">
      <c r="A488" s="347">
        <f t="shared" ca="1" si="209"/>
        <v>1E-4</v>
      </c>
      <c r="B488" s="304">
        <f t="shared" ca="1" si="210"/>
        <v>32.510100000000506</v>
      </c>
      <c r="D488" s="306">
        <f t="shared" ca="1" si="211"/>
        <v>-0.55851519383232573</v>
      </c>
      <c r="E488" s="307">
        <f t="shared" ca="1" si="212"/>
        <v>-0.75159215041884941</v>
      </c>
      <c r="F488" s="304">
        <f t="shared" ca="1" si="213"/>
        <v>0.93639200248228882</v>
      </c>
      <c r="G488" s="306">
        <f t="shared" ca="1" si="214"/>
        <v>5.9604061673074948</v>
      </c>
      <c r="H488" s="307">
        <f t="shared" ca="1" si="215"/>
        <v>-96.67120700076147</v>
      </c>
      <c r="I488" s="304">
        <f t="shared" ca="1" si="216"/>
        <v>96.854781527105573</v>
      </c>
      <c r="J488" s="306">
        <f t="shared" ca="1" si="217"/>
        <v>588.9746359926213</v>
      </c>
      <c r="K488" s="307">
        <f t="shared" ca="1" si="218"/>
        <v>-8.3617510497123497</v>
      </c>
      <c r="L488" s="304">
        <f t="shared" ca="1" si="203"/>
        <v>589.03398944649882</v>
      </c>
      <c r="M488" s="306">
        <f t="shared" ca="1" si="219"/>
        <v>-1.5092178003395949</v>
      </c>
      <c r="N488" s="304">
        <f t="shared" ca="1" si="220"/>
        <v>-86.471810325476525</v>
      </c>
      <c r="P488" s="310">
        <f t="shared" ca="1" si="221"/>
        <v>23</v>
      </c>
      <c r="Q488" s="304">
        <f t="shared" ca="1" si="222"/>
        <v>0</v>
      </c>
      <c r="R488" s="306">
        <f t="shared" ca="1" si="223"/>
        <v>0</v>
      </c>
      <c r="S488" s="307">
        <f t="shared" ca="1" si="224"/>
        <v>2.5949999999999998</v>
      </c>
      <c r="T488" s="304">
        <f t="shared" ca="1" si="204"/>
        <v>25.456949999999999</v>
      </c>
      <c r="U488" s="311">
        <f t="shared" ca="1" si="205"/>
        <v>0</v>
      </c>
      <c r="V488" s="306">
        <f t="shared" ca="1" si="206"/>
        <v>1.2260247429358559</v>
      </c>
      <c r="W488" s="304">
        <f t="shared" ca="1" si="207"/>
        <v>23.551264830117745</v>
      </c>
      <c r="Y488" s="314" t="str">
        <f t="shared" ca="1" si="225"/>
        <v/>
      </c>
      <c r="Z488" s="315" t="str">
        <f t="shared" ca="1" si="226"/>
        <v/>
      </c>
      <c r="AA488" s="316" t="str">
        <f t="shared" ca="1" si="227"/>
        <v/>
      </c>
      <c r="AC488" s="310" t="e">
        <f t="shared" ca="1" si="228"/>
        <v>#N/A</v>
      </c>
      <c r="AD488" s="323" t="e">
        <f t="shared" ca="1" si="229"/>
        <v>#N/A</v>
      </c>
      <c r="AE488" s="324" t="e">
        <f t="shared" ca="1" si="208"/>
        <v>#N/A</v>
      </c>
      <c r="AG488" s="306">
        <f t="shared" ca="1" si="230"/>
        <v>0.71579642644179131</v>
      </c>
      <c r="AH488" s="304">
        <f t="shared" ca="1" si="231"/>
        <v>-9.0756097310921753</v>
      </c>
    </row>
    <row r="489" spans="1:34" x14ac:dyDescent="0.2">
      <c r="A489" s="347">
        <f t="shared" ca="1" si="209"/>
        <v>1E-4</v>
      </c>
      <c r="B489" s="304">
        <f t="shared" ca="1" si="210"/>
        <v>32.510200000000509</v>
      </c>
      <c r="D489" s="306">
        <f t="shared" ca="1" si="211"/>
        <v>-0.55851091303943556</v>
      </c>
      <c r="E489" s="307">
        <f t="shared" ca="1" si="212"/>
        <v>-0.75156965631599881</v>
      </c>
      <c r="F489" s="304">
        <f t="shared" ca="1" si="213"/>
        <v>0.93637139441521411</v>
      </c>
      <c r="G489" s="306">
        <f t="shared" ca="1" si="214"/>
        <v>5.960350316216191</v>
      </c>
      <c r="H489" s="307">
        <f t="shared" ca="1" si="215"/>
        <v>-96.671282157727106</v>
      </c>
      <c r="I489" s="304">
        <f t="shared" ca="1" si="216"/>
        <v>96.854853104585857</v>
      </c>
      <c r="J489" s="306">
        <f t="shared" ca="1" si="217"/>
        <v>588.9746359926213</v>
      </c>
      <c r="K489" s="307">
        <f t="shared" ca="1" si="218"/>
        <v>-8.3714181741702749</v>
      </c>
      <c r="L489" s="304">
        <f t="shared" ca="1" si="203"/>
        <v>589.03412675742948</v>
      </c>
      <c r="M489" s="306">
        <f t="shared" ca="1" si="219"/>
        <v>-1.5092184236471775</v>
      </c>
      <c r="N489" s="304">
        <f t="shared" ca="1" si="220"/>
        <v>-86.471846038370344</v>
      </c>
      <c r="P489" s="310">
        <f t="shared" ca="1" si="221"/>
        <v>23</v>
      </c>
      <c r="Q489" s="304">
        <f t="shared" ca="1" si="222"/>
        <v>0</v>
      </c>
      <c r="R489" s="306">
        <f t="shared" ca="1" si="223"/>
        <v>0</v>
      </c>
      <c r="S489" s="307">
        <f t="shared" ca="1" si="224"/>
        <v>2.5949999999999998</v>
      </c>
      <c r="T489" s="304">
        <f t="shared" ca="1" si="204"/>
        <v>25.456949999999999</v>
      </c>
      <c r="U489" s="311">
        <f t="shared" ca="1" si="205"/>
        <v>0</v>
      </c>
      <c r="V489" s="306">
        <f t="shared" ca="1" si="206"/>
        <v>1.2260259281500141</v>
      </c>
      <c r="W489" s="304">
        <f t="shared" ca="1" si="207"/>
        <v>23.55132240712328</v>
      </c>
      <c r="Y489" s="314" t="str">
        <f t="shared" ca="1" si="225"/>
        <v/>
      </c>
      <c r="Z489" s="315" t="str">
        <f t="shared" ca="1" si="226"/>
        <v/>
      </c>
      <c r="AA489" s="316" t="str">
        <f t="shared" ca="1" si="227"/>
        <v/>
      </c>
      <c r="AC489" s="310" t="e">
        <f t="shared" ca="1" si="228"/>
        <v>#N/A</v>
      </c>
      <c r="AD489" s="323" t="e">
        <f t="shared" ca="1" si="229"/>
        <v>#N/A</v>
      </c>
      <c r="AE489" s="324" t="e">
        <f t="shared" ca="1" si="208"/>
        <v>#N/A</v>
      </c>
      <c r="AG489" s="306">
        <f t="shared" ca="1" si="230"/>
        <v>0.7157746147124886</v>
      </c>
      <c r="AH489" s="304">
        <f t="shared" ca="1" si="231"/>
        <v>-9.0756319191205197</v>
      </c>
    </row>
    <row r="490" spans="1:34" x14ac:dyDescent="0.2">
      <c r="A490" s="347">
        <f t="shared" ca="1" si="209"/>
        <v>1E-4</v>
      </c>
      <c r="B490" s="304">
        <f t="shared" ca="1" si="210"/>
        <v>32.510300000000512</v>
      </c>
      <c r="D490" s="306">
        <f t="shared" ca="1" si="211"/>
        <v>-0.55850663225796371</v>
      </c>
      <c r="E490" s="307">
        <f t="shared" ca="1" si="212"/>
        <v>-0.7515471625756831</v>
      </c>
      <c r="F490" s="304">
        <f t="shared" ca="1" si="213"/>
        <v>0.93635078675232208</v>
      </c>
      <c r="G490" s="306">
        <f t="shared" ca="1" si="214"/>
        <v>5.9602944655529653</v>
      </c>
      <c r="H490" s="307">
        <f t="shared" ca="1" si="215"/>
        <v>-96.671357312443362</v>
      </c>
      <c r="I490" s="304">
        <f t="shared" ca="1" si="216"/>
        <v>96.854924679885016</v>
      </c>
      <c r="J490" s="306">
        <f t="shared" ca="1" si="217"/>
        <v>588.9746359926213</v>
      </c>
      <c r="K490" s="307">
        <f t="shared" ca="1" si="218"/>
        <v>-8.3810853061437829</v>
      </c>
      <c r="L490" s="304">
        <f t="shared" ca="1" si="203"/>
        <v>589.03426422709026</v>
      </c>
      <c r="M490" s="306">
        <f t="shared" ca="1" si="219"/>
        <v>-1.5092190469479982</v>
      </c>
      <c r="N490" s="304">
        <f t="shared" ca="1" si="220"/>
        <v>-86.471881750876747</v>
      </c>
      <c r="P490" s="310">
        <f t="shared" ca="1" si="221"/>
        <v>23</v>
      </c>
      <c r="Q490" s="304">
        <f t="shared" ca="1" si="222"/>
        <v>0</v>
      </c>
      <c r="R490" s="306">
        <f t="shared" ca="1" si="223"/>
        <v>0</v>
      </c>
      <c r="S490" s="307">
        <f t="shared" ca="1" si="224"/>
        <v>2.5949999999999998</v>
      </c>
      <c r="T490" s="304">
        <f t="shared" ca="1" si="204"/>
        <v>25.456949999999999</v>
      </c>
      <c r="U490" s="311">
        <f t="shared" ca="1" si="205"/>
        <v>0</v>
      </c>
      <c r="V490" s="306">
        <f t="shared" ca="1" si="206"/>
        <v>1.2260271133662399</v>
      </c>
      <c r="W490" s="304">
        <f t="shared" ca="1" si="207"/>
        <v>23.551379983200832</v>
      </c>
      <c r="Y490" s="314" t="str">
        <f t="shared" ca="1" si="225"/>
        <v/>
      </c>
      <c r="Z490" s="315" t="str">
        <f t="shared" ca="1" si="226"/>
        <v/>
      </c>
      <c r="AA490" s="316" t="str">
        <f t="shared" ca="1" si="227"/>
        <v/>
      </c>
      <c r="AC490" s="310" t="e">
        <f t="shared" ca="1" si="228"/>
        <v>#N/A</v>
      </c>
      <c r="AD490" s="323" t="e">
        <f t="shared" ca="1" si="229"/>
        <v>#N/A</v>
      </c>
      <c r="AE490" s="324" t="e">
        <f t="shared" ca="1" si="208"/>
        <v>#N/A</v>
      </c>
      <c r="AG490" s="306">
        <f t="shared" ca="1" si="230"/>
        <v>0.71575280333291857</v>
      </c>
      <c r="AH490" s="304">
        <f t="shared" ca="1" si="231"/>
        <v>-9.0756541067912462</v>
      </c>
    </row>
    <row r="491" spans="1:34" x14ac:dyDescent="0.2">
      <c r="A491" s="347">
        <f t="shared" ca="1" si="209"/>
        <v>1E-4</v>
      </c>
      <c r="B491" s="304">
        <f t="shared" ca="1" si="210"/>
        <v>32.510400000000516</v>
      </c>
      <c r="D491" s="306">
        <f t="shared" ca="1" si="211"/>
        <v>-0.55850235148791394</v>
      </c>
      <c r="E491" s="307">
        <f t="shared" ca="1" si="212"/>
        <v>-0.75152466919788807</v>
      </c>
      <c r="F491" s="304">
        <f t="shared" ca="1" si="213"/>
        <v>0.93633017949360398</v>
      </c>
      <c r="G491" s="306">
        <f t="shared" ca="1" si="214"/>
        <v>5.9602386153178166</v>
      </c>
      <c r="H491" s="307">
        <f t="shared" ca="1" si="215"/>
        <v>-96.671432464910282</v>
      </c>
      <c r="I491" s="304">
        <f t="shared" ca="1" si="216"/>
        <v>96.854996253003051</v>
      </c>
      <c r="J491" s="306">
        <f t="shared" ca="1" si="217"/>
        <v>588.9746359926213</v>
      </c>
      <c r="K491" s="307">
        <f t="shared" ca="1" si="218"/>
        <v>-8.3907524456326499</v>
      </c>
      <c r="L491" s="304">
        <f t="shared" ca="1" si="203"/>
        <v>589.03440185548129</v>
      </c>
      <c r="M491" s="306">
        <f t="shared" ca="1" si="219"/>
        <v>-1.5092196702420573</v>
      </c>
      <c r="N491" s="304">
        <f t="shared" ca="1" si="220"/>
        <v>-86.471917462995719</v>
      </c>
      <c r="P491" s="310">
        <f t="shared" ca="1" si="221"/>
        <v>23</v>
      </c>
      <c r="Q491" s="304">
        <f t="shared" ca="1" si="222"/>
        <v>0</v>
      </c>
      <c r="R491" s="306">
        <f t="shared" ca="1" si="223"/>
        <v>0</v>
      </c>
      <c r="S491" s="307">
        <f t="shared" ca="1" si="224"/>
        <v>2.5949999999999998</v>
      </c>
      <c r="T491" s="304">
        <f t="shared" ca="1" si="204"/>
        <v>25.456949999999999</v>
      </c>
      <c r="U491" s="311">
        <f t="shared" ca="1" si="205"/>
        <v>0</v>
      </c>
      <c r="V491" s="306">
        <f t="shared" ca="1" si="206"/>
        <v>1.2260282985845332</v>
      </c>
      <c r="W491" s="304">
        <f t="shared" ca="1" si="207"/>
        <v>23.551437558350393</v>
      </c>
      <c r="Y491" s="314" t="str">
        <f t="shared" ca="1" si="225"/>
        <v/>
      </c>
      <c r="Z491" s="315" t="str">
        <f t="shared" ca="1" si="226"/>
        <v/>
      </c>
      <c r="AA491" s="316" t="str">
        <f t="shared" ca="1" si="227"/>
        <v/>
      </c>
      <c r="AC491" s="310" t="e">
        <f t="shared" ca="1" si="228"/>
        <v>#N/A</v>
      </c>
      <c r="AD491" s="323" t="e">
        <f t="shared" ca="1" si="229"/>
        <v>#N/A</v>
      </c>
      <c r="AE491" s="324" t="e">
        <f t="shared" ca="1" si="208"/>
        <v>#N/A</v>
      </c>
      <c r="AG491" s="306">
        <f t="shared" ca="1" si="230"/>
        <v>0.7157309923030688</v>
      </c>
      <c r="AH491" s="304">
        <f t="shared" ca="1" si="231"/>
        <v>-9.0756762941043672</v>
      </c>
    </row>
    <row r="492" spans="1:34" x14ac:dyDescent="0.2">
      <c r="A492" s="347">
        <f t="shared" ca="1" si="209"/>
        <v>1E-4</v>
      </c>
      <c r="B492" s="304">
        <f t="shared" ca="1" si="210"/>
        <v>32.510500000000519</v>
      </c>
      <c r="D492" s="306">
        <f t="shared" ca="1" si="211"/>
        <v>-0.5584980707292857</v>
      </c>
      <c r="E492" s="307">
        <f t="shared" ca="1" si="212"/>
        <v>-0.75150217618261372</v>
      </c>
      <c r="F492" s="304">
        <f t="shared" ca="1" si="213"/>
        <v>0.93630957263905956</v>
      </c>
      <c r="G492" s="306">
        <f t="shared" ca="1" si="214"/>
        <v>5.9601827655107433</v>
      </c>
      <c r="H492" s="307">
        <f t="shared" ca="1" si="215"/>
        <v>-96.671507615127894</v>
      </c>
      <c r="I492" s="304">
        <f t="shared" ca="1" si="216"/>
        <v>96.855067823940033</v>
      </c>
      <c r="J492" s="306">
        <f t="shared" ca="1" si="217"/>
        <v>588.9746359926213</v>
      </c>
      <c r="K492" s="307">
        <f t="shared" ca="1" si="218"/>
        <v>-8.4004195926366521</v>
      </c>
      <c r="L492" s="304">
        <f t="shared" ca="1" si="203"/>
        <v>589.03453964260291</v>
      </c>
      <c r="M492" s="306">
        <f t="shared" ca="1" si="219"/>
        <v>-1.5092202935293546</v>
      </c>
      <c r="N492" s="304">
        <f t="shared" ca="1" si="220"/>
        <v>-86.47195317472729</v>
      </c>
      <c r="P492" s="310">
        <f t="shared" ca="1" si="221"/>
        <v>23</v>
      </c>
      <c r="Q492" s="304">
        <f t="shared" ca="1" si="222"/>
        <v>0</v>
      </c>
      <c r="R492" s="306">
        <f t="shared" ca="1" si="223"/>
        <v>0</v>
      </c>
      <c r="S492" s="307">
        <f t="shared" ca="1" si="224"/>
        <v>2.5949999999999998</v>
      </c>
      <c r="T492" s="304">
        <f t="shared" ca="1" si="204"/>
        <v>25.456949999999999</v>
      </c>
      <c r="U492" s="311">
        <f t="shared" ca="1" si="205"/>
        <v>0</v>
      </c>
      <c r="V492" s="306">
        <f t="shared" ca="1" si="206"/>
        <v>1.2260294838048942</v>
      </c>
      <c r="W492" s="304">
        <f t="shared" ca="1" si="207"/>
        <v>23.55149513257199</v>
      </c>
      <c r="Y492" s="314" t="str">
        <f t="shared" ca="1" si="225"/>
        <v/>
      </c>
      <c r="Z492" s="315" t="str">
        <f t="shared" ca="1" si="226"/>
        <v/>
      </c>
      <c r="AA492" s="316" t="str">
        <f t="shared" ca="1" si="227"/>
        <v/>
      </c>
      <c r="AC492" s="310" t="e">
        <f t="shared" ca="1" si="228"/>
        <v>#N/A</v>
      </c>
      <c r="AD492" s="323" t="e">
        <f t="shared" ca="1" si="229"/>
        <v>#N/A</v>
      </c>
      <c r="AE492" s="324" t="e">
        <f t="shared" ca="1" si="208"/>
        <v>#N/A</v>
      </c>
      <c r="AG492" s="306">
        <f t="shared" ca="1" si="230"/>
        <v>0.71570918162293751</v>
      </c>
      <c r="AH492" s="304">
        <f t="shared" ca="1" si="231"/>
        <v>-9.0756984810598826</v>
      </c>
    </row>
    <row r="493" spans="1:34" x14ac:dyDescent="0.2">
      <c r="A493" s="347">
        <f t="shared" ca="1" si="209"/>
        <v>1E-4</v>
      </c>
      <c r="B493" s="304">
        <f t="shared" ca="1" si="210"/>
        <v>32.510600000000522</v>
      </c>
      <c r="D493" s="306">
        <f t="shared" ca="1" si="211"/>
        <v>-0.55849378998208021</v>
      </c>
      <c r="E493" s="307">
        <f t="shared" ca="1" si="212"/>
        <v>-0.75147968352985473</v>
      </c>
      <c r="F493" s="304">
        <f t="shared" ca="1" si="213"/>
        <v>0.93628896618868607</v>
      </c>
      <c r="G493" s="306">
        <f t="shared" ca="1" si="214"/>
        <v>5.9601269161317454</v>
      </c>
      <c r="H493" s="307">
        <f t="shared" ca="1" si="215"/>
        <v>-96.671582763096254</v>
      </c>
      <c r="I493" s="304">
        <f t="shared" ca="1" si="216"/>
        <v>96.855139392695975</v>
      </c>
      <c r="J493" s="306">
        <f t="shared" ca="1" si="217"/>
        <v>588.9746359926213</v>
      </c>
      <c r="K493" s="307">
        <f t="shared" ca="1" si="218"/>
        <v>-8.4100867471555638</v>
      </c>
      <c r="L493" s="304">
        <f t="shared" ca="1" si="203"/>
        <v>589.03467758845522</v>
      </c>
      <c r="M493" s="306">
        <f t="shared" ca="1" si="219"/>
        <v>-1.5092209168098905</v>
      </c>
      <c r="N493" s="304">
        <f t="shared" ca="1" si="220"/>
        <v>-86.471988886071443</v>
      </c>
      <c r="P493" s="310">
        <f t="shared" ca="1" si="221"/>
        <v>23</v>
      </c>
      <c r="Q493" s="304">
        <f t="shared" ca="1" si="222"/>
        <v>0</v>
      </c>
      <c r="R493" s="306">
        <f t="shared" ca="1" si="223"/>
        <v>0</v>
      </c>
      <c r="S493" s="307">
        <f t="shared" ca="1" si="224"/>
        <v>2.5949999999999998</v>
      </c>
      <c r="T493" s="304">
        <f t="shared" ca="1" si="204"/>
        <v>25.456949999999999</v>
      </c>
      <c r="U493" s="311">
        <f t="shared" ca="1" si="205"/>
        <v>0</v>
      </c>
      <c r="V493" s="306">
        <f t="shared" ca="1" si="206"/>
        <v>1.2260306690273233</v>
      </c>
      <c r="W493" s="304">
        <f t="shared" ca="1" si="207"/>
        <v>23.551552705865639</v>
      </c>
      <c r="Y493" s="314" t="str">
        <f t="shared" ca="1" si="225"/>
        <v/>
      </c>
      <c r="Z493" s="315" t="str">
        <f t="shared" ca="1" si="226"/>
        <v/>
      </c>
      <c r="AA493" s="316" t="str">
        <f t="shared" ca="1" si="227"/>
        <v/>
      </c>
      <c r="AC493" s="310" t="e">
        <f t="shared" ca="1" si="228"/>
        <v>#N/A</v>
      </c>
      <c r="AD493" s="323" t="e">
        <f t="shared" ca="1" si="229"/>
        <v>#N/A</v>
      </c>
      <c r="AE493" s="324" t="e">
        <f t="shared" ca="1" si="208"/>
        <v>#N/A</v>
      </c>
      <c r="AG493" s="306">
        <f t="shared" ca="1" si="230"/>
        <v>0.71568737129251936</v>
      </c>
      <c r="AH493" s="304">
        <f t="shared" ca="1" si="231"/>
        <v>-9.0757206676577997</v>
      </c>
    </row>
    <row r="494" spans="1:34" x14ac:dyDescent="0.2">
      <c r="A494" s="347">
        <f t="shared" ca="1" si="209"/>
        <v>1E-4</v>
      </c>
      <c r="B494" s="304">
        <f t="shared" ca="1" si="210"/>
        <v>32.510700000000526</v>
      </c>
      <c r="D494" s="306">
        <f t="shared" ca="1" si="211"/>
        <v>-0.55848950924629737</v>
      </c>
      <c r="E494" s="307">
        <f t="shared" ca="1" si="212"/>
        <v>-0.75145719123960042</v>
      </c>
      <c r="F494" s="304">
        <f t="shared" ca="1" si="213"/>
        <v>0.93626836014247516</v>
      </c>
      <c r="G494" s="306">
        <f t="shared" ca="1" si="214"/>
        <v>5.960071067180821</v>
      </c>
      <c r="H494" s="307">
        <f t="shared" ca="1" si="215"/>
        <v>-96.671657908815376</v>
      </c>
      <c r="I494" s="304">
        <f t="shared" ca="1" si="216"/>
        <v>96.85521095927092</v>
      </c>
      <c r="J494" s="306">
        <f t="shared" ca="1" si="217"/>
        <v>588.9746359926213</v>
      </c>
      <c r="K494" s="307">
        <f t="shared" ca="1" si="218"/>
        <v>-8.4197539091891596</v>
      </c>
      <c r="L494" s="304">
        <f t="shared" ca="1" si="203"/>
        <v>589.03481569303869</v>
      </c>
      <c r="M494" s="306">
        <f t="shared" ca="1" si="219"/>
        <v>-1.5092215400836646</v>
      </c>
      <c r="N494" s="304">
        <f t="shared" ca="1" si="220"/>
        <v>-86.472024597028181</v>
      </c>
      <c r="P494" s="310">
        <f t="shared" ca="1" si="221"/>
        <v>23</v>
      </c>
      <c r="Q494" s="304">
        <f t="shared" ca="1" si="222"/>
        <v>0</v>
      </c>
      <c r="R494" s="306">
        <f t="shared" ca="1" si="223"/>
        <v>0</v>
      </c>
      <c r="S494" s="307">
        <f t="shared" ca="1" si="224"/>
        <v>2.5949999999999998</v>
      </c>
      <c r="T494" s="304">
        <f t="shared" ca="1" si="204"/>
        <v>25.456949999999999</v>
      </c>
      <c r="U494" s="311">
        <f t="shared" ca="1" si="205"/>
        <v>0</v>
      </c>
      <c r="V494" s="306">
        <f t="shared" ca="1" si="206"/>
        <v>1.2260318542518189</v>
      </c>
      <c r="W494" s="304">
        <f t="shared" ca="1" si="207"/>
        <v>23.551610278231323</v>
      </c>
      <c r="Y494" s="314" t="str">
        <f t="shared" ca="1" si="225"/>
        <v/>
      </c>
      <c r="Z494" s="315" t="str">
        <f t="shared" ca="1" si="226"/>
        <v/>
      </c>
      <c r="AA494" s="316" t="str">
        <f t="shared" ca="1" si="227"/>
        <v/>
      </c>
      <c r="AC494" s="310" t="e">
        <f t="shared" ca="1" si="228"/>
        <v>#N/A</v>
      </c>
      <c r="AD494" s="323" t="e">
        <f t="shared" ca="1" si="229"/>
        <v>#N/A</v>
      </c>
      <c r="AE494" s="324" t="e">
        <f t="shared" ca="1" si="208"/>
        <v>#N/A</v>
      </c>
      <c r="AG494" s="306">
        <f t="shared" ca="1" si="230"/>
        <v>0.7156655613118037</v>
      </c>
      <c r="AH494" s="304">
        <f t="shared" ca="1" si="231"/>
        <v>-9.0757428538981273</v>
      </c>
    </row>
    <row r="495" spans="1:34" x14ac:dyDescent="0.2">
      <c r="A495" s="347">
        <f t="shared" ca="1" si="209"/>
        <v>1E-4</v>
      </c>
      <c r="B495" s="304">
        <f t="shared" ca="1" si="210"/>
        <v>32.510800000000529</v>
      </c>
      <c r="D495" s="306">
        <f t="shared" ca="1" si="211"/>
        <v>-0.5584852285219396</v>
      </c>
      <c r="E495" s="307">
        <f t="shared" ca="1" si="212"/>
        <v>-0.75143469931186146</v>
      </c>
      <c r="F495" s="304">
        <f t="shared" ca="1" si="213"/>
        <v>0.93624775450043707</v>
      </c>
      <c r="G495" s="306">
        <f t="shared" ca="1" si="214"/>
        <v>5.9600152186579685</v>
      </c>
      <c r="H495" s="307">
        <f t="shared" ca="1" si="215"/>
        <v>-96.671733052285305</v>
      </c>
      <c r="I495" s="304">
        <f t="shared" ca="1" si="216"/>
        <v>96.855282523664897</v>
      </c>
      <c r="J495" s="306">
        <f t="shared" ca="1" si="217"/>
        <v>588.9746359926213</v>
      </c>
      <c r="K495" s="307">
        <f t="shared" ca="1" si="218"/>
        <v>-8.4294210787372155</v>
      </c>
      <c r="L495" s="304">
        <f t="shared" ca="1" si="203"/>
        <v>589.03495395635343</v>
      </c>
      <c r="M495" s="306">
        <f t="shared" ca="1" si="219"/>
        <v>-1.5092221633506775</v>
      </c>
      <c r="N495" s="304">
        <f t="shared" ca="1" si="220"/>
        <v>-86.47206030759753</v>
      </c>
      <c r="P495" s="310">
        <f t="shared" ca="1" si="221"/>
        <v>23</v>
      </c>
      <c r="Q495" s="304">
        <f t="shared" ca="1" si="222"/>
        <v>0</v>
      </c>
      <c r="R495" s="306">
        <f t="shared" ca="1" si="223"/>
        <v>0</v>
      </c>
      <c r="S495" s="307">
        <f t="shared" ca="1" si="224"/>
        <v>2.5949999999999998</v>
      </c>
      <c r="T495" s="304">
        <f t="shared" ca="1" si="204"/>
        <v>25.456949999999999</v>
      </c>
      <c r="U495" s="311">
        <f t="shared" ca="1" si="205"/>
        <v>0</v>
      </c>
      <c r="V495" s="306">
        <f t="shared" ca="1" si="206"/>
        <v>1.2260330394783832</v>
      </c>
      <c r="W495" s="304">
        <f t="shared" ca="1" si="207"/>
        <v>23.551667849669087</v>
      </c>
      <c r="Y495" s="314" t="str">
        <f t="shared" ca="1" si="225"/>
        <v/>
      </c>
      <c r="Z495" s="315" t="str">
        <f t="shared" ca="1" si="226"/>
        <v/>
      </c>
      <c r="AA495" s="316" t="str">
        <f t="shared" ca="1" si="227"/>
        <v/>
      </c>
      <c r="AC495" s="310" t="e">
        <f t="shared" ca="1" si="228"/>
        <v>#N/A</v>
      </c>
      <c r="AD495" s="323" t="e">
        <f t="shared" ca="1" si="229"/>
        <v>#N/A</v>
      </c>
      <c r="AE495" s="324" t="e">
        <f t="shared" ca="1" si="208"/>
        <v>#N/A</v>
      </c>
      <c r="AG495" s="306">
        <f t="shared" ca="1" si="230"/>
        <v>0.71564375168080296</v>
      </c>
      <c r="AH495" s="304">
        <f t="shared" ca="1" si="231"/>
        <v>-9.0757650397808565</v>
      </c>
    </row>
    <row r="496" spans="1:34" x14ac:dyDescent="0.2">
      <c r="A496" s="347">
        <f t="shared" ca="1" si="209"/>
        <v>1E-4</v>
      </c>
      <c r="B496" s="304">
        <f t="shared" ca="1" si="210"/>
        <v>32.510900000000532</v>
      </c>
      <c r="D496" s="306">
        <f t="shared" ca="1" si="211"/>
        <v>-0.55848094780900526</v>
      </c>
      <c r="E496" s="307">
        <f t="shared" ca="1" si="212"/>
        <v>-0.75141220774661477</v>
      </c>
      <c r="F496" s="304">
        <f t="shared" ca="1" si="213"/>
        <v>0.9362271492625529</v>
      </c>
      <c r="G496" s="306">
        <f t="shared" ca="1" si="214"/>
        <v>5.9599593705631877</v>
      </c>
      <c r="H496" s="307">
        <f t="shared" ca="1" si="215"/>
        <v>-96.671808193506081</v>
      </c>
      <c r="I496" s="304">
        <f t="shared" ca="1" si="216"/>
        <v>96.855354085877948</v>
      </c>
      <c r="J496" s="306">
        <f t="shared" ca="1" si="217"/>
        <v>588.9746359926213</v>
      </c>
      <c r="K496" s="307">
        <f t="shared" ca="1" si="218"/>
        <v>-8.4390882557995042</v>
      </c>
      <c r="L496" s="304">
        <f t="shared" ca="1" si="203"/>
        <v>589.03509237839978</v>
      </c>
      <c r="M496" s="306">
        <f t="shared" ca="1" si="219"/>
        <v>-1.5092227866109289</v>
      </c>
      <c r="N496" s="304">
        <f t="shared" ca="1" si="220"/>
        <v>-86.472096017779478</v>
      </c>
      <c r="P496" s="310">
        <f t="shared" ca="1" si="221"/>
        <v>23</v>
      </c>
      <c r="Q496" s="304">
        <f t="shared" ca="1" si="222"/>
        <v>0</v>
      </c>
      <c r="R496" s="306">
        <f t="shared" ca="1" si="223"/>
        <v>0</v>
      </c>
      <c r="S496" s="307">
        <f t="shared" ca="1" si="224"/>
        <v>2.5949999999999998</v>
      </c>
      <c r="T496" s="304">
        <f t="shared" ca="1" si="204"/>
        <v>25.456949999999999</v>
      </c>
      <c r="U496" s="311">
        <f t="shared" ca="1" si="205"/>
        <v>0</v>
      </c>
      <c r="V496" s="306">
        <f t="shared" ca="1" si="206"/>
        <v>1.2260342247070144</v>
      </c>
      <c r="W496" s="304">
        <f t="shared" ca="1" si="207"/>
        <v>23.551725420178922</v>
      </c>
      <c r="Y496" s="314" t="str">
        <f t="shared" ca="1" si="225"/>
        <v/>
      </c>
      <c r="Z496" s="315" t="str">
        <f t="shared" ca="1" si="226"/>
        <v/>
      </c>
      <c r="AA496" s="316" t="str">
        <f t="shared" ca="1" si="227"/>
        <v/>
      </c>
      <c r="AC496" s="310" t="e">
        <f t="shared" ca="1" si="228"/>
        <v>#N/A</v>
      </c>
      <c r="AD496" s="323" t="e">
        <f t="shared" ca="1" si="229"/>
        <v>#N/A</v>
      </c>
      <c r="AE496" s="324" t="e">
        <f t="shared" ca="1" si="208"/>
        <v>#N/A</v>
      </c>
      <c r="AG496" s="306">
        <f t="shared" ca="1" si="230"/>
        <v>0.71562194239949584</v>
      </c>
      <c r="AH496" s="304">
        <f t="shared" ca="1" si="231"/>
        <v>-9.0757872253060068</v>
      </c>
    </row>
    <row r="497" spans="1:34" x14ac:dyDescent="0.2">
      <c r="A497" s="347">
        <f t="shared" ca="1" si="209"/>
        <v>1E-4</v>
      </c>
      <c r="B497" s="304">
        <f t="shared" ca="1" si="210"/>
        <v>32.511000000000536</v>
      </c>
      <c r="D497" s="306">
        <f t="shared" ca="1" si="211"/>
        <v>-0.55847666710749722</v>
      </c>
      <c r="E497" s="307">
        <f t="shared" ca="1" si="212"/>
        <v>-0.75138971654386744</v>
      </c>
      <c r="F497" s="304">
        <f t="shared" ca="1" si="213"/>
        <v>0.93620654442883044</v>
      </c>
      <c r="G497" s="306">
        <f t="shared" ca="1" si="214"/>
        <v>5.959903522896477</v>
      </c>
      <c r="H497" s="307">
        <f t="shared" ca="1" si="215"/>
        <v>-96.671883332477734</v>
      </c>
      <c r="I497" s="304">
        <f t="shared" ca="1" si="216"/>
        <v>96.855425645910103</v>
      </c>
      <c r="J497" s="306">
        <f t="shared" ca="1" si="217"/>
        <v>588.9746359926213</v>
      </c>
      <c r="K497" s="307">
        <f t="shared" ca="1" si="218"/>
        <v>-8.4487554403758036</v>
      </c>
      <c r="L497" s="304">
        <f t="shared" ca="1" si="203"/>
        <v>589.03523095917785</v>
      </c>
      <c r="M497" s="306">
        <f t="shared" ca="1" si="219"/>
        <v>-1.5092234098644193</v>
      </c>
      <c r="N497" s="304">
        <f t="shared" ca="1" si="220"/>
        <v>-86.472131727574038</v>
      </c>
      <c r="P497" s="310">
        <f t="shared" ca="1" si="221"/>
        <v>23</v>
      </c>
      <c r="Q497" s="304">
        <f t="shared" ca="1" si="222"/>
        <v>0</v>
      </c>
      <c r="R497" s="306">
        <f t="shared" ca="1" si="223"/>
        <v>0</v>
      </c>
      <c r="S497" s="307">
        <f t="shared" ca="1" si="224"/>
        <v>2.5949999999999998</v>
      </c>
      <c r="T497" s="304">
        <f t="shared" ca="1" si="204"/>
        <v>25.456949999999999</v>
      </c>
      <c r="U497" s="311">
        <f t="shared" ca="1" si="205"/>
        <v>0</v>
      </c>
      <c r="V497" s="306">
        <f t="shared" ca="1" si="206"/>
        <v>1.2260354099377131</v>
      </c>
      <c r="W497" s="304">
        <f t="shared" ca="1" si="207"/>
        <v>23.551782989760842</v>
      </c>
      <c r="Y497" s="314" t="str">
        <f t="shared" ca="1" si="225"/>
        <v/>
      </c>
      <c r="Z497" s="315" t="str">
        <f t="shared" ca="1" si="226"/>
        <v/>
      </c>
      <c r="AA497" s="316" t="str">
        <f t="shared" ca="1" si="227"/>
        <v/>
      </c>
      <c r="AC497" s="310" t="e">
        <f t="shared" ca="1" si="228"/>
        <v>#N/A</v>
      </c>
      <c r="AD497" s="323" t="e">
        <f t="shared" ca="1" si="229"/>
        <v>#N/A</v>
      </c>
      <c r="AE497" s="324" t="e">
        <f t="shared" ca="1" si="208"/>
        <v>#N/A</v>
      </c>
      <c r="AG497" s="306">
        <f t="shared" ca="1" si="230"/>
        <v>0.71560013346788409</v>
      </c>
      <c r="AH497" s="304">
        <f t="shared" ca="1" si="231"/>
        <v>-9.0758094104735747</v>
      </c>
    </row>
    <row r="498" spans="1:34" x14ac:dyDescent="0.2">
      <c r="A498" s="347">
        <f t="shared" ca="1" si="209"/>
        <v>1E-4</v>
      </c>
      <c r="B498" s="304">
        <f t="shared" ca="1" si="210"/>
        <v>32.511100000000539</v>
      </c>
      <c r="D498" s="306">
        <f t="shared" ca="1" si="211"/>
        <v>-0.55847238641741281</v>
      </c>
      <c r="E498" s="307">
        <f t="shared" ca="1" si="212"/>
        <v>-0.75136722570361592</v>
      </c>
      <c r="F498" s="304">
        <f t="shared" ca="1" si="213"/>
        <v>0.93618593999926569</v>
      </c>
      <c r="G498" s="306">
        <f t="shared" ca="1" si="214"/>
        <v>5.9598476756578354</v>
      </c>
      <c r="H498" s="307">
        <f t="shared" ca="1" si="215"/>
        <v>-96.671958469200305</v>
      </c>
      <c r="I498" s="304">
        <f t="shared" ca="1" si="216"/>
        <v>96.855497203761402</v>
      </c>
      <c r="J498" s="306">
        <f t="shared" ca="1" si="217"/>
        <v>588.9746359926213</v>
      </c>
      <c r="K498" s="307">
        <f t="shared" ca="1" si="218"/>
        <v>-8.4584226324658882</v>
      </c>
      <c r="L498" s="304">
        <f t="shared" ca="1" si="203"/>
        <v>589.0353696986881</v>
      </c>
      <c r="M498" s="306">
        <f t="shared" ca="1" si="219"/>
        <v>-1.5092240331111486</v>
      </c>
      <c r="N498" s="304">
        <f t="shared" ca="1" si="220"/>
        <v>-86.472167436981223</v>
      </c>
      <c r="P498" s="310">
        <f t="shared" ca="1" si="221"/>
        <v>23</v>
      </c>
      <c r="Q498" s="304">
        <f t="shared" ca="1" si="222"/>
        <v>0</v>
      </c>
      <c r="R498" s="306">
        <f t="shared" ca="1" si="223"/>
        <v>0</v>
      </c>
      <c r="S498" s="307">
        <f t="shared" ca="1" si="224"/>
        <v>2.5949999999999998</v>
      </c>
      <c r="T498" s="304">
        <f t="shared" ca="1" si="204"/>
        <v>25.456949999999999</v>
      </c>
      <c r="U498" s="311">
        <f t="shared" ca="1" si="205"/>
        <v>0</v>
      </c>
      <c r="V498" s="306">
        <f t="shared" ca="1" si="206"/>
        <v>1.2260365951704797</v>
      </c>
      <c r="W498" s="304">
        <f t="shared" ca="1" si="207"/>
        <v>23.551840558414874</v>
      </c>
      <c r="Y498" s="314" t="str">
        <f t="shared" ca="1" si="225"/>
        <v/>
      </c>
      <c r="Z498" s="315" t="str">
        <f t="shared" ca="1" si="226"/>
        <v/>
      </c>
      <c r="AA498" s="316" t="str">
        <f t="shared" ca="1" si="227"/>
        <v/>
      </c>
      <c r="AC498" s="310" t="e">
        <f t="shared" ca="1" si="228"/>
        <v>#N/A</v>
      </c>
      <c r="AD498" s="323" t="e">
        <f t="shared" ca="1" si="229"/>
        <v>#N/A</v>
      </c>
      <c r="AE498" s="324" t="e">
        <f t="shared" ca="1" si="208"/>
        <v>#N/A</v>
      </c>
      <c r="AG498" s="306">
        <f t="shared" ca="1" si="230"/>
        <v>0.71557832488596951</v>
      </c>
      <c r="AH498" s="304">
        <f t="shared" ca="1" si="231"/>
        <v>-9.075831595283562</v>
      </c>
    </row>
    <row r="499" spans="1:34" x14ac:dyDescent="0.2">
      <c r="A499" s="347">
        <f t="shared" ca="1" si="209"/>
        <v>1E-4</v>
      </c>
      <c r="B499" s="304">
        <f t="shared" ca="1" si="210"/>
        <v>32.511200000000542</v>
      </c>
      <c r="D499" s="306">
        <f t="shared" ca="1" si="211"/>
        <v>-0.55846810573875405</v>
      </c>
      <c r="E499" s="307">
        <f t="shared" ca="1" si="212"/>
        <v>-0.75134473522584599</v>
      </c>
      <c r="F499" s="304">
        <f t="shared" ca="1" si="213"/>
        <v>0.93616533597384854</v>
      </c>
      <c r="G499" s="306">
        <f t="shared" ca="1" si="214"/>
        <v>5.9597918288472611</v>
      </c>
      <c r="H499" s="307">
        <f t="shared" ca="1" si="215"/>
        <v>-96.672033603673825</v>
      </c>
      <c r="I499" s="304">
        <f t="shared" ca="1" si="216"/>
        <v>96.855568759431875</v>
      </c>
      <c r="J499" s="306">
        <f t="shared" ca="1" si="217"/>
        <v>588.9746359926213</v>
      </c>
      <c r="K499" s="307">
        <f t="shared" ca="1" si="218"/>
        <v>-8.4680898320695324</v>
      </c>
      <c r="L499" s="304">
        <f t="shared" ca="1" si="203"/>
        <v>589.03550859693064</v>
      </c>
      <c r="M499" s="306">
        <f t="shared" ca="1" si="219"/>
        <v>-1.5092246563511167</v>
      </c>
      <c r="N499" s="304">
        <f t="shared" ca="1" si="220"/>
        <v>-86.472203146001021</v>
      </c>
      <c r="P499" s="310">
        <f t="shared" ca="1" si="221"/>
        <v>23</v>
      </c>
      <c r="Q499" s="304">
        <f t="shared" ca="1" si="222"/>
        <v>0</v>
      </c>
      <c r="R499" s="306">
        <f t="shared" ca="1" si="223"/>
        <v>0</v>
      </c>
      <c r="S499" s="307">
        <f t="shared" ca="1" si="224"/>
        <v>2.5949999999999998</v>
      </c>
      <c r="T499" s="304">
        <f t="shared" ca="1" si="204"/>
        <v>25.456949999999999</v>
      </c>
      <c r="U499" s="311">
        <f t="shared" ca="1" si="205"/>
        <v>0</v>
      </c>
      <c r="V499" s="306">
        <f t="shared" ca="1" si="206"/>
        <v>1.2260377804053135</v>
      </c>
      <c r="W499" s="304">
        <f t="shared" ca="1" si="207"/>
        <v>23.551898126141008</v>
      </c>
      <c r="Y499" s="314" t="str">
        <f t="shared" ca="1" si="225"/>
        <v/>
      </c>
      <c r="Z499" s="315" t="str">
        <f t="shared" ca="1" si="226"/>
        <v/>
      </c>
      <c r="AA499" s="316" t="str">
        <f t="shared" ca="1" si="227"/>
        <v/>
      </c>
      <c r="AC499" s="310" t="e">
        <f t="shared" ca="1" si="228"/>
        <v>#N/A</v>
      </c>
      <c r="AD499" s="323" t="e">
        <f t="shared" ca="1" si="229"/>
        <v>#N/A</v>
      </c>
      <c r="AE499" s="324" t="e">
        <f t="shared" ca="1" si="208"/>
        <v>#N/A</v>
      </c>
      <c r="AG499" s="306">
        <f t="shared" ca="1" si="230"/>
        <v>0.7155565166537361</v>
      </c>
      <c r="AH499" s="304">
        <f t="shared" ca="1" si="231"/>
        <v>-9.0758537797359828</v>
      </c>
    </row>
    <row r="500" spans="1:34" x14ac:dyDescent="0.2">
      <c r="A500" s="347">
        <f t="shared" ca="1" si="209"/>
        <v>1E-4</v>
      </c>
      <c r="B500" s="304">
        <f t="shared" ca="1" si="210"/>
        <v>32.511300000000546</v>
      </c>
      <c r="D500" s="306">
        <f t="shared" ca="1" si="211"/>
        <v>-0.55846382507152359</v>
      </c>
      <c r="E500" s="307">
        <f t="shared" ca="1" si="212"/>
        <v>-0.75132224511056478</v>
      </c>
      <c r="F500" s="304">
        <f t="shared" ca="1" si="213"/>
        <v>0.93614473235258711</v>
      </c>
      <c r="G500" s="306">
        <f t="shared" ca="1" si="214"/>
        <v>5.9597359824647542</v>
      </c>
      <c r="H500" s="307">
        <f t="shared" ca="1" si="215"/>
        <v>-96.672108735898334</v>
      </c>
      <c r="I500" s="304">
        <f t="shared" ca="1" si="216"/>
        <v>96.855640312921565</v>
      </c>
      <c r="J500" s="306">
        <f t="shared" ca="1" si="217"/>
        <v>588.9746359926213</v>
      </c>
      <c r="K500" s="307">
        <f t="shared" ca="1" si="218"/>
        <v>-8.4777570391865105</v>
      </c>
      <c r="L500" s="304">
        <f t="shared" ca="1" si="203"/>
        <v>589.03564765390581</v>
      </c>
      <c r="M500" s="306">
        <f t="shared" ca="1" si="219"/>
        <v>-1.509225279584324</v>
      </c>
      <c r="N500" s="304">
        <f t="shared" ca="1" si="220"/>
        <v>-86.472238854633446</v>
      </c>
      <c r="P500" s="310">
        <f t="shared" ca="1" si="221"/>
        <v>23</v>
      </c>
      <c r="Q500" s="304">
        <f t="shared" ca="1" si="222"/>
        <v>0</v>
      </c>
      <c r="R500" s="306">
        <f t="shared" ca="1" si="223"/>
        <v>0</v>
      </c>
      <c r="S500" s="307">
        <f t="shared" ca="1" si="224"/>
        <v>2.5949999999999998</v>
      </c>
      <c r="T500" s="304">
        <f t="shared" ca="1" si="204"/>
        <v>25.456949999999999</v>
      </c>
      <c r="U500" s="311">
        <f t="shared" ca="1" si="205"/>
        <v>0</v>
      </c>
      <c r="V500" s="306">
        <f t="shared" ca="1" si="206"/>
        <v>1.2260389656422146</v>
      </c>
      <c r="W500" s="304">
        <f t="shared" ca="1" si="207"/>
        <v>23.551955692939259</v>
      </c>
      <c r="Y500" s="314" t="str">
        <f t="shared" ca="1" si="225"/>
        <v/>
      </c>
      <c r="Z500" s="315" t="str">
        <f t="shared" ca="1" si="226"/>
        <v/>
      </c>
      <c r="AA500" s="316" t="str">
        <f t="shared" ca="1" si="227"/>
        <v/>
      </c>
      <c r="AC500" s="310" t="e">
        <f t="shared" ca="1" si="228"/>
        <v>#N/A</v>
      </c>
      <c r="AD500" s="323" t="e">
        <f t="shared" ca="1" si="229"/>
        <v>#N/A</v>
      </c>
      <c r="AE500" s="324" t="e">
        <f t="shared" ca="1" si="208"/>
        <v>#N/A</v>
      </c>
      <c r="AG500" s="306">
        <f t="shared" ca="1" si="230"/>
        <v>0.71553470877119096</v>
      </c>
      <c r="AH500" s="304">
        <f t="shared" ca="1" si="231"/>
        <v>-9.0758759638308319</v>
      </c>
    </row>
    <row r="501" spans="1:34" x14ac:dyDescent="0.2">
      <c r="A501" s="347">
        <f t="shared" ca="1" si="209"/>
        <v>1E-4</v>
      </c>
      <c r="B501" s="304">
        <f t="shared" ca="1" si="210"/>
        <v>32.511400000000549</v>
      </c>
      <c r="D501" s="306">
        <f t="shared" ca="1" si="211"/>
        <v>-0.5584595444157191</v>
      </c>
      <c r="E501" s="307">
        <f t="shared" ca="1" si="212"/>
        <v>-0.75129975535776161</v>
      </c>
      <c r="F501" s="304">
        <f t="shared" ca="1" si="213"/>
        <v>0.93612412913547161</v>
      </c>
      <c r="G501" s="306">
        <f t="shared" ca="1" si="214"/>
        <v>5.9596801365103129</v>
      </c>
      <c r="H501" s="307">
        <f t="shared" ca="1" si="215"/>
        <v>-96.672183865873876</v>
      </c>
      <c r="I501" s="304">
        <f t="shared" ca="1" si="216"/>
        <v>96.8557118642305</v>
      </c>
      <c r="J501" s="306">
        <f t="shared" ca="1" si="217"/>
        <v>588.9746359926213</v>
      </c>
      <c r="K501" s="307">
        <f t="shared" ca="1" si="218"/>
        <v>-8.4874242538165987</v>
      </c>
      <c r="L501" s="304">
        <f t="shared" ca="1" si="203"/>
        <v>589.03578686961373</v>
      </c>
      <c r="M501" s="306">
        <f t="shared" ca="1" si="219"/>
        <v>-1.5092259028107704</v>
      </c>
      <c r="N501" s="304">
        <f t="shared" ca="1" si="220"/>
        <v>-86.472274562878511</v>
      </c>
      <c r="P501" s="310">
        <f t="shared" ca="1" si="221"/>
        <v>23</v>
      </c>
      <c r="Q501" s="304">
        <f t="shared" ca="1" si="222"/>
        <v>0</v>
      </c>
      <c r="R501" s="306">
        <f t="shared" ca="1" si="223"/>
        <v>0</v>
      </c>
      <c r="S501" s="307">
        <f t="shared" ca="1" si="224"/>
        <v>2.5949999999999998</v>
      </c>
      <c r="T501" s="304">
        <f t="shared" ca="1" si="204"/>
        <v>25.456949999999999</v>
      </c>
      <c r="U501" s="311">
        <f t="shared" ca="1" si="205"/>
        <v>0</v>
      </c>
      <c r="V501" s="306">
        <f t="shared" ca="1" si="206"/>
        <v>1.2260401508811833</v>
      </c>
      <c r="W501" s="304">
        <f t="shared" ca="1" si="207"/>
        <v>23.552013258809659</v>
      </c>
      <c r="Y501" s="314" t="str">
        <f t="shared" ca="1" si="225"/>
        <v/>
      </c>
      <c r="Z501" s="315" t="str">
        <f t="shared" ca="1" si="226"/>
        <v/>
      </c>
      <c r="AA501" s="316" t="str">
        <f t="shared" ca="1" si="227"/>
        <v/>
      </c>
      <c r="AC501" s="310" t="e">
        <f t="shared" ca="1" si="228"/>
        <v>#N/A</v>
      </c>
      <c r="AD501" s="323" t="e">
        <f t="shared" ca="1" si="229"/>
        <v>#N/A</v>
      </c>
      <c r="AE501" s="324" t="e">
        <f t="shared" ca="1" si="208"/>
        <v>#N/A</v>
      </c>
      <c r="AG501" s="306">
        <f t="shared" ca="1" si="230"/>
        <v>0.71551290123832523</v>
      </c>
      <c r="AH501" s="304">
        <f t="shared" ca="1" si="231"/>
        <v>-9.0758981475681164</v>
      </c>
    </row>
    <row r="502" spans="1:34" x14ac:dyDescent="0.2">
      <c r="A502" s="347">
        <f t="shared" ca="1" si="209"/>
        <v>1E-4</v>
      </c>
      <c r="B502" s="304">
        <f t="shared" ca="1" si="210"/>
        <v>32.511500000000552</v>
      </c>
      <c r="D502" s="306">
        <f t="shared" ca="1" si="211"/>
        <v>-0.55845526377134214</v>
      </c>
      <c r="E502" s="307">
        <f t="shared" ca="1" si="212"/>
        <v>-0.75127726596742939</v>
      </c>
      <c r="F502" s="304">
        <f t="shared" ca="1" si="213"/>
        <v>0.9361035263224976</v>
      </c>
      <c r="G502" s="306">
        <f t="shared" ca="1" si="214"/>
        <v>5.9596242909839354</v>
      </c>
      <c r="H502" s="307">
        <f t="shared" ca="1" si="215"/>
        <v>-96.672258993600479</v>
      </c>
      <c r="I502" s="304">
        <f t="shared" ca="1" si="216"/>
        <v>96.855783413358722</v>
      </c>
      <c r="J502" s="306">
        <f t="shared" ca="1" si="217"/>
        <v>588.9746359926213</v>
      </c>
      <c r="K502" s="307">
        <f t="shared" ca="1" si="218"/>
        <v>-8.4970914759595733</v>
      </c>
      <c r="L502" s="304">
        <f t="shared" ca="1" si="203"/>
        <v>589.03592624405474</v>
      </c>
      <c r="M502" s="306">
        <f t="shared" ca="1" si="219"/>
        <v>-1.509226526030456</v>
      </c>
      <c r="N502" s="304">
        <f t="shared" ca="1" si="220"/>
        <v>-86.472310270736202</v>
      </c>
      <c r="P502" s="310">
        <f t="shared" ca="1" si="221"/>
        <v>23</v>
      </c>
      <c r="Q502" s="304">
        <f t="shared" ca="1" si="222"/>
        <v>0</v>
      </c>
      <c r="R502" s="306">
        <f t="shared" ca="1" si="223"/>
        <v>0</v>
      </c>
      <c r="S502" s="307">
        <f t="shared" ca="1" si="224"/>
        <v>2.5949999999999998</v>
      </c>
      <c r="T502" s="304">
        <f t="shared" ca="1" si="204"/>
        <v>25.456949999999999</v>
      </c>
      <c r="U502" s="311">
        <f t="shared" ca="1" si="205"/>
        <v>0</v>
      </c>
      <c r="V502" s="306">
        <f t="shared" ca="1" si="206"/>
        <v>1.2260413361222193</v>
      </c>
      <c r="W502" s="304">
        <f t="shared" ca="1" si="207"/>
        <v>23.552070823752196</v>
      </c>
      <c r="Y502" s="314" t="str">
        <f t="shared" ca="1" si="225"/>
        <v/>
      </c>
      <c r="Z502" s="315" t="str">
        <f t="shared" ca="1" si="226"/>
        <v/>
      </c>
      <c r="AA502" s="316" t="str">
        <f t="shared" ca="1" si="227"/>
        <v/>
      </c>
      <c r="AC502" s="310" t="e">
        <f t="shared" ca="1" si="228"/>
        <v>#N/A</v>
      </c>
      <c r="AD502" s="323" t="e">
        <f t="shared" ca="1" si="229"/>
        <v>#N/A</v>
      </c>
      <c r="AE502" s="324" t="e">
        <f t="shared" ca="1" si="208"/>
        <v>#N/A</v>
      </c>
      <c r="AG502" s="306">
        <f t="shared" ca="1" si="230"/>
        <v>0.71549109405512823</v>
      </c>
      <c r="AH502" s="304">
        <f t="shared" ca="1" si="231"/>
        <v>-9.0759203309478469</v>
      </c>
    </row>
    <row r="503" spans="1:34" x14ac:dyDescent="0.2">
      <c r="A503" s="347">
        <f t="shared" ca="1" si="209"/>
        <v>1E-4</v>
      </c>
      <c r="B503" s="304">
        <f t="shared" ca="1" si="210"/>
        <v>32.511600000000556</v>
      </c>
      <c r="D503" s="306">
        <f t="shared" ca="1" si="211"/>
        <v>-0.55845098313839381</v>
      </c>
      <c r="E503" s="307">
        <f t="shared" ca="1" si="212"/>
        <v>-0.75125477693956988</v>
      </c>
      <c r="F503" s="304">
        <f t="shared" ca="1" si="213"/>
        <v>0.93608292391366776</v>
      </c>
      <c r="G503" s="306">
        <f t="shared" ca="1" si="214"/>
        <v>5.9595684458856217</v>
      </c>
      <c r="H503" s="307">
        <f t="shared" ca="1" si="215"/>
        <v>-96.672334119078172</v>
      </c>
      <c r="I503" s="304">
        <f t="shared" ca="1" si="216"/>
        <v>96.85585496030626</v>
      </c>
      <c r="J503" s="306">
        <f t="shared" ca="1" si="217"/>
        <v>588.9746359926213</v>
      </c>
      <c r="K503" s="307">
        <f t="shared" ca="1" si="218"/>
        <v>-8.5067587056152068</v>
      </c>
      <c r="L503" s="304">
        <f t="shared" ca="1" si="203"/>
        <v>589.03606577722928</v>
      </c>
      <c r="M503" s="306">
        <f t="shared" ca="1" si="219"/>
        <v>-1.5092271492433811</v>
      </c>
      <c r="N503" s="304">
        <f t="shared" ca="1" si="220"/>
        <v>-86.472345978206548</v>
      </c>
      <c r="P503" s="310">
        <f t="shared" ca="1" si="221"/>
        <v>23</v>
      </c>
      <c r="Q503" s="304">
        <f t="shared" ca="1" si="222"/>
        <v>0</v>
      </c>
      <c r="R503" s="306">
        <f t="shared" ca="1" si="223"/>
        <v>0</v>
      </c>
      <c r="S503" s="307">
        <f t="shared" ca="1" si="224"/>
        <v>2.5949999999999998</v>
      </c>
      <c r="T503" s="304">
        <f t="shared" ca="1" si="204"/>
        <v>25.456949999999999</v>
      </c>
      <c r="U503" s="311">
        <f t="shared" ca="1" si="205"/>
        <v>0</v>
      </c>
      <c r="V503" s="306">
        <f t="shared" ca="1" si="206"/>
        <v>1.226042521365323</v>
      </c>
      <c r="W503" s="304">
        <f t="shared" ca="1" si="207"/>
        <v>23.552128387766899</v>
      </c>
      <c r="Y503" s="314" t="str">
        <f t="shared" ca="1" si="225"/>
        <v/>
      </c>
      <c r="Z503" s="315" t="str">
        <f t="shared" ca="1" si="226"/>
        <v/>
      </c>
      <c r="AA503" s="316" t="str">
        <f t="shared" ca="1" si="227"/>
        <v/>
      </c>
      <c r="AC503" s="310" t="e">
        <f t="shared" ca="1" si="228"/>
        <v>#N/A</v>
      </c>
      <c r="AD503" s="323" t="e">
        <f t="shared" ca="1" si="229"/>
        <v>#N/A</v>
      </c>
      <c r="AE503" s="324" t="e">
        <f t="shared" ca="1" si="208"/>
        <v>#N/A</v>
      </c>
      <c r="AG503" s="306">
        <f t="shared" ca="1" si="230"/>
        <v>0.71546928722160885</v>
      </c>
      <c r="AH503" s="304">
        <f t="shared" ca="1" si="231"/>
        <v>-9.0759425139700181</v>
      </c>
    </row>
    <row r="504" spans="1:34" x14ac:dyDescent="0.2">
      <c r="A504" s="347">
        <f t="shared" ca="1" si="209"/>
        <v>1E-4</v>
      </c>
      <c r="B504" s="304">
        <f t="shared" ca="1" si="210"/>
        <v>32.511700000000559</v>
      </c>
      <c r="D504" s="306">
        <f t="shared" ca="1" si="211"/>
        <v>-0.55844670251687389</v>
      </c>
      <c r="E504" s="307">
        <f t="shared" ca="1" si="212"/>
        <v>-0.75123228827417066</v>
      </c>
      <c r="F504" s="304">
        <f t="shared" ca="1" si="213"/>
        <v>0.93606232190897232</v>
      </c>
      <c r="G504" s="306">
        <f t="shared" ca="1" si="214"/>
        <v>5.9595126012153701</v>
      </c>
      <c r="H504" s="307">
        <f t="shared" ca="1" si="215"/>
        <v>-96.672409242306998</v>
      </c>
      <c r="I504" s="304">
        <f t="shared" ca="1" si="216"/>
        <v>96.855926505073128</v>
      </c>
      <c r="J504" s="306">
        <f t="shared" ca="1" si="217"/>
        <v>588.9746359926213</v>
      </c>
      <c r="K504" s="307">
        <f t="shared" ca="1" si="218"/>
        <v>-8.5164259427832754</v>
      </c>
      <c r="L504" s="304">
        <f t="shared" ca="1" si="203"/>
        <v>589.03620546913726</v>
      </c>
      <c r="M504" s="306">
        <f t="shared" ca="1" si="219"/>
        <v>-1.5092277724495455</v>
      </c>
      <c r="N504" s="304">
        <f t="shared" ca="1" si="220"/>
        <v>-86.472381685289534</v>
      </c>
      <c r="P504" s="310">
        <f t="shared" ca="1" si="221"/>
        <v>23</v>
      </c>
      <c r="Q504" s="304">
        <f t="shared" ca="1" si="222"/>
        <v>0</v>
      </c>
      <c r="R504" s="306">
        <f t="shared" ca="1" si="223"/>
        <v>0</v>
      </c>
      <c r="S504" s="307">
        <f t="shared" ca="1" si="224"/>
        <v>2.5949999999999998</v>
      </c>
      <c r="T504" s="304">
        <f t="shared" ca="1" si="204"/>
        <v>25.456949999999999</v>
      </c>
      <c r="U504" s="311">
        <f t="shared" ca="1" si="205"/>
        <v>0</v>
      </c>
      <c r="V504" s="306">
        <f t="shared" ca="1" si="206"/>
        <v>1.2260437066104939</v>
      </c>
      <c r="W504" s="304">
        <f t="shared" ca="1" si="207"/>
        <v>23.552185950853751</v>
      </c>
      <c r="Y504" s="314" t="str">
        <f t="shared" ca="1" si="225"/>
        <v/>
      </c>
      <c r="Z504" s="315" t="str">
        <f t="shared" ca="1" si="226"/>
        <v/>
      </c>
      <c r="AA504" s="316" t="str">
        <f t="shared" ca="1" si="227"/>
        <v/>
      </c>
      <c r="AC504" s="310" t="e">
        <f t="shared" ca="1" si="228"/>
        <v>#N/A</v>
      </c>
      <c r="AD504" s="323" t="e">
        <f t="shared" ca="1" si="229"/>
        <v>#N/A</v>
      </c>
      <c r="AE504" s="324" t="e">
        <f t="shared" ca="1" si="208"/>
        <v>#N/A</v>
      </c>
      <c r="AG504" s="306">
        <f t="shared" ca="1" si="230"/>
        <v>0.71544748073774933</v>
      </c>
      <c r="AH504" s="304">
        <f t="shared" ca="1" si="231"/>
        <v>-9.0759646966346441</v>
      </c>
    </row>
    <row r="505" spans="1:34" x14ac:dyDescent="0.2">
      <c r="A505" s="347">
        <f t="shared" ca="1" si="209"/>
        <v>1E-4</v>
      </c>
      <c r="B505" s="304">
        <f t="shared" ca="1" si="210"/>
        <v>32.511800000000562</v>
      </c>
      <c r="D505" s="306">
        <f t="shared" ca="1" si="211"/>
        <v>-0.55844242190678306</v>
      </c>
      <c r="E505" s="307">
        <f t="shared" ca="1" si="212"/>
        <v>-0.75120979997124238</v>
      </c>
      <c r="F505" s="304">
        <f t="shared" ca="1" si="213"/>
        <v>0.93604172030842059</v>
      </c>
      <c r="G505" s="306">
        <f t="shared" ca="1" si="214"/>
        <v>5.9594567569731796</v>
      </c>
      <c r="H505" s="307">
        <f t="shared" ca="1" si="215"/>
        <v>-96.672484363286998</v>
      </c>
      <c r="I505" s="304">
        <f t="shared" ca="1" si="216"/>
        <v>96.855998047659398</v>
      </c>
      <c r="J505" s="306">
        <f t="shared" ca="1" si="217"/>
        <v>588.9746359926213</v>
      </c>
      <c r="K505" s="307">
        <f t="shared" ca="1" si="218"/>
        <v>-8.5260931874635553</v>
      </c>
      <c r="L505" s="304">
        <f t="shared" ca="1" si="203"/>
        <v>589.03634531977912</v>
      </c>
      <c r="M505" s="306">
        <f t="shared" ca="1" si="219"/>
        <v>-1.5092283956489494</v>
      </c>
      <c r="N505" s="304">
        <f t="shared" ca="1" si="220"/>
        <v>-86.472417391985175</v>
      </c>
      <c r="P505" s="310">
        <f t="shared" ca="1" si="221"/>
        <v>23</v>
      </c>
      <c r="Q505" s="304">
        <f t="shared" ca="1" si="222"/>
        <v>0</v>
      </c>
      <c r="R505" s="306">
        <f t="shared" ca="1" si="223"/>
        <v>0</v>
      </c>
      <c r="S505" s="307">
        <f t="shared" ca="1" si="224"/>
        <v>2.5949999999999998</v>
      </c>
      <c r="T505" s="304">
        <f t="shared" ca="1" si="204"/>
        <v>25.456949999999999</v>
      </c>
      <c r="U505" s="311">
        <f t="shared" ca="1" si="205"/>
        <v>0</v>
      </c>
      <c r="V505" s="306">
        <f t="shared" ca="1" si="206"/>
        <v>1.2260448918577318</v>
      </c>
      <c r="W505" s="304">
        <f t="shared" ca="1" si="207"/>
        <v>23.55224351301279</v>
      </c>
      <c r="Y505" s="314" t="str">
        <f t="shared" ca="1" si="225"/>
        <v/>
      </c>
      <c r="Z505" s="315" t="str">
        <f t="shared" ca="1" si="226"/>
        <v/>
      </c>
      <c r="AA505" s="316" t="str">
        <f t="shared" ca="1" si="227"/>
        <v/>
      </c>
      <c r="AC505" s="310" t="e">
        <f t="shared" ca="1" si="228"/>
        <v>#N/A</v>
      </c>
      <c r="AD505" s="323" t="e">
        <f t="shared" ca="1" si="229"/>
        <v>#N/A</v>
      </c>
      <c r="AE505" s="324" t="e">
        <f t="shared" ca="1" si="208"/>
        <v>#N/A</v>
      </c>
      <c r="AG505" s="306">
        <f t="shared" ca="1" si="230"/>
        <v>0.71542567460356032</v>
      </c>
      <c r="AH505" s="304">
        <f t="shared" ca="1" si="231"/>
        <v>-9.0759868789417162</v>
      </c>
    </row>
    <row r="506" spans="1:34" x14ac:dyDescent="0.2">
      <c r="A506" s="347">
        <f t="shared" ca="1" si="209"/>
        <v>1E-4</v>
      </c>
      <c r="B506" s="304">
        <f t="shared" ca="1" si="210"/>
        <v>32.511900000000566</v>
      </c>
      <c r="D506" s="306">
        <f t="shared" ca="1" si="211"/>
        <v>-0.55843814130812341</v>
      </c>
      <c r="E506" s="307">
        <f t="shared" ca="1" si="212"/>
        <v>-0.7511873120307655</v>
      </c>
      <c r="F506" s="304">
        <f t="shared" ca="1" si="213"/>
        <v>0.93602111911199859</v>
      </c>
      <c r="G506" s="306">
        <f t="shared" ca="1" si="214"/>
        <v>5.9594009131590484</v>
      </c>
      <c r="H506" s="307">
        <f t="shared" ca="1" si="215"/>
        <v>-96.672559482018201</v>
      </c>
      <c r="I506" s="304">
        <f t="shared" ca="1" si="216"/>
        <v>96.856069588065097</v>
      </c>
      <c r="J506" s="306">
        <f t="shared" ca="1" si="217"/>
        <v>588.9746359926213</v>
      </c>
      <c r="K506" s="307">
        <f t="shared" ca="1" si="218"/>
        <v>-8.5357604396558209</v>
      </c>
      <c r="L506" s="304">
        <f t="shared" ca="1" si="203"/>
        <v>589.03648532915508</v>
      </c>
      <c r="M506" s="306">
        <f t="shared" ca="1" si="219"/>
        <v>-1.5092290188415929</v>
      </c>
      <c r="N506" s="304">
        <f t="shared" ca="1" si="220"/>
        <v>-86.472453098293471</v>
      </c>
      <c r="P506" s="310">
        <f t="shared" ca="1" si="221"/>
        <v>23</v>
      </c>
      <c r="Q506" s="304">
        <f t="shared" ca="1" si="222"/>
        <v>0</v>
      </c>
      <c r="R506" s="306">
        <f t="shared" ca="1" si="223"/>
        <v>0</v>
      </c>
      <c r="S506" s="307">
        <f t="shared" ca="1" si="224"/>
        <v>2.5949999999999998</v>
      </c>
      <c r="T506" s="304">
        <f t="shared" ca="1" si="204"/>
        <v>25.456949999999999</v>
      </c>
      <c r="U506" s="311">
        <f t="shared" ca="1" si="205"/>
        <v>0</v>
      </c>
      <c r="V506" s="306">
        <f t="shared" ca="1" si="206"/>
        <v>1.2260460771070374</v>
      </c>
      <c r="W506" s="304">
        <f t="shared" ca="1" si="207"/>
        <v>23.552301074244031</v>
      </c>
      <c r="Y506" s="314" t="str">
        <f t="shared" ca="1" si="225"/>
        <v/>
      </c>
      <c r="Z506" s="315" t="str">
        <f t="shared" ca="1" si="226"/>
        <v/>
      </c>
      <c r="AA506" s="316" t="str">
        <f t="shared" ca="1" si="227"/>
        <v/>
      </c>
      <c r="AC506" s="310" t="e">
        <f t="shared" ca="1" si="228"/>
        <v>#N/A</v>
      </c>
      <c r="AD506" s="323" t="e">
        <f t="shared" ca="1" si="229"/>
        <v>#N/A</v>
      </c>
      <c r="AE506" s="324" t="e">
        <f t="shared" ca="1" si="208"/>
        <v>#N/A</v>
      </c>
      <c r="AG506" s="306">
        <f t="shared" ca="1" si="230"/>
        <v>0.71540386881902407</v>
      </c>
      <c r="AH506" s="304">
        <f t="shared" ca="1" si="231"/>
        <v>-9.0760090608912503</v>
      </c>
    </row>
    <row r="507" spans="1:34" x14ac:dyDescent="0.2">
      <c r="A507" s="347">
        <f t="shared" ca="1" si="209"/>
        <v>1E-4</v>
      </c>
      <c r="B507" s="304">
        <f t="shared" ca="1" si="210"/>
        <v>32.512000000000569</v>
      </c>
      <c r="D507" s="306">
        <f t="shared" ca="1" si="211"/>
        <v>-0.55843386072089429</v>
      </c>
      <c r="E507" s="307">
        <f t="shared" ca="1" si="212"/>
        <v>-0.75116482445273824</v>
      </c>
      <c r="F507" s="304">
        <f t="shared" ca="1" si="213"/>
        <v>0.93600051831970488</v>
      </c>
      <c r="G507" s="306">
        <f t="shared" ca="1" si="214"/>
        <v>5.9593450697729766</v>
      </c>
      <c r="H507" s="307">
        <f t="shared" ca="1" si="215"/>
        <v>-96.67263459850065</v>
      </c>
      <c r="I507" s="304">
        <f t="shared" ca="1" si="216"/>
        <v>96.85614112629024</v>
      </c>
      <c r="J507" s="306">
        <f t="shared" ca="1" si="217"/>
        <v>588.9746359926213</v>
      </c>
      <c r="K507" s="307">
        <f t="shared" ca="1" si="218"/>
        <v>-8.5454276993598466</v>
      </c>
      <c r="L507" s="304">
        <f t="shared" ca="1" si="203"/>
        <v>589.03662549726539</v>
      </c>
      <c r="M507" s="306">
        <f t="shared" ca="1" si="219"/>
        <v>-1.5092296420274762</v>
      </c>
      <c r="N507" s="304">
        <f t="shared" ca="1" si="220"/>
        <v>-86.472488804214436</v>
      </c>
      <c r="P507" s="310">
        <f t="shared" ca="1" si="221"/>
        <v>23</v>
      </c>
      <c r="Q507" s="304">
        <f t="shared" ca="1" si="222"/>
        <v>0</v>
      </c>
      <c r="R507" s="306">
        <f t="shared" ca="1" si="223"/>
        <v>0</v>
      </c>
      <c r="S507" s="307">
        <f t="shared" ca="1" si="224"/>
        <v>2.5949999999999998</v>
      </c>
      <c r="T507" s="304">
        <f t="shared" ca="1" si="204"/>
        <v>25.456949999999999</v>
      </c>
      <c r="U507" s="311">
        <f t="shared" ca="1" si="205"/>
        <v>0</v>
      </c>
      <c r="V507" s="306">
        <f t="shared" ca="1" si="206"/>
        <v>1.2260472623584098</v>
      </c>
      <c r="W507" s="304">
        <f t="shared" ca="1" si="207"/>
        <v>23.552358634547456</v>
      </c>
      <c r="Y507" s="314" t="str">
        <f t="shared" ca="1" si="225"/>
        <v/>
      </c>
      <c r="Z507" s="315" t="str">
        <f t="shared" ca="1" si="226"/>
        <v/>
      </c>
      <c r="AA507" s="316" t="str">
        <f t="shared" ca="1" si="227"/>
        <v/>
      </c>
      <c r="AC507" s="310" t="e">
        <f t="shared" ca="1" si="228"/>
        <v>#N/A</v>
      </c>
      <c r="AD507" s="323" t="e">
        <f t="shared" ca="1" si="229"/>
        <v>#N/A</v>
      </c>
      <c r="AE507" s="324" t="e">
        <f t="shared" ca="1" si="208"/>
        <v>#N/A</v>
      </c>
      <c r="AG507" s="306">
        <f t="shared" ca="1" si="230"/>
        <v>0.71538206338414234</v>
      </c>
      <c r="AH507" s="304">
        <f t="shared" ca="1" si="231"/>
        <v>-9.0760312424832499</v>
      </c>
    </row>
    <row r="508" spans="1:34" x14ac:dyDescent="0.2">
      <c r="A508" s="347">
        <f t="shared" ca="1" si="209"/>
        <v>1E-4</v>
      </c>
      <c r="B508" s="304">
        <f t="shared" ca="1" si="210"/>
        <v>32.512100000000572</v>
      </c>
      <c r="D508" s="306">
        <f t="shared" ca="1" si="211"/>
        <v>-0.55842958014509436</v>
      </c>
      <c r="E508" s="307">
        <f t="shared" ca="1" si="212"/>
        <v>-0.75114233723716595</v>
      </c>
      <c r="F508" s="304">
        <f t="shared" ca="1" si="213"/>
        <v>0.93597991793154345</v>
      </c>
      <c r="G508" s="306">
        <f t="shared" ca="1" si="214"/>
        <v>5.9592892268149624</v>
      </c>
      <c r="H508" s="307">
        <f t="shared" ca="1" si="215"/>
        <v>-96.672709712734374</v>
      </c>
      <c r="I508" s="304">
        <f t="shared" ca="1" si="216"/>
        <v>96.856212662334883</v>
      </c>
      <c r="J508" s="306">
        <f t="shared" ca="1" si="217"/>
        <v>588.9746359926213</v>
      </c>
      <c r="K508" s="307">
        <f t="shared" ca="1" si="218"/>
        <v>-8.5550949665754086</v>
      </c>
      <c r="L508" s="304">
        <f t="shared" ca="1" si="203"/>
        <v>589.03676582411038</v>
      </c>
      <c r="M508" s="306">
        <f t="shared" ca="1" si="219"/>
        <v>-1.5092302652065992</v>
      </c>
      <c r="N508" s="304">
        <f t="shared" ca="1" si="220"/>
        <v>-86.472524509748069</v>
      </c>
      <c r="P508" s="310">
        <f t="shared" ca="1" si="221"/>
        <v>23</v>
      </c>
      <c r="Q508" s="304">
        <f t="shared" ca="1" si="222"/>
        <v>0</v>
      </c>
      <c r="R508" s="306">
        <f t="shared" ca="1" si="223"/>
        <v>0</v>
      </c>
      <c r="S508" s="307">
        <f t="shared" ca="1" si="224"/>
        <v>2.5949999999999998</v>
      </c>
      <c r="T508" s="304">
        <f t="shared" ca="1" si="204"/>
        <v>25.456949999999999</v>
      </c>
      <c r="U508" s="311">
        <f t="shared" ca="1" si="205"/>
        <v>0</v>
      </c>
      <c r="V508" s="306">
        <f t="shared" ca="1" si="206"/>
        <v>1.2260484476118496</v>
      </c>
      <c r="W508" s="304">
        <f t="shared" ca="1" si="207"/>
        <v>23.552416193923108</v>
      </c>
      <c r="Y508" s="314" t="str">
        <f t="shared" ca="1" si="225"/>
        <v/>
      </c>
      <c r="Z508" s="315" t="str">
        <f t="shared" ca="1" si="226"/>
        <v/>
      </c>
      <c r="AA508" s="316" t="str">
        <f t="shared" ca="1" si="227"/>
        <v/>
      </c>
      <c r="AC508" s="310" t="e">
        <f t="shared" ca="1" si="228"/>
        <v>#N/A</v>
      </c>
      <c r="AD508" s="323" t="e">
        <f t="shared" ca="1" si="229"/>
        <v>#N/A</v>
      </c>
      <c r="AE508" s="324" t="e">
        <f t="shared" ca="1" si="208"/>
        <v>#N/A</v>
      </c>
      <c r="AG508" s="306">
        <f t="shared" ca="1" si="230"/>
        <v>0.71536025829891514</v>
      </c>
      <c r="AH508" s="304">
        <f t="shared" ca="1" si="231"/>
        <v>-9.0760534237177097</v>
      </c>
    </row>
    <row r="509" spans="1:34" x14ac:dyDescent="0.2">
      <c r="A509" s="347">
        <f t="shared" ca="1" si="209"/>
        <v>1E-4</v>
      </c>
      <c r="B509" s="304">
        <f t="shared" ca="1" si="210"/>
        <v>32.512200000000576</v>
      </c>
      <c r="D509" s="306">
        <f t="shared" ca="1" si="211"/>
        <v>-0.55842529958072795</v>
      </c>
      <c r="E509" s="307">
        <f t="shared" ca="1" si="212"/>
        <v>-0.75111985038402906</v>
      </c>
      <c r="F509" s="304">
        <f t="shared" ca="1" si="213"/>
        <v>0.93595931794750142</v>
      </c>
      <c r="G509" s="306">
        <f t="shared" ca="1" si="214"/>
        <v>5.959233384285004</v>
      </c>
      <c r="H509" s="307">
        <f t="shared" ca="1" si="215"/>
        <v>-96.672784824719415</v>
      </c>
      <c r="I509" s="304">
        <f t="shared" ca="1" si="216"/>
        <v>96.856284196199042</v>
      </c>
      <c r="J509" s="306">
        <f t="shared" ca="1" si="217"/>
        <v>588.9746359926213</v>
      </c>
      <c r="K509" s="307">
        <f t="shared" ca="1" si="218"/>
        <v>-8.5647622413022813</v>
      </c>
      <c r="L509" s="304">
        <f t="shared" ca="1" si="203"/>
        <v>589.03690630969027</v>
      </c>
      <c r="M509" s="306">
        <f t="shared" ca="1" si="219"/>
        <v>-1.5092308883789622</v>
      </c>
      <c r="N509" s="304">
        <f t="shared" ca="1" si="220"/>
        <v>-86.472560214894372</v>
      </c>
      <c r="P509" s="310">
        <f t="shared" ca="1" si="221"/>
        <v>23</v>
      </c>
      <c r="Q509" s="304">
        <f t="shared" ca="1" si="222"/>
        <v>0</v>
      </c>
      <c r="R509" s="306">
        <f t="shared" ca="1" si="223"/>
        <v>0</v>
      </c>
      <c r="S509" s="307">
        <f t="shared" ca="1" si="224"/>
        <v>2.5949999999999998</v>
      </c>
      <c r="T509" s="304">
        <f t="shared" ca="1" si="204"/>
        <v>25.456949999999999</v>
      </c>
      <c r="U509" s="311">
        <f t="shared" ca="1" si="205"/>
        <v>0</v>
      </c>
      <c r="V509" s="306">
        <f t="shared" ca="1" si="206"/>
        <v>1.2260496328673571</v>
      </c>
      <c r="W509" s="304">
        <f t="shared" ca="1" si="207"/>
        <v>23.552473752370986</v>
      </c>
      <c r="Y509" s="314" t="str">
        <f t="shared" ca="1" si="225"/>
        <v/>
      </c>
      <c r="Z509" s="315" t="str">
        <f t="shared" ca="1" si="226"/>
        <v/>
      </c>
      <c r="AA509" s="316" t="str">
        <f t="shared" ca="1" si="227"/>
        <v/>
      </c>
      <c r="AC509" s="310" t="e">
        <f t="shared" ca="1" si="228"/>
        <v>#N/A</v>
      </c>
      <c r="AD509" s="323" t="e">
        <f t="shared" ca="1" si="229"/>
        <v>#N/A</v>
      </c>
      <c r="AE509" s="324" t="e">
        <f t="shared" ca="1" si="208"/>
        <v>#N/A</v>
      </c>
      <c r="AG509" s="306">
        <f t="shared" ca="1" si="230"/>
        <v>0.71533845356332826</v>
      </c>
      <c r="AH509" s="304">
        <f t="shared" ca="1" si="231"/>
        <v>-9.0760756045946476</v>
      </c>
    </row>
    <row r="510" spans="1:34" x14ac:dyDescent="0.2">
      <c r="A510" s="347">
        <f t="shared" ca="1" si="209"/>
        <v>1E-4</v>
      </c>
      <c r="B510" s="304">
        <f t="shared" ca="1" si="210"/>
        <v>32.512300000000579</v>
      </c>
      <c r="D510" s="306">
        <f t="shared" ca="1" si="211"/>
        <v>-0.55842101902779206</v>
      </c>
      <c r="E510" s="307">
        <f t="shared" ca="1" si="212"/>
        <v>-0.75109736389333293</v>
      </c>
      <c r="F510" s="304">
        <f t="shared" ca="1" si="213"/>
        <v>0.93593871836758169</v>
      </c>
      <c r="G510" s="306">
        <f t="shared" ca="1" si="214"/>
        <v>5.9591775421831015</v>
      </c>
      <c r="H510" s="307">
        <f t="shared" ca="1" si="215"/>
        <v>-96.672859934455801</v>
      </c>
      <c r="I510" s="304">
        <f t="shared" ca="1" si="216"/>
        <v>96.856355727882757</v>
      </c>
      <c r="J510" s="306">
        <f t="shared" ca="1" si="217"/>
        <v>588.9746359926213</v>
      </c>
      <c r="K510" s="307">
        <f t="shared" ca="1" si="218"/>
        <v>-8.5744295235402408</v>
      </c>
      <c r="L510" s="304">
        <f t="shared" ca="1" si="203"/>
        <v>589.03704695400518</v>
      </c>
      <c r="M510" s="306">
        <f t="shared" ca="1" si="219"/>
        <v>-1.5092315115445651</v>
      </c>
      <c r="N510" s="304">
        <f t="shared" ca="1" si="220"/>
        <v>-86.472595919653358</v>
      </c>
      <c r="P510" s="310">
        <f t="shared" ca="1" si="221"/>
        <v>23</v>
      </c>
      <c r="Q510" s="304">
        <f t="shared" ca="1" si="222"/>
        <v>0</v>
      </c>
      <c r="R510" s="306">
        <f t="shared" ca="1" si="223"/>
        <v>0</v>
      </c>
      <c r="S510" s="307">
        <f t="shared" ca="1" si="224"/>
        <v>2.5949999999999998</v>
      </c>
      <c r="T510" s="304">
        <f t="shared" ca="1" si="204"/>
        <v>25.456949999999999</v>
      </c>
      <c r="U510" s="311">
        <f t="shared" ca="1" si="205"/>
        <v>0</v>
      </c>
      <c r="V510" s="306">
        <f t="shared" ca="1" si="206"/>
        <v>1.2260508181249317</v>
      </c>
      <c r="W510" s="304">
        <f t="shared" ca="1" si="207"/>
        <v>23.552531309891087</v>
      </c>
      <c r="Y510" s="314" t="str">
        <f t="shared" ca="1" si="225"/>
        <v/>
      </c>
      <c r="Z510" s="315" t="str">
        <f t="shared" ca="1" si="226"/>
        <v/>
      </c>
      <c r="AA510" s="316" t="str">
        <f t="shared" ca="1" si="227"/>
        <v/>
      </c>
      <c r="AC510" s="310" t="e">
        <f t="shared" ca="1" si="228"/>
        <v>#N/A</v>
      </c>
      <c r="AD510" s="323" t="e">
        <f t="shared" ca="1" si="229"/>
        <v>#N/A</v>
      </c>
      <c r="AE510" s="324" t="e">
        <f t="shared" ca="1" si="208"/>
        <v>#N/A</v>
      </c>
      <c r="AG510" s="306">
        <f t="shared" ca="1" si="230"/>
        <v>0.71531664917738169</v>
      </c>
      <c r="AH510" s="304">
        <f t="shared" ca="1" si="231"/>
        <v>-9.0760977851140616</v>
      </c>
    </row>
    <row r="511" spans="1:34" x14ac:dyDescent="0.2">
      <c r="A511" s="347">
        <f t="shared" ca="1" si="209"/>
        <v>1E-4</v>
      </c>
      <c r="B511" s="304">
        <f t="shared" ca="1" si="210"/>
        <v>32.512400000000582</v>
      </c>
      <c r="D511" s="306">
        <f t="shared" ca="1" si="211"/>
        <v>-0.5584167384862897</v>
      </c>
      <c r="E511" s="307">
        <f t="shared" ca="1" si="212"/>
        <v>-0.75107487776507575</v>
      </c>
      <c r="F511" s="304">
        <f t="shared" ca="1" si="213"/>
        <v>0.93591811919178525</v>
      </c>
      <c r="G511" s="306">
        <f t="shared" ca="1" si="214"/>
        <v>5.9591217005092529</v>
      </c>
      <c r="H511" s="307">
        <f t="shared" ca="1" si="215"/>
        <v>-96.672935041943575</v>
      </c>
      <c r="I511" s="304">
        <f t="shared" ca="1" si="216"/>
        <v>96.856427257386088</v>
      </c>
      <c r="J511" s="306">
        <f t="shared" ca="1" si="217"/>
        <v>588.9746359926213</v>
      </c>
      <c r="K511" s="307">
        <f t="shared" ca="1" si="218"/>
        <v>-8.5840968132890616</v>
      </c>
      <c r="L511" s="304">
        <f t="shared" ca="1" si="203"/>
        <v>589.03718775705556</v>
      </c>
      <c r="M511" s="306">
        <f t="shared" ca="1" si="219"/>
        <v>-1.5092321347034081</v>
      </c>
      <c r="N511" s="304">
        <f t="shared" ca="1" si="220"/>
        <v>-86.472631624025027</v>
      </c>
      <c r="P511" s="310">
        <f t="shared" ca="1" si="221"/>
        <v>23</v>
      </c>
      <c r="Q511" s="304">
        <f t="shared" ca="1" si="222"/>
        <v>0</v>
      </c>
      <c r="R511" s="306">
        <f t="shared" ca="1" si="223"/>
        <v>0</v>
      </c>
      <c r="S511" s="307">
        <f t="shared" ca="1" si="224"/>
        <v>2.5949999999999998</v>
      </c>
      <c r="T511" s="304">
        <f t="shared" ca="1" si="204"/>
        <v>25.456949999999999</v>
      </c>
      <c r="U511" s="311">
        <f t="shared" ca="1" si="205"/>
        <v>0</v>
      </c>
      <c r="V511" s="306">
        <f t="shared" ca="1" si="206"/>
        <v>1.2260520033845732</v>
      </c>
      <c r="W511" s="304">
        <f t="shared" ca="1" si="207"/>
        <v>23.552588866483458</v>
      </c>
      <c r="Y511" s="314" t="str">
        <f t="shared" ca="1" si="225"/>
        <v/>
      </c>
      <c r="Z511" s="315" t="str">
        <f t="shared" ca="1" si="226"/>
        <v/>
      </c>
      <c r="AA511" s="316" t="str">
        <f t="shared" ca="1" si="227"/>
        <v/>
      </c>
      <c r="AC511" s="310" t="e">
        <f t="shared" ca="1" si="228"/>
        <v>#N/A</v>
      </c>
      <c r="AD511" s="323" t="e">
        <f t="shared" ca="1" si="229"/>
        <v>#N/A</v>
      </c>
      <c r="AE511" s="324" t="e">
        <f t="shared" ca="1" si="208"/>
        <v>#N/A</v>
      </c>
      <c r="AG511" s="306">
        <f t="shared" ca="1" si="230"/>
        <v>0.71529484514107722</v>
      </c>
      <c r="AH511" s="304">
        <f t="shared" ca="1" si="231"/>
        <v>-9.0761199652759501</v>
      </c>
    </row>
    <row r="512" spans="1:34" x14ac:dyDescent="0.2">
      <c r="A512" s="347">
        <f t="shared" ca="1" si="209"/>
        <v>1E-4</v>
      </c>
      <c r="B512" s="304">
        <f t="shared" ca="1" si="210"/>
        <v>32.512500000000585</v>
      </c>
      <c r="D512" s="306">
        <f t="shared" ca="1" si="211"/>
        <v>-0.55841245795622108</v>
      </c>
      <c r="E512" s="307">
        <f t="shared" ca="1" si="212"/>
        <v>-0.75105239199924156</v>
      </c>
      <c r="F512" s="304">
        <f t="shared" ca="1" si="213"/>
        <v>0.93589752042009955</v>
      </c>
      <c r="G512" s="306">
        <f t="shared" ca="1" si="214"/>
        <v>5.9590658592634576</v>
      </c>
      <c r="H512" s="307">
        <f t="shared" ca="1" si="215"/>
        <v>-96.673010147182779</v>
      </c>
      <c r="I512" s="304">
        <f t="shared" ca="1" si="216"/>
        <v>96.856498784709046</v>
      </c>
      <c r="J512" s="306">
        <f t="shared" ca="1" si="217"/>
        <v>588.9746359926213</v>
      </c>
      <c r="K512" s="307">
        <f t="shared" ca="1" si="218"/>
        <v>-8.5937641105485181</v>
      </c>
      <c r="L512" s="304">
        <f t="shared" ca="1" si="203"/>
        <v>589.03732871884142</v>
      </c>
      <c r="M512" s="306">
        <f t="shared" ca="1" si="219"/>
        <v>-1.5092327578554914</v>
      </c>
      <c r="N512" s="304">
        <f t="shared" ca="1" si="220"/>
        <v>-86.472667328009393</v>
      </c>
      <c r="P512" s="310">
        <f t="shared" ca="1" si="221"/>
        <v>23</v>
      </c>
      <c r="Q512" s="304">
        <f t="shared" ca="1" si="222"/>
        <v>0</v>
      </c>
      <c r="R512" s="306">
        <f t="shared" ca="1" si="223"/>
        <v>0</v>
      </c>
      <c r="S512" s="307">
        <f t="shared" ca="1" si="224"/>
        <v>2.5949999999999998</v>
      </c>
      <c r="T512" s="304">
        <f t="shared" ca="1" si="204"/>
        <v>25.456949999999999</v>
      </c>
      <c r="U512" s="311">
        <f t="shared" ca="1" si="205"/>
        <v>0</v>
      </c>
      <c r="V512" s="306">
        <f t="shared" ca="1" si="206"/>
        <v>1.2260531886462818</v>
      </c>
      <c r="W512" s="304">
        <f t="shared" ca="1" si="207"/>
        <v>23.552646422148065</v>
      </c>
      <c r="Y512" s="314" t="str">
        <f t="shared" ca="1" si="225"/>
        <v/>
      </c>
      <c r="Z512" s="315" t="str">
        <f t="shared" ca="1" si="226"/>
        <v/>
      </c>
      <c r="AA512" s="316" t="str">
        <f t="shared" ca="1" si="227"/>
        <v/>
      </c>
      <c r="AC512" s="310" t="e">
        <f t="shared" ca="1" si="228"/>
        <v>#N/A</v>
      </c>
      <c r="AD512" s="323" t="e">
        <f t="shared" ca="1" si="229"/>
        <v>#N/A</v>
      </c>
      <c r="AE512" s="324" t="e">
        <f t="shared" ca="1" si="208"/>
        <v>#N/A</v>
      </c>
      <c r="AG512" s="306">
        <f t="shared" ca="1" si="230"/>
        <v>0.71527304145440063</v>
      </c>
      <c r="AH512" s="304">
        <f t="shared" ca="1" si="231"/>
        <v>-9.0761421450803308</v>
      </c>
    </row>
    <row r="513" spans="1:34" x14ac:dyDescent="0.2">
      <c r="A513" s="347">
        <f t="shared" ca="1" si="209"/>
        <v>1E-4</v>
      </c>
      <c r="B513" s="304">
        <f t="shared" ca="1" si="210"/>
        <v>32.512600000000589</v>
      </c>
      <c r="D513" s="306">
        <f t="shared" ca="1" si="211"/>
        <v>-0.55840817743758453</v>
      </c>
      <c r="E513" s="307">
        <f t="shared" ca="1" si="212"/>
        <v>-0.75102990659583924</v>
      </c>
      <c r="F513" s="304">
        <f t="shared" ca="1" si="213"/>
        <v>0.93587692205253137</v>
      </c>
      <c r="G513" s="306">
        <f t="shared" ca="1" si="214"/>
        <v>5.9590100184457135</v>
      </c>
      <c r="H513" s="307">
        <f t="shared" ca="1" si="215"/>
        <v>-96.673085250173443</v>
      </c>
      <c r="I513" s="304">
        <f t="shared" ca="1" si="216"/>
        <v>96.856570309851662</v>
      </c>
      <c r="J513" s="306">
        <f t="shared" ca="1" si="217"/>
        <v>588.9746359926213</v>
      </c>
      <c r="K513" s="307">
        <f t="shared" ca="1" si="218"/>
        <v>-8.6034314153183864</v>
      </c>
      <c r="L513" s="304">
        <f t="shared" ca="1" si="203"/>
        <v>589.03746983936333</v>
      </c>
      <c r="M513" s="306">
        <f t="shared" ca="1" si="219"/>
        <v>-1.5092333810008149</v>
      </c>
      <c r="N513" s="304">
        <f t="shared" ca="1" si="220"/>
        <v>-86.472703031606457</v>
      </c>
      <c r="P513" s="310">
        <f t="shared" ca="1" si="221"/>
        <v>23</v>
      </c>
      <c r="Q513" s="304">
        <f t="shared" ca="1" si="222"/>
        <v>0</v>
      </c>
      <c r="R513" s="306">
        <f t="shared" ca="1" si="223"/>
        <v>0</v>
      </c>
      <c r="S513" s="307">
        <f t="shared" ca="1" si="224"/>
        <v>2.5949999999999998</v>
      </c>
      <c r="T513" s="304">
        <f t="shared" ca="1" si="204"/>
        <v>25.456949999999999</v>
      </c>
      <c r="U513" s="311">
        <f t="shared" ca="1" si="205"/>
        <v>0</v>
      </c>
      <c r="V513" s="306">
        <f t="shared" ca="1" si="206"/>
        <v>1.2260543739100578</v>
      </c>
      <c r="W513" s="304">
        <f t="shared" ca="1" si="207"/>
        <v>23.552703976884953</v>
      </c>
      <c r="Y513" s="314" t="str">
        <f t="shared" ca="1" si="225"/>
        <v/>
      </c>
      <c r="Z513" s="315" t="str">
        <f t="shared" ca="1" si="226"/>
        <v/>
      </c>
      <c r="AA513" s="316" t="str">
        <f t="shared" ca="1" si="227"/>
        <v/>
      </c>
      <c r="AC513" s="310" t="e">
        <f t="shared" ca="1" si="228"/>
        <v>#N/A</v>
      </c>
      <c r="AD513" s="323" t="e">
        <f t="shared" ca="1" si="229"/>
        <v>#N/A</v>
      </c>
      <c r="AE513" s="324" t="e">
        <f t="shared" ca="1" si="208"/>
        <v>#N/A</v>
      </c>
      <c r="AG513" s="306">
        <f t="shared" ca="1" si="230"/>
        <v>0.71525123811735725</v>
      </c>
      <c r="AH513" s="304">
        <f t="shared" ca="1" si="231"/>
        <v>-9.076164324527193</v>
      </c>
    </row>
    <row r="514" spans="1:34" x14ac:dyDescent="0.2">
      <c r="A514" s="347">
        <f t="shared" ca="1" si="209"/>
        <v>1E-4</v>
      </c>
      <c r="B514" s="304">
        <f t="shared" ca="1" si="210"/>
        <v>32.512700000000592</v>
      </c>
      <c r="D514" s="306">
        <f t="shared" ca="1" si="211"/>
        <v>-0.55840389693038239</v>
      </c>
      <c r="E514" s="307">
        <f t="shared" ca="1" si="212"/>
        <v>-0.75100742155485456</v>
      </c>
      <c r="F514" s="304">
        <f t="shared" ca="1" si="213"/>
        <v>0.93585632408907093</v>
      </c>
      <c r="G514" s="306">
        <f t="shared" ca="1" si="214"/>
        <v>5.9589541780560209</v>
      </c>
      <c r="H514" s="307">
        <f t="shared" ca="1" si="215"/>
        <v>-96.673160350915595</v>
      </c>
      <c r="I514" s="304">
        <f t="shared" ca="1" si="216"/>
        <v>96.856641832813978</v>
      </c>
      <c r="J514" s="306">
        <f t="shared" ca="1" si="217"/>
        <v>588.9746359926213</v>
      </c>
      <c r="K514" s="307">
        <f t="shared" ca="1" si="218"/>
        <v>-8.613098727598441</v>
      </c>
      <c r="L514" s="304">
        <f t="shared" ca="1" si="203"/>
        <v>589.03761111862127</v>
      </c>
      <c r="M514" s="306">
        <f t="shared" ca="1" si="219"/>
        <v>-1.5092340041393786</v>
      </c>
      <c r="N514" s="304">
        <f t="shared" ca="1" si="220"/>
        <v>-86.472738734816204</v>
      </c>
      <c r="P514" s="310">
        <f t="shared" ca="1" si="221"/>
        <v>23</v>
      </c>
      <c r="Q514" s="304">
        <f t="shared" ca="1" si="222"/>
        <v>0</v>
      </c>
      <c r="R514" s="306">
        <f t="shared" ca="1" si="223"/>
        <v>0</v>
      </c>
      <c r="S514" s="307">
        <f t="shared" ca="1" si="224"/>
        <v>2.5949999999999998</v>
      </c>
      <c r="T514" s="304">
        <f t="shared" ca="1" si="204"/>
        <v>25.456949999999999</v>
      </c>
      <c r="U514" s="311">
        <f t="shared" ca="1" si="205"/>
        <v>0</v>
      </c>
      <c r="V514" s="306">
        <f t="shared" ca="1" si="206"/>
        <v>1.2260555591759006</v>
      </c>
      <c r="W514" s="304">
        <f t="shared" ca="1" si="207"/>
        <v>23.552761530694116</v>
      </c>
      <c r="Y514" s="314" t="str">
        <f t="shared" ca="1" si="225"/>
        <v/>
      </c>
      <c r="Z514" s="315" t="str">
        <f t="shared" ca="1" si="226"/>
        <v/>
      </c>
      <c r="AA514" s="316" t="str">
        <f t="shared" ca="1" si="227"/>
        <v/>
      </c>
      <c r="AC514" s="310" t="e">
        <f t="shared" ca="1" si="228"/>
        <v>#N/A</v>
      </c>
      <c r="AD514" s="323" t="e">
        <f t="shared" ca="1" si="229"/>
        <v>#N/A</v>
      </c>
      <c r="AE514" s="324" t="e">
        <f t="shared" ca="1" si="208"/>
        <v>#N/A</v>
      </c>
      <c r="AG514" s="306">
        <f t="shared" ca="1" si="230"/>
        <v>0.71522943512993642</v>
      </c>
      <c r="AH514" s="304">
        <f t="shared" ca="1" si="231"/>
        <v>-9.0761865036165528</v>
      </c>
    </row>
    <row r="515" spans="1:34" x14ac:dyDescent="0.2">
      <c r="A515" s="347">
        <f t="shared" ca="1" si="209"/>
        <v>1E-4</v>
      </c>
      <c r="B515" s="304">
        <f t="shared" ca="1" si="210"/>
        <v>32.512800000000595</v>
      </c>
      <c r="D515" s="306">
        <f t="shared" ca="1" si="211"/>
        <v>-0.55839961643461755</v>
      </c>
      <c r="E515" s="307">
        <f t="shared" ca="1" si="212"/>
        <v>-0.75098493687628931</v>
      </c>
      <c r="F515" s="304">
        <f t="shared" ca="1" si="213"/>
        <v>0.9358357265297218</v>
      </c>
      <c r="G515" s="306">
        <f t="shared" ca="1" si="214"/>
        <v>5.9588983380943779</v>
      </c>
      <c r="H515" s="307">
        <f t="shared" ca="1" si="215"/>
        <v>-96.673235449409276</v>
      </c>
      <c r="I515" s="304">
        <f t="shared" ca="1" si="216"/>
        <v>96.856713353596021</v>
      </c>
      <c r="J515" s="306">
        <f t="shared" ca="1" si="217"/>
        <v>588.9746359926213</v>
      </c>
      <c r="K515" s="307">
        <f t="shared" ca="1" si="218"/>
        <v>-8.622766047388458</v>
      </c>
      <c r="L515" s="304">
        <f t="shared" ca="1" si="203"/>
        <v>589.0377525566156</v>
      </c>
      <c r="M515" s="306">
        <f t="shared" ca="1" si="219"/>
        <v>-1.509234627271183</v>
      </c>
      <c r="N515" s="304">
        <f t="shared" ca="1" si="220"/>
        <v>-86.472774437638677</v>
      </c>
      <c r="P515" s="310">
        <f t="shared" ca="1" si="221"/>
        <v>23</v>
      </c>
      <c r="Q515" s="304">
        <f t="shared" ca="1" si="222"/>
        <v>0</v>
      </c>
      <c r="R515" s="306">
        <f t="shared" ca="1" si="223"/>
        <v>0</v>
      </c>
      <c r="S515" s="307">
        <f t="shared" ca="1" si="224"/>
        <v>2.5949999999999998</v>
      </c>
      <c r="T515" s="304">
        <f t="shared" ca="1" si="204"/>
        <v>25.456949999999999</v>
      </c>
      <c r="U515" s="311">
        <f t="shared" ca="1" si="205"/>
        <v>0</v>
      </c>
      <c r="V515" s="306">
        <f t="shared" ca="1" si="206"/>
        <v>1.2260567444438109</v>
      </c>
      <c r="W515" s="304">
        <f t="shared" ca="1" si="207"/>
        <v>23.552819083575578</v>
      </c>
      <c r="Y515" s="314" t="str">
        <f t="shared" ca="1" si="225"/>
        <v/>
      </c>
      <c r="Z515" s="315" t="str">
        <f t="shared" ca="1" si="226"/>
        <v/>
      </c>
      <c r="AA515" s="316" t="str">
        <f t="shared" ca="1" si="227"/>
        <v/>
      </c>
      <c r="AC515" s="310" t="e">
        <f t="shared" ca="1" si="228"/>
        <v>#N/A</v>
      </c>
      <c r="AD515" s="323" t="e">
        <f t="shared" ca="1" si="229"/>
        <v>#N/A</v>
      </c>
      <c r="AE515" s="324" t="e">
        <f t="shared" ca="1" si="208"/>
        <v>#N/A</v>
      </c>
      <c r="AG515" s="306">
        <f t="shared" ca="1" si="230"/>
        <v>0.71520763249213637</v>
      </c>
      <c r="AH515" s="304">
        <f t="shared" ca="1" si="231"/>
        <v>-9.0762086823484083</v>
      </c>
    </row>
    <row r="516" spans="1:34" x14ac:dyDescent="0.2">
      <c r="A516" s="347">
        <f t="shared" ca="1" si="209"/>
        <v>1E-4</v>
      </c>
      <c r="B516" s="304">
        <f t="shared" ca="1" si="210"/>
        <v>32.512900000000599</v>
      </c>
      <c r="D516" s="306">
        <f t="shared" ca="1" si="211"/>
        <v>-0.55839533595028557</v>
      </c>
      <c r="E516" s="307">
        <f t="shared" ca="1" si="212"/>
        <v>-0.75096245256013461</v>
      </c>
      <c r="F516" s="304">
        <f t="shared" ca="1" si="213"/>
        <v>0.93581512937447464</v>
      </c>
      <c r="G516" s="306">
        <f t="shared" ca="1" si="214"/>
        <v>5.9588424985607826</v>
      </c>
      <c r="H516" s="307">
        <f t="shared" ca="1" si="215"/>
        <v>-96.67331054565453</v>
      </c>
      <c r="I516" s="304">
        <f t="shared" ca="1" si="216"/>
        <v>96.856784872197835</v>
      </c>
      <c r="J516" s="306">
        <f t="shared" ca="1" si="217"/>
        <v>588.9746359926213</v>
      </c>
      <c r="K516" s="307">
        <f t="shared" ca="1" si="218"/>
        <v>-8.6324333746882118</v>
      </c>
      <c r="L516" s="304">
        <f t="shared" ref="L516:L579" ca="1" si="232">SQRT(pos_x^2+pos_z^2)</f>
        <v>589.03789415334654</v>
      </c>
      <c r="M516" s="306">
        <f t="shared" ca="1" si="219"/>
        <v>-1.5092352503962276</v>
      </c>
      <c r="N516" s="304">
        <f t="shared" ca="1" si="220"/>
        <v>-86.472810140073847</v>
      </c>
      <c r="P516" s="310">
        <f t="shared" ca="1" si="221"/>
        <v>23</v>
      </c>
      <c r="Q516" s="304">
        <f t="shared" ca="1" si="222"/>
        <v>0</v>
      </c>
      <c r="R516" s="306">
        <f t="shared" ca="1" si="223"/>
        <v>0</v>
      </c>
      <c r="S516" s="307">
        <f t="shared" ca="1" si="224"/>
        <v>2.5949999999999998</v>
      </c>
      <c r="T516" s="304">
        <f t="shared" ref="T516:T579" ca="1" si="233">m*g</f>
        <v>25.456949999999999</v>
      </c>
      <c r="U516" s="311">
        <f t="shared" ref="U516:U579" ca="1" si="234">IF(pos_xz&lt;L_rampe,Poids*COS(Beta),0)</f>
        <v>0</v>
      </c>
      <c r="V516" s="306">
        <f t="shared" ref="V516:V579" ca="1" si="235">Rho_moyen*(20000-Alt_rampe-pos_z)/(20000+Alt_rampe+pos_z)</f>
        <v>1.2260579297137879</v>
      </c>
      <c r="W516" s="304">
        <f t="shared" ref="W516:W579" ca="1" si="236">1/2*Rho*Sref*Cx*vit_xz^2</f>
        <v>23.552876635529334</v>
      </c>
      <c r="Y516" s="314" t="str">
        <f t="shared" ca="1" si="225"/>
        <v/>
      </c>
      <c r="Z516" s="315" t="str">
        <f t="shared" ca="1" si="226"/>
        <v/>
      </c>
      <c r="AA516" s="316" t="str">
        <f t="shared" ca="1" si="227"/>
        <v/>
      </c>
      <c r="AC516" s="310" t="e">
        <f t="shared" ca="1" si="228"/>
        <v>#N/A</v>
      </c>
      <c r="AD516" s="323" t="e">
        <f t="shared" ca="1" si="229"/>
        <v>#N/A</v>
      </c>
      <c r="AE516" s="324" t="e">
        <f t="shared" ref="AE516:AE579" ca="1" si="237">IF(t&lt;T_para, pos_z, NA())</f>
        <v>#N/A</v>
      </c>
      <c r="AG516" s="306">
        <f t="shared" ca="1" si="230"/>
        <v>0.71518583020395354</v>
      </c>
      <c r="AH516" s="304">
        <f t="shared" ca="1" si="231"/>
        <v>-9.0762308607227666</v>
      </c>
    </row>
    <row r="517" spans="1:34" x14ac:dyDescent="0.2">
      <c r="A517" s="347">
        <f t="shared" ref="A517:A580" ca="1" si="238">IF(B516+0.01&lt;=T_ini+ROUNDUP(Temps_fin_propu,0), 0.01, IF(K516&gt;0, 0.1, 0.0001))</f>
        <v>1E-4</v>
      </c>
      <c r="B517" s="304">
        <f t="shared" ref="B517:B580" ca="1" si="239">B516+pas</f>
        <v>32.513000000000602</v>
      </c>
      <c r="D517" s="306">
        <f t="shared" ref="D517:D580" ca="1" si="240">IF(AND(L516&lt;L_rampe,Poussee&lt;Poids*SIN(M516)),0,(-W516+Poussee)/m*COS(M516)-U516/m*SIN(M516))</f>
        <v>-0.55839105547739154</v>
      </c>
      <c r="E517" s="307">
        <f t="shared" ref="E517:E580" ca="1" si="241">IF(AND(L516&lt;L_rampe,Poussee&lt;Poids*SIN(M516)),0,(-W516+Poussee)/m*SIN(M516)+U516/m*COS(M516)-Poids/m)</f>
        <v>-0.75093996860639223</v>
      </c>
      <c r="F517" s="304">
        <f t="shared" ref="F517:F580" ca="1" si="242">SQRT(acc_x^2+acc_z^2)</f>
        <v>0.93579453262333434</v>
      </c>
      <c r="G517" s="306">
        <f t="shared" ref="G517:G580" ca="1" si="243">G516+acc_x*pas</f>
        <v>5.9587866594552352</v>
      </c>
      <c r="H517" s="307">
        <f t="shared" ref="H517:H580" ca="1" si="244">H516+acc_z*pas</f>
        <v>-96.673385639651386</v>
      </c>
      <c r="I517" s="304">
        <f t="shared" ref="I517:I580" ca="1" si="245">SQRT(vit_x^2+vit_z^2)</f>
        <v>96.856856388619477</v>
      </c>
      <c r="J517" s="306">
        <f t="shared" ref="J517:J580" ca="1" si="246">J516+0.5*(vit_x+G516)*pas*(K516&gt;=0)</f>
        <v>588.9746359926213</v>
      </c>
      <c r="K517" s="307">
        <f t="shared" ref="K517:K580" ca="1" si="247">K516+0.5*(vit_z+H516)*pas</f>
        <v>-8.6421007094974769</v>
      </c>
      <c r="L517" s="304">
        <f t="shared" ca="1" si="232"/>
        <v>589.03803590881444</v>
      </c>
      <c r="M517" s="306">
        <f t="shared" ref="M517:M580" ca="1" si="248">IF(AND(L516&gt;L_rampe,G517&gt;0),ATAN2(G517,H517),$M$4)</f>
        <v>-1.509235873514513</v>
      </c>
      <c r="N517" s="304">
        <f t="shared" ref="N517:N580" ca="1" si="249">DEGREES(Beta)</f>
        <v>-86.472845842121743</v>
      </c>
      <c r="P517" s="310">
        <f t="shared" ref="P517:P580" ca="1" si="250">MATCH(t-pas/2-T_ini,CdP_t)</f>
        <v>23</v>
      </c>
      <c r="Q517" s="304">
        <f t="shared" ref="Q517:Q580" ca="1" si="251">(INDEX(CdP,2,i_P+1)-INDEX(CdP,2,i_P+0))/(INDEX(CdP,1,i_P+1)-INDEX(CdP,1,i_P+0))*(t-pas/2-T_ini-INDEX(CdP,1,i_P+0))+INDEX(CdP,2,i_P+0)</f>
        <v>0</v>
      </c>
      <c r="R517" s="306">
        <f t="shared" ref="R517:R580" ca="1" si="252">Poussee/(g*ISP)</f>
        <v>0</v>
      </c>
      <c r="S517" s="307">
        <f t="shared" ref="S517:S580" ca="1" si="253">S516-Débit*pas</f>
        <v>2.5949999999999998</v>
      </c>
      <c r="T517" s="304">
        <f t="shared" ca="1" si="233"/>
        <v>25.456949999999999</v>
      </c>
      <c r="U517" s="311">
        <f t="shared" ca="1" si="234"/>
        <v>0</v>
      </c>
      <c r="V517" s="306">
        <f t="shared" ca="1" si="235"/>
        <v>1.226059114985832</v>
      </c>
      <c r="W517" s="304">
        <f t="shared" ca="1" si="236"/>
        <v>23.552934186555415</v>
      </c>
      <c r="Y517" s="314" t="str">
        <f t="shared" ref="Y517:Y580" ca="1" si="254">IF(AND(pos_z&lt;=0,K516&gt;0),"Impact balistique","") &amp; IF(AND(H518&lt;0,vit_z&gt;=0),"Apogée","") &amp; IF(AND(Poussee=0,Q516&gt;0),"Fin de propulsion","") &amp; IF(AND(L518&gt;L_rampe,pos_xz&lt;=L_rampe),"Sortie de rampe","")</f>
        <v/>
      </c>
      <c r="Z517" s="315" t="str">
        <f t="shared" ref="Z517:Z580" ca="1" si="255">IF(ABS(t-T_para)&lt;pas/2,"Para","")</f>
        <v/>
      </c>
      <c r="AA517" s="316" t="str">
        <f t="shared" ref="AA517:AA580" ca="1" si="256">IF(ABS(t-T_satellite)&lt;pas/2,"Satellite","")</f>
        <v/>
      </c>
      <c r="AC517" s="310" t="e">
        <f t="shared" ref="AC517:AC580" ca="1" si="257">IF(ABS(t-ROUND(t,0))&lt;0.001,t,NA())</f>
        <v>#N/A</v>
      </c>
      <c r="AD517" s="323" t="e">
        <f t="shared" ref="AD517:AD580" ca="1" si="258">IF(ABS(t-ROUND(t,0))&lt;0.001,pos_x,NA())</f>
        <v>#N/A</v>
      </c>
      <c r="AE517" s="324" t="e">
        <f t="shared" ca="1" si="237"/>
        <v>#N/A</v>
      </c>
      <c r="AG517" s="306">
        <f t="shared" ref="AG517:AG580" ca="1" si="259">IF(AND(L516&lt;L_rampe,Poussee&lt;Poids*SIN(M516)),0,(-W516+Poussee)/m-Poids*SIN(M516)/m)</f>
        <v>0.71516402826538616</v>
      </c>
      <c r="AH517" s="304">
        <f t="shared" ref="AH517:AH580" ca="1" si="260">IF(AND(L516&lt;L_rampe,Poussee&lt;Poids*SIN(M516)), g*SIN(M516), (-W516+Poussee)/m)</f>
        <v>-9.0762530387396279</v>
      </c>
    </row>
    <row r="518" spans="1:34" x14ac:dyDescent="0.2">
      <c r="A518" s="347">
        <f t="shared" ca="1" si="238"/>
        <v>1E-4</v>
      </c>
      <c r="B518" s="304">
        <f t="shared" ca="1" si="239"/>
        <v>32.513100000000605</v>
      </c>
      <c r="D518" s="306">
        <f t="shared" ca="1" si="240"/>
        <v>-0.55838677501593337</v>
      </c>
      <c r="E518" s="307">
        <f t="shared" ca="1" si="241"/>
        <v>-0.75091748501504796</v>
      </c>
      <c r="F518" s="304">
        <f t="shared" ca="1" si="242"/>
        <v>0.93577393627628858</v>
      </c>
      <c r="G518" s="306">
        <f t="shared" ca="1" si="243"/>
        <v>5.9587308207777339</v>
      </c>
      <c r="H518" s="307">
        <f t="shared" ca="1" si="244"/>
        <v>-96.673460731399885</v>
      </c>
      <c r="I518" s="304">
        <f t="shared" ca="1" si="245"/>
        <v>96.856927902860932</v>
      </c>
      <c r="J518" s="306">
        <f t="shared" ca="1" si="246"/>
        <v>588.9746359926213</v>
      </c>
      <c r="K518" s="307">
        <f t="shared" ca="1" si="247"/>
        <v>-8.6517680518160294</v>
      </c>
      <c r="L518" s="304">
        <f t="shared" ca="1" si="232"/>
        <v>589.03817782301951</v>
      </c>
      <c r="M518" s="306">
        <f t="shared" ca="1" si="248"/>
        <v>-1.5092364966260392</v>
      </c>
      <c r="N518" s="304">
        <f t="shared" ca="1" si="249"/>
        <v>-86.47288154378235</v>
      </c>
      <c r="P518" s="310">
        <f t="shared" ca="1" si="250"/>
        <v>23</v>
      </c>
      <c r="Q518" s="304">
        <f t="shared" ca="1" si="251"/>
        <v>0</v>
      </c>
      <c r="R518" s="306">
        <f t="shared" ca="1" si="252"/>
        <v>0</v>
      </c>
      <c r="S518" s="307">
        <f t="shared" ca="1" si="253"/>
        <v>2.5949999999999998</v>
      </c>
      <c r="T518" s="304">
        <f t="shared" ca="1" si="233"/>
        <v>25.456949999999999</v>
      </c>
      <c r="U518" s="311">
        <f t="shared" ca="1" si="234"/>
        <v>0</v>
      </c>
      <c r="V518" s="306">
        <f t="shared" ca="1" si="235"/>
        <v>1.2260603002599431</v>
      </c>
      <c r="W518" s="304">
        <f t="shared" ca="1" si="236"/>
        <v>23.552991736653816</v>
      </c>
      <c r="Y518" s="314" t="str">
        <f t="shared" ca="1" si="254"/>
        <v/>
      </c>
      <c r="Z518" s="315" t="str">
        <f t="shared" ca="1" si="255"/>
        <v/>
      </c>
      <c r="AA518" s="316" t="str">
        <f t="shared" ca="1" si="256"/>
        <v/>
      </c>
      <c r="AC518" s="310" t="e">
        <f t="shared" ca="1" si="257"/>
        <v>#N/A</v>
      </c>
      <c r="AD518" s="323" t="e">
        <f t="shared" ca="1" si="258"/>
        <v>#N/A</v>
      </c>
      <c r="AE518" s="324" t="e">
        <f t="shared" ca="1" si="237"/>
        <v>#N/A</v>
      </c>
      <c r="AG518" s="306">
        <f t="shared" ca="1" si="259"/>
        <v>0.7151422266764218</v>
      </c>
      <c r="AH518" s="304">
        <f t="shared" ca="1" si="260"/>
        <v>-9.0762752163990044</v>
      </c>
    </row>
    <row r="519" spans="1:34" x14ac:dyDescent="0.2">
      <c r="A519" s="347">
        <f t="shared" ca="1" si="238"/>
        <v>1E-4</v>
      </c>
      <c r="B519" s="304">
        <f t="shared" ca="1" si="239"/>
        <v>32.513200000000609</v>
      </c>
      <c r="D519" s="306">
        <f t="shared" ca="1" si="240"/>
        <v>-0.55838249456591194</v>
      </c>
      <c r="E519" s="307">
        <f t="shared" ca="1" si="241"/>
        <v>-0.75089500178610535</v>
      </c>
      <c r="F519" s="304">
        <f t="shared" ca="1" si="242"/>
        <v>0.93575334033334112</v>
      </c>
      <c r="G519" s="306">
        <f t="shared" ca="1" si="243"/>
        <v>5.9586749825282777</v>
      </c>
      <c r="H519" s="307">
        <f t="shared" ca="1" si="244"/>
        <v>-96.673535820900057</v>
      </c>
      <c r="I519" s="304">
        <f t="shared" ca="1" si="245"/>
        <v>96.856999414922285</v>
      </c>
      <c r="J519" s="306">
        <f t="shared" ca="1" si="246"/>
        <v>588.9746359926213</v>
      </c>
      <c r="K519" s="307">
        <f t="shared" ca="1" si="247"/>
        <v>-8.6614354016436437</v>
      </c>
      <c r="L519" s="304">
        <f t="shared" ca="1" si="232"/>
        <v>589.03831989596188</v>
      </c>
      <c r="M519" s="306">
        <f t="shared" ca="1" si="248"/>
        <v>-1.5092371197308061</v>
      </c>
      <c r="N519" s="304">
        <f t="shared" ca="1" si="249"/>
        <v>-86.472917245055697</v>
      </c>
      <c r="P519" s="310">
        <f t="shared" ca="1" si="250"/>
        <v>23</v>
      </c>
      <c r="Q519" s="304">
        <f t="shared" ca="1" si="251"/>
        <v>0</v>
      </c>
      <c r="R519" s="306">
        <f t="shared" ca="1" si="252"/>
        <v>0</v>
      </c>
      <c r="S519" s="307">
        <f t="shared" ca="1" si="253"/>
        <v>2.5949999999999998</v>
      </c>
      <c r="T519" s="304">
        <f t="shared" ca="1" si="233"/>
        <v>25.456949999999999</v>
      </c>
      <c r="U519" s="311">
        <f t="shared" ca="1" si="234"/>
        <v>0</v>
      </c>
      <c r="V519" s="306">
        <f t="shared" ca="1" si="235"/>
        <v>1.2260614855361214</v>
      </c>
      <c r="W519" s="304">
        <f t="shared" ca="1" si="236"/>
        <v>23.553049285824567</v>
      </c>
      <c r="Y519" s="314" t="str">
        <f t="shared" ca="1" si="254"/>
        <v/>
      </c>
      <c r="Z519" s="315" t="str">
        <f t="shared" ca="1" si="255"/>
        <v/>
      </c>
      <c r="AA519" s="316" t="str">
        <f t="shared" ca="1" si="256"/>
        <v/>
      </c>
      <c r="AC519" s="310" t="e">
        <f t="shared" ca="1" si="257"/>
        <v>#N/A</v>
      </c>
      <c r="AD519" s="323" t="e">
        <f t="shared" ca="1" si="258"/>
        <v>#N/A</v>
      </c>
      <c r="AE519" s="324" t="e">
        <f t="shared" ca="1" si="237"/>
        <v>#N/A</v>
      </c>
      <c r="AG519" s="306">
        <f t="shared" ca="1" si="259"/>
        <v>0.715120425437064</v>
      </c>
      <c r="AH519" s="304">
        <f t="shared" ca="1" si="260"/>
        <v>-9.0762973937008926</v>
      </c>
    </row>
    <row r="520" spans="1:34" x14ac:dyDescent="0.2">
      <c r="A520" s="347">
        <f t="shared" ca="1" si="238"/>
        <v>1E-4</v>
      </c>
      <c r="B520" s="304">
        <f t="shared" ca="1" si="239"/>
        <v>32.513300000000612</v>
      </c>
      <c r="D520" s="306">
        <f t="shared" ca="1" si="240"/>
        <v>-0.55837821412732935</v>
      </c>
      <c r="E520" s="307">
        <f t="shared" ca="1" si="241"/>
        <v>-0.75087251891955198</v>
      </c>
      <c r="F520" s="304">
        <f t="shared" ca="1" si="242"/>
        <v>0.93573274479448387</v>
      </c>
      <c r="G520" s="306">
        <f t="shared" ca="1" si="243"/>
        <v>5.9586191447068648</v>
      </c>
      <c r="H520" s="307">
        <f t="shared" ca="1" si="244"/>
        <v>-96.673610908151943</v>
      </c>
      <c r="I520" s="304">
        <f t="shared" ca="1" si="245"/>
        <v>96.857070924803537</v>
      </c>
      <c r="J520" s="306">
        <f t="shared" ca="1" si="246"/>
        <v>588.9746359926213</v>
      </c>
      <c r="K520" s="307">
        <f t="shared" ca="1" si="247"/>
        <v>-8.671102758980096</v>
      </c>
      <c r="L520" s="304">
        <f t="shared" ca="1" si="232"/>
        <v>589.03846212764199</v>
      </c>
      <c r="M520" s="306">
        <f t="shared" ca="1" si="248"/>
        <v>-1.509237742828814</v>
      </c>
      <c r="N520" s="304">
        <f t="shared" ca="1" si="249"/>
        <v>-86.472952945941771</v>
      </c>
      <c r="P520" s="310">
        <f t="shared" ca="1" si="250"/>
        <v>23</v>
      </c>
      <c r="Q520" s="304">
        <f t="shared" ca="1" si="251"/>
        <v>0</v>
      </c>
      <c r="R520" s="306">
        <f t="shared" ca="1" si="252"/>
        <v>0</v>
      </c>
      <c r="S520" s="307">
        <f t="shared" ca="1" si="253"/>
        <v>2.5949999999999998</v>
      </c>
      <c r="T520" s="304">
        <f t="shared" ca="1" si="233"/>
        <v>25.456949999999999</v>
      </c>
      <c r="U520" s="311">
        <f t="shared" ca="1" si="234"/>
        <v>0</v>
      </c>
      <c r="V520" s="306">
        <f t="shared" ca="1" si="235"/>
        <v>1.2260626708143669</v>
      </c>
      <c r="W520" s="304">
        <f t="shared" ca="1" si="236"/>
        <v>23.553106834067666</v>
      </c>
      <c r="Y520" s="314" t="str">
        <f t="shared" ca="1" si="254"/>
        <v/>
      </c>
      <c r="Z520" s="315" t="str">
        <f t="shared" ca="1" si="255"/>
        <v/>
      </c>
      <c r="AA520" s="316" t="str">
        <f t="shared" ca="1" si="256"/>
        <v/>
      </c>
      <c r="AC520" s="310" t="e">
        <f t="shared" ca="1" si="257"/>
        <v>#N/A</v>
      </c>
      <c r="AD520" s="323" t="e">
        <f t="shared" ca="1" si="258"/>
        <v>#N/A</v>
      </c>
      <c r="AE520" s="324" t="e">
        <f t="shared" ca="1" si="237"/>
        <v>#N/A</v>
      </c>
      <c r="AG520" s="306">
        <f t="shared" ca="1" si="259"/>
        <v>0.71509862454730033</v>
      </c>
      <c r="AH520" s="304">
        <f t="shared" ca="1" si="260"/>
        <v>-9.0763195706453068</v>
      </c>
    </row>
    <row r="521" spans="1:34" x14ac:dyDescent="0.2">
      <c r="A521" s="347">
        <f t="shared" ca="1" si="238"/>
        <v>1E-4</v>
      </c>
      <c r="B521" s="304">
        <f t="shared" ca="1" si="239"/>
        <v>32.513400000000615</v>
      </c>
      <c r="D521" s="306">
        <f t="shared" ca="1" si="240"/>
        <v>-0.55837393370018418</v>
      </c>
      <c r="E521" s="307">
        <f t="shared" ca="1" si="241"/>
        <v>-0.75085003641539316</v>
      </c>
      <c r="F521" s="304">
        <f t="shared" ca="1" si="242"/>
        <v>0.93571214965972038</v>
      </c>
      <c r="G521" s="306">
        <f t="shared" ca="1" si="243"/>
        <v>5.9585633073134945</v>
      </c>
      <c r="H521" s="307">
        <f t="shared" ca="1" si="244"/>
        <v>-96.673685993155587</v>
      </c>
      <c r="I521" s="304">
        <f t="shared" ca="1" si="245"/>
        <v>96.85714243250473</v>
      </c>
      <c r="J521" s="306">
        <f t="shared" ca="1" si="246"/>
        <v>588.9746359926213</v>
      </c>
      <c r="K521" s="307">
        <f t="shared" ca="1" si="247"/>
        <v>-8.6807701238251607</v>
      </c>
      <c r="L521" s="304">
        <f t="shared" ca="1" si="232"/>
        <v>589.03860451805997</v>
      </c>
      <c r="M521" s="306">
        <f t="shared" ca="1" si="248"/>
        <v>-1.509238365920063</v>
      </c>
      <c r="N521" s="304">
        <f t="shared" ca="1" si="249"/>
        <v>-86.472988646440584</v>
      </c>
      <c r="P521" s="310">
        <f t="shared" ca="1" si="250"/>
        <v>23</v>
      </c>
      <c r="Q521" s="304">
        <f t="shared" ca="1" si="251"/>
        <v>0</v>
      </c>
      <c r="R521" s="306">
        <f t="shared" ca="1" si="252"/>
        <v>0</v>
      </c>
      <c r="S521" s="307">
        <f t="shared" ca="1" si="253"/>
        <v>2.5949999999999998</v>
      </c>
      <c r="T521" s="304">
        <f t="shared" ca="1" si="233"/>
        <v>25.456949999999999</v>
      </c>
      <c r="U521" s="311">
        <f t="shared" ca="1" si="234"/>
        <v>0</v>
      </c>
      <c r="V521" s="306">
        <f t="shared" ca="1" si="235"/>
        <v>1.2260638560946788</v>
      </c>
      <c r="W521" s="304">
        <f t="shared" ca="1" si="236"/>
        <v>23.553164381383116</v>
      </c>
      <c r="Y521" s="314" t="str">
        <f t="shared" ca="1" si="254"/>
        <v/>
      </c>
      <c r="Z521" s="315" t="str">
        <f t="shared" ca="1" si="255"/>
        <v/>
      </c>
      <c r="AA521" s="316" t="str">
        <f t="shared" ca="1" si="256"/>
        <v/>
      </c>
      <c r="AC521" s="310" t="e">
        <f t="shared" ca="1" si="257"/>
        <v>#N/A</v>
      </c>
      <c r="AD521" s="323" t="e">
        <f t="shared" ca="1" si="258"/>
        <v>#N/A</v>
      </c>
      <c r="AE521" s="324" t="e">
        <f t="shared" ca="1" si="237"/>
        <v>#N/A</v>
      </c>
      <c r="AG521" s="306">
        <f t="shared" ca="1" si="259"/>
        <v>0.71507682400713257</v>
      </c>
      <c r="AH521" s="304">
        <f t="shared" ca="1" si="260"/>
        <v>-9.0763417472322416</v>
      </c>
    </row>
    <row r="522" spans="1:34" x14ac:dyDescent="0.2">
      <c r="A522" s="347">
        <f t="shared" ca="1" si="238"/>
        <v>1E-4</v>
      </c>
      <c r="B522" s="304">
        <f t="shared" ca="1" si="239"/>
        <v>32.513500000000619</v>
      </c>
      <c r="D522" s="306">
        <f t="shared" ca="1" si="240"/>
        <v>-0.55836965328447608</v>
      </c>
      <c r="E522" s="307">
        <f t="shared" ca="1" si="241"/>
        <v>-0.75082755427362002</v>
      </c>
      <c r="F522" s="304">
        <f t="shared" ca="1" si="242"/>
        <v>0.93569155492904377</v>
      </c>
      <c r="G522" s="306">
        <f t="shared" ca="1" si="243"/>
        <v>5.9585074703481657</v>
      </c>
      <c r="H522" s="307">
        <f t="shared" ca="1" si="244"/>
        <v>-96.673761075911017</v>
      </c>
      <c r="I522" s="304">
        <f t="shared" ca="1" si="245"/>
        <v>96.857213938025922</v>
      </c>
      <c r="J522" s="306">
        <f t="shared" ca="1" si="246"/>
        <v>588.9746359926213</v>
      </c>
      <c r="K522" s="307">
        <f t="shared" ca="1" si="247"/>
        <v>-8.6904374961786139</v>
      </c>
      <c r="L522" s="304">
        <f t="shared" ca="1" si="232"/>
        <v>589.03874706721604</v>
      </c>
      <c r="M522" s="306">
        <f t="shared" ca="1" si="248"/>
        <v>-1.5092389890045528</v>
      </c>
      <c r="N522" s="304">
        <f t="shared" ca="1" si="249"/>
        <v>-86.473024346552137</v>
      </c>
      <c r="P522" s="310">
        <f t="shared" ca="1" si="250"/>
        <v>23</v>
      </c>
      <c r="Q522" s="304">
        <f t="shared" ca="1" si="251"/>
        <v>0</v>
      </c>
      <c r="R522" s="306">
        <f t="shared" ca="1" si="252"/>
        <v>0</v>
      </c>
      <c r="S522" s="307">
        <f t="shared" ca="1" si="253"/>
        <v>2.5949999999999998</v>
      </c>
      <c r="T522" s="304">
        <f t="shared" ca="1" si="233"/>
        <v>25.456949999999999</v>
      </c>
      <c r="U522" s="311">
        <f t="shared" ca="1" si="234"/>
        <v>0</v>
      </c>
      <c r="V522" s="306">
        <f t="shared" ca="1" si="235"/>
        <v>1.2260650413770577</v>
      </c>
      <c r="W522" s="304">
        <f t="shared" ca="1" si="236"/>
        <v>23.553221927770952</v>
      </c>
      <c r="Y522" s="314" t="str">
        <f t="shared" ca="1" si="254"/>
        <v/>
      </c>
      <c r="Z522" s="315" t="str">
        <f t="shared" ca="1" si="255"/>
        <v/>
      </c>
      <c r="AA522" s="316" t="str">
        <f t="shared" ca="1" si="256"/>
        <v/>
      </c>
      <c r="AC522" s="310" t="e">
        <f t="shared" ca="1" si="257"/>
        <v>#N/A</v>
      </c>
      <c r="AD522" s="323" t="e">
        <f t="shared" ca="1" si="258"/>
        <v>#N/A</v>
      </c>
      <c r="AE522" s="324" t="e">
        <f t="shared" ca="1" si="237"/>
        <v>#N/A</v>
      </c>
      <c r="AG522" s="306">
        <f t="shared" ca="1" si="259"/>
        <v>0.7150550238165625</v>
      </c>
      <c r="AH522" s="304">
        <f t="shared" ca="1" si="260"/>
        <v>-9.0763639234617024</v>
      </c>
    </row>
    <row r="523" spans="1:34" x14ac:dyDescent="0.2">
      <c r="A523" s="347">
        <f t="shared" ca="1" si="238"/>
        <v>1E-4</v>
      </c>
      <c r="B523" s="304">
        <f t="shared" ca="1" si="239"/>
        <v>32.513600000000622</v>
      </c>
      <c r="D523" s="306">
        <f t="shared" ca="1" si="240"/>
        <v>-0.55836537288021082</v>
      </c>
      <c r="E523" s="307">
        <f t="shared" ca="1" si="241"/>
        <v>-0.75080507249422368</v>
      </c>
      <c r="F523" s="304">
        <f t="shared" ca="1" si="242"/>
        <v>0.93567096060245092</v>
      </c>
      <c r="G523" s="306">
        <f t="shared" ca="1" si="243"/>
        <v>5.9584516338108777</v>
      </c>
      <c r="H523" s="307">
        <f t="shared" ca="1" si="244"/>
        <v>-96.673836156418261</v>
      </c>
      <c r="I523" s="304">
        <f t="shared" ca="1" si="245"/>
        <v>96.857285441367125</v>
      </c>
      <c r="J523" s="306">
        <f t="shared" ca="1" si="246"/>
        <v>588.9746359926213</v>
      </c>
      <c r="K523" s="307">
        <f t="shared" ca="1" si="247"/>
        <v>-8.7001048760402302</v>
      </c>
      <c r="L523" s="304">
        <f t="shared" ca="1" si="232"/>
        <v>589.03888977511053</v>
      </c>
      <c r="M523" s="306">
        <f t="shared" ca="1" si="248"/>
        <v>-1.509239612082284</v>
      </c>
      <c r="N523" s="304">
        <f t="shared" ca="1" si="249"/>
        <v>-86.473060046276444</v>
      </c>
      <c r="P523" s="310">
        <f t="shared" ca="1" si="250"/>
        <v>23</v>
      </c>
      <c r="Q523" s="304">
        <f t="shared" ca="1" si="251"/>
        <v>0</v>
      </c>
      <c r="R523" s="306">
        <f t="shared" ca="1" si="252"/>
        <v>0</v>
      </c>
      <c r="S523" s="307">
        <f t="shared" ca="1" si="253"/>
        <v>2.5949999999999998</v>
      </c>
      <c r="T523" s="304">
        <f t="shared" ca="1" si="233"/>
        <v>25.456949999999999</v>
      </c>
      <c r="U523" s="311">
        <f t="shared" ca="1" si="234"/>
        <v>0</v>
      </c>
      <c r="V523" s="306">
        <f t="shared" ca="1" si="235"/>
        <v>1.2260662266615037</v>
      </c>
      <c r="W523" s="304">
        <f t="shared" ca="1" si="236"/>
        <v>23.553279473231171</v>
      </c>
      <c r="Y523" s="314" t="str">
        <f t="shared" ca="1" si="254"/>
        <v/>
      </c>
      <c r="Z523" s="315" t="str">
        <f t="shared" ca="1" si="255"/>
        <v/>
      </c>
      <c r="AA523" s="316" t="str">
        <f t="shared" ca="1" si="256"/>
        <v/>
      </c>
      <c r="AC523" s="310" t="e">
        <f t="shared" ca="1" si="257"/>
        <v>#N/A</v>
      </c>
      <c r="AD523" s="323" t="e">
        <f t="shared" ca="1" si="258"/>
        <v>#N/A</v>
      </c>
      <c r="AE523" s="324" t="e">
        <f t="shared" ca="1" si="237"/>
        <v>#N/A</v>
      </c>
      <c r="AG523" s="306">
        <f t="shared" ca="1" si="259"/>
        <v>0.71503322397557056</v>
      </c>
      <c r="AH523" s="304">
        <f t="shared" ca="1" si="260"/>
        <v>-9.0763860993337016</v>
      </c>
    </row>
    <row r="524" spans="1:34" x14ac:dyDescent="0.2">
      <c r="A524" s="347">
        <f t="shared" ca="1" si="238"/>
        <v>1E-4</v>
      </c>
      <c r="B524" s="304">
        <f t="shared" ca="1" si="239"/>
        <v>32.513700000000625</v>
      </c>
      <c r="D524" s="306">
        <f t="shared" ca="1" si="240"/>
        <v>-0.55836109248738353</v>
      </c>
      <c r="E524" s="307">
        <f t="shared" ca="1" si="241"/>
        <v>-0.75078259107720413</v>
      </c>
      <c r="F524" s="304">
        <f t="shared" ca="1" si="242"/>
        <v>0.93565036667993928</v>
      </c>
      <c r="G524" s="306">
        <f t="shared" ca="1" si="243"/>
        <v>5.9583957977016286</v>
      </c>
      <c r="H524" s="307">
        <f t="shared" ca="1" si="244"/>
        <v>-96.673911234677362</v>
      </c>
      <c r="I524" s="304">
        <f t="shared" ca="1" si="245"/>
        <v>96.857356942528355</v>
      </c>
      <c r="J524" s="306">
        <f t="shared" ca="1" si="246"/>
        <v>588.9746359926213</v>
      </c>
      <c r="K524" s="307">
        <f t="shared" ca="1" si="247"/>
        <v>-8.7097722634097856</v>
      </c>
      <c r="L524" s="304">
        <f t="shared" ca="1" si="232"/>
        <v>589.03903264174369</v>
      </c>
      <c r="M524" s="306">
        <f t="shared" ca="1" si="248"/>
        <v>-1.5092402351532563</v>
      </c>
      <c r="N524" s="304">
        <f t="shared" ca="1" si="249"/>
        <v>-86.473095745613492</v>
      </c>
      <c r="P524" s="310">
        <f t="shared" ca="1" si="250"/>
        <v>23</v>
      </c>
      <c r="Q524" s="304">
        <f t="shared" ca="1" si="251"/>
        <v>0</v>
      </c>
      <c r="R524" s="306">
        <f t="shared" ca="1" si="252"/>
        <v>0</v>
      </c>
      <c r="S524" s="307">
        <f t="shared" ca="1" si="253"/>
        <v>2.5949999999999998</v>
      </c>
      <c r="T524" s="304">
        <f t="shared" ca="1" si="233"/>
        <v>25.456949999999999</v>
      </c>
      <c r="U524" s="311">
        <f t="shared" ca="1" si="234"/>
        <v>0</v>
      </c>
      <c r="V524" s="306">
        <f t="shared" ca="1" si="235"/>
        <v>1.2260674119480168</v>
      </c>
      <c r="W524" s="304">
        <f t="shared" ca="1" si="236"/>
        <v>23.553337017763774</v>
      </c>
      <c r="Y524" s="314" t="str">
        <f t="shared" ca="1" si="254"/>
        <v/>
      </c>
      <c r="Z524" s="315" t="str">
        <f t="shared" ca="1" si="255"/>
        <v/>
      </c>
      <c r="AA524" s="316" t="str">
        <f t="shared" ca="1" si="256"/>
        <v/>
      </c>
      <c r="AC524" s="310" t="e">
        <f t="shared" ca="1" si="257"/>
        <v>#N/A</v>
      </c>
      <c r="AD524" s="323" t="e">
        <f t="shared" ca="1" si="258"/>
        <v>#N/A</v>
      </c>
      <c r="AE524" s="324" t="e">
        <f t="shared" ca="1" si="237"/>
        <v>#N/A</v>
      </c>
      <c r="AG524" s="306">
        <f t="shared" ca="1" si="259"/>
        <v>0.71501142448416211</v>
      </c>
      <c r="AH524" s="304">
        <f t="shared" ca="1" si="260"/>
        <v>-9.0764082748482373</v>
      </c>
    </row>
    <row r="525" spans="1:34" x14ac:dyDescent="0.2">
      <c r="A525" s="347">
        <f t="shared" ca="1" si="238"/>
        <v>1E-4</v>
      </c>
      <c r="B525" s="304">
        <f t="shared" ca="1" si="239"/>
        <v>32.513800000000629</v>
      </c>
      <c r="D525" s="306">
        <f t="shared" ca="1" si="240"/>
        <v>-0.55835681210599697</v>
      </c>
      <c r="E525" s="307">
        <f t="shared" ca="1" si="241"/>
        <v>-0.75076011002256493</v>
      </c>
      <c r="F525" s="304">
        <f t="shared" ca="1" si="242"/>
        <v>0.93562977316151363</v>
      </c>
      <c r="G525" s="306">
        <f t="shared" ca="1" si="243"/>
        <v>5.9583399620204176</v>
      </c>
      <c r="H525" s="307">
        <f t="shared" ca="1" si="244"/>
        <v>-96.673986310688363</v>
      </c>
      <c r="I525" s="304">
        <f t="shared" ca="1" si="245"/>
        <v>96.857428441509697</v>
      </c>
      <c r="J525" s="306">
        <f t="shared" ca="1" si="246"/>
        <v>588.9746359926213</v>
      </c>
      <c r="K525" s="307">
        <f t="shared" ca="1" si="247"/>
        <v>-8.7194396582870546</v>
      </c>
      <c r="L525" s="304">
        <f t="shared" ca="1" si="232"/>
        <v>589.03917566711573</v>
      </c>
      <c r="M525" s="306">
        <f t="shared" ca="1" si="248"/>
        <v>-1.5092408582174701</v>
      </c>
      <c r="N525" s="304">
        <f t="shared" ca="1" si="249"/>
        <v>-86.473131444563307</v>
      </c>
      <c r="P525" s="310">
        <f t="shared" ca="1" si="250"/>
        <v>23</v>
      </c>
      <c r="Q525" s="304">
        <f t="shared" ca="1" si="251"/>
        <v>0</v>
      </c>
      <c r="R525" s="306">
        <f t="shared" ca="1" si="252"/>
        <v>0</v>
      </c>
      <c r="S525" s="307">
        <f t="shared" ca="1" si="253"/>
        <v>2.5949999999999998</v>
      </c>
      <c r="T525" s="304">
        <f t="shared" ca="1" si="233"/>
        <v>25.456949999999999</v>
      </c>
      <c r="U525" s="311">
        <f t="shared" ca="1" si="234"/>
        <v>0</v>
      </c>
      <c r="V525" s="306">
        <f t="shared" ca="1" si="235"/>
        <v>1.2260685972365961</v>
      </c>
      <c r="W525" s="304">
        <f t="shared" ca="1" si="236"/>
        <v>23.553394561368791</v>
      </c>
      <c r="Y525" s="314" t="str">
        <f t="shared" ca="1" si="254"/>
        <v/>
      </c>
      <c r="Z525" s="315" t="str">
        <f t="shared" ca="1" si="255"/>
        <v/>
      </c>
      <c r="AA525" s="316" t="str">
        <f t="shared" ca="1" si="256"/>
        <v/>
      </c>
      <c r="AC525" s="310" t="e">
        <f t="shared" ca="1" si="257"/>
        <v>#N/A</v>
      </c>
      <c r="AD525" s="323" t="e">
        <f t="shared" ca="1" si="258"/>
        <v>#N/A</v>
      </c>
      <c r="AE525" s="324" t="e">
        <f t="shared" ca="1" si="237"/>
        <v>#N/A</v>
      </c>
      <c r="AG525" s="306">
        <f t="shared" ca="1" si="259"/>
        <v>0.7149896253423389</v>
      </c>
      <c r="AH525" s="304">
        <f t="shared" ca="1" si="260"/>
        <v>-9.0764304500053079</v>
      </c>
    </row>
    <row r="526" spans="1:34" x14ac:dyDescent="0.2">
      <c r="A526" s="347">
        <f t="shared" ca="1" si="238"/>
        <v>1E-4</v>
      </c>
      <c r="B526" s="304">
        <f t="shared" ca="1" si="239"/>
        <v>32.513900000000632</v>
      </c>
      <c r="D526" s="306">
        <f t="shared" ca="1" si="240"/>
        <v>-0.55835253173605159</v>
      </c>
      <c r="E526" s="307">
        <f t="shared" ca="1" si="241"/>
        <v>-0.75073762933028654</v>
      </c>
      <c r="F526" s="304">
        <f t="shared" ca="1" si="242"/>
        <v>0.93560918004715898</v>
      </c>
      <c r="G526" s="306">
        <f t="shared" ca="1" si="243"/>
        <v>5.9582841267672437</v>
      </c>
      <c r="H526" s="307">
        <f t="shared" ca="1" si="244"/>
        <v>-96.674061384451292</v>
      </c>
      <c r="I526" s="304">
        <f t="shared" ca="1" si="245"/>
        <v>96.857499938311136</v>
      </c>
      <c r="J526" s="306">
        <f t="shared" ca="1" si="246"/>
        <v>588.9746359926213</v>
      </c>
      <c r="K526" s="307">
        <f t="shared" ca="1" si="247"/>
        <v>-8.7291070606718115</v>
      </c>
      <c r="L526" s="304">
        <f t="shared" ca="1" si="232"/>
        <v>589.03931885122699</v>
      </c>
      <c r="M526" s="306">
        <f t="shared" ca="1" si="248"/>
        <v>-1.5092414812749255</v>
      </c>
      <c r="N526" s="304">
        <f t="shared" ca="1" si="249"/>
        <v>-86.473167143125892</v>
      </c>
      <c r="P526" s="310">
        <f t="shared" ca="1" si="250"/>
        <v>23</v>
      </c>
      <c r="Q526" s="304">
        <f t="shared" ca="1" si="251"/>
        <v>0</v>
      </c>
      <c r="R526" s="306">
        <f t="shared" ca="1" si="252"/>
        <v>0</v>
      </c>
      <c r="S526" s="307">
        <f t="shared" ca="1" si="253"/>
        <v>2.5949999999999998</v>
      </c>
      <c r="T526" s="304">
        <f t="shared" ca="1" si="233"/>
        <v>25.456949999999999</v>
      </c>
      <c r="U526" s="311">
        <f t="shared" ca="1" si="234"/>
        <v>0</v>
      </c>
      <c r="V526" s="306">
        <f t="shared" ca="1" si="235"/>
        <v>1.2260697825272431</v>
      </c>
      <c r="W526" s="304">
        <f t="shared" ca="1" si="236"/>
        <v>23.553452104046226</v>
      </c>
      <c r="Y526" s="314" t="str">
        <f t="shared" ca="1" si="254"/>
        <v/>
      </c>
      <c r="Z526" s="315" t="str">
        <f t="shared" ca="1" si="255"/>
        <v/>
      </c>
      <c r="AA526" s="316" t="str">
        <f t="shared" ca="1" si="256"/>
        <v/>
      </c>
      <c r="AC526" s="310" t="e">
        <f t="shared" ca="1" si="257"/>
        <v>#N/A</v>
      </c>
      <c r="AD526" s="323" t="e">
        <f t="shared" ca="1" si="258"/>
        <v>#N/A</v>
      </c>
      <c r="AE526" s="324" t="e">
        <f t="shared" ca="1" si="237"/>
        <v>#N/A</v>
      </c>
      <c r="AG526" s="306">
        <f t="shared" ca="1" si="259"/>
        <v>0.71496782655008495</v>
      </c>
      <c r="AH526" s="304">
        <f t="shared" ca="1" si="260"/>
        <v>-9.0764526248049293</v>
      </c>
    </row>
    <row r="527" spans="1:34" x14ac:dyDescent="0.2">
      <c r="A527" s="347">
        <f t="shared" ca="1" si="238"/>
        <v>1E-4</v>
      </c>
      <c r="B527" s="304">
        <f t="shared" ca="1" si="239"/>
        <v>32.514000000000635</v>
      </c>
      <c r="D527" s="306">
        <f t="shared" ca="1" si="240"/>
        <v>-0.55834825137754618</v>
      </c>
      <c r="E527" s="307">
        <f t="shared" ca="1" si="241"/>
        <v>-0.75071514900037251</v>
      </c>
      <c r="F527" s="304">
        <f t="shared" ca="1" si="242"/>
        <v>0.93558858733687811</v>
      </c>
      <c r="G527" s="306">
        <f t="shared" ca="1" si="243"/>
        <v>5.9582282919421061</v>
      </c>
      <c r="H527" s="307">
        <f t="shared" ca="1" si="244"/>
        <v>-96.674136455966192</v>
      </c>
      <c r="I527" s="304">
        <f t="shared" ca="1" si="245"/>
        <v>96.857571432932744</v>
      </c>
      <c r="J527" s="306">
        <f t="shared" ca="1" si="246"/>
        <v>588.9746359926213</v>
      </c>
      <c r="K527" s="307">
        <f t="shared" ca="1" si="247"/>
        <v>-8.7387744705638326</v>
      </c>
      <c r="L527" s="304">
        <f t="shared" ca="1" si="232"/>
        <v>589.0394621940776</v>
      </c>
      <c r="M527" s="306">
        <f t="shared" ca="1" si="248"/>
        <v>-1.5092421043256221</v>
      </c>
      <c r="N527" s="304">
        <f t="shared" ca="1" si="249"/>
        <v>-86.47320284130123</v>
      </c>
      <c r="P527" s="310">
        <f t="shared" ca="1" si="250"/>
        <v>23</v>
      </c>
      <c r="Q527" s="304">
        <f t="shared" ca="1" si="251"/>
        <v>0</v>
      </c>
      <c r="R527" s="306">
        <f t="shared" ca="1" si="252"/>
        <v>0</v>
      </c>
      <c r="S527" s="307">
        <f t="shared" ca="1" si="253"/>
        <v>2.5949999999999998</v>
      </c>
      <c r="T527" s="304">
        <f t="shared" ca="1" si="233"/>
        <v>25.456949999999999</v>
      </c>
      <c r="U527" s="311">
        <f t="shared" ca="1" si="234"/>
        <v>0</v>
      </c>
      <c r="V527" s="306">
        <f t="shared" ca="1" si="235"/>
        <v>1.2260709678199562</v>
      </c>
      <c r="W527" s="304">
        <f t="shared" ca="1" si="236"/>
        <v>23.553509645796083</v>
      </c>
      <c r="Y527" s="314" t="str">
        <f t="shared" ca="1" si="254"/>
        <v/>
      </c>
      <c r="Z527" s="315" t="str">
        <f t="shared" ca="1" si="255"/>
        <v/>
      </c>
      <c r="AA527" s="316" t="str">
        <f t="shared" ca="1" si="256"/>
        <v/>
      </c>
      <c r="AC527" s="310" t="e">
        <f t="shared" ca="1" si="257"/>
        <v>#N/A</v>
      </c>
      <c r="AD527" s="323" t="e">
        <f t="shared" ca="1" si="258"/>
        <v>#N/A</v>
      </c>
      <c r="AE527" s="324" t="e">
        <f t="shared" ca="1" si="237"/>
        <v>#N/A</v>
      </c>
      <c r="AG527" s="306">
        <f t="shared" ca="1" si="259"/>
        <v>0.71494602810740027</v>
      </c>
      <c r="AH527" s="304">
        <f t="shared" ca="1" si="260"/>
        <v>-9.0764747992471015</v>
      </c>
    </row>
    <row r="528" spans="1:34" x14ac:dyDescent="0.2">
      <c r="A528" s="347">
        <f t="shared" ca="1" si="238"/>
        <v>1E-4</v>
      </c>
      <c r="B528" s="304">
        <f t="shared" ca="1" si="239"/>
        <v>32.514100000000639</v>
      </c>
      <c r="D528" s="306">
        <f t="shared" ca="1" si="240"/>
        <v>-0.55834397103048605</v>
      </c>
      <c r="E528" s="307">
        <f t="shared" ca="1" si="241"/>
        <v>-0.75069266903282106</v>
      </c>
      <c r="F528" s="304">
        <f t="shared" ca="1" si="242"/>
        <v>0.93556799503067267</v>
      </c>
      <c r="G528" s="306">
        <f t="shared" ca="1" si="243"/>
        <v>5.958172457545003</v>
      </c>
      <c r="H528" s="307">
        <f t="shared" ca="1" si="244"/>
        <v>-96.67421152523309</v>
      </c>
      <c r="I528" s="304">
        <f t="shared" ca="1" si="245"/>
        <v>96.857642925374549</v>
      </c>
      <c r="J528" s="306">
        <f t="shared" ca="1" si="246"/>
        <v>588.9746359926213</v>
      </c>
      <c r="K528" s="307">
        <f t="shared" ca="1" si="247"/>
        <v>-8.7484418879628922</v>
      </c>
      <c r="L528" s="304">
        <f t="shared" ca="1" si="232"/>
        <v>589.03960569566777</v>
      </c>
      <c r="M528" s="306">
        <f t="shared" ca="1" si="248"/>
        <v>-1.5092427273695606</v>
      </c>
      <c r="N528" s="304">
        <f t="shared" ca="1" si="249"/>
        <v>-86.473238539089351</v>
      </c>
      <c r="P528" s="310">
        <f t="shared" ca="1" si="250"/>
        <v>23</v>
      </c>
      <c r="Q528" s="304">
        <f t="shared" ca="1" si="251"/>
        <v>0</v>
      </c>
      <c r="R528" s="306">
        <f t="shared" ca="1" si="252"/>
        <v>0</v>
      </c>
      <c r="S528" s="307">
        <f t="shared" ca="1" si="253"/>
        <v>2.5949999999999998</v>
      </c>
      <c r="T528" s="304">
        <f t="shared" ca="1" si="233"/>
        <v>25.456949999999999</v>
      </c>
      <c r="U528" s="311">
        <f t="shared" ca="1" si="234"/>
        <v>0</v>
      </c>
      <c r="V528" s="306">
        <f t="shared" ca="1" si="235"/>
        <v>1.2260721531147363</v>
      </c>
      <c r="W528" s="304">
        <f t="shared" ca="1" si="236"/>
        <v>23.553567186618391</v>
      </c>
      <c r="Y528" s="314" t="str">
        <f t="shared" ca="1" si="254"/>
        <v/>
      </c>
      <c r="Z528" s="315" t="str">
        <f t="shared" ca="1" si="255"/>
        <v/>
      </c>
      <c r="AA528" s="316" t="str">
        <f t="shared" ca="1" si="256"/>
        <v/>
      </c>
      <c r="AC528" s="310" t="e">
        <f t="shared" ca="1" si="257"/>
        <v>#N/A</v>
      </c>
      <c r="AD528" s="323" t="e">
        <f t="shared" ca="1" si="258"/>
        <v>#N/A</v>
      </c>
      <c r="AE528" s="324" t="e">
        <f t="shared" ca="1" si="237"/>
        <v>#N/A</v>
      </c>
      <c r="AG528" s="306">
        <f t="shared" ca="1" si="259"/>
        <v>0.7149242300142884</v>
      </c>
      <c r="AH528" s="304">
        <f t="shared" ca="1" si="260"/>
        <v>-9.0764969733318246</v>
      </c>
    </row>
    <row r="529" spans="1:34" x14ac:dyDescent="0.2">
      <c r="A529" s="347">
        <f t="shared" ca="1" si="238"/>
        <v>1E-4</v>
      </c>
      <c r="B529" s="304">
        <f t="shared" ca="1" si="239"/>
        <v>32.514200000000642</v>
      </c>
      <c r="D529" s="306">
        <f t="shared" ca="1" si="240"/>
        <v>-0.55833969069486711</v>
      </c>
      <c r="E529" s="307">
        <f t="shared" ca="1" si="241"/>
        <v>-0.75067018942761976</v>
      </c>
      <c r="F529" s="304">
        <f t="shared" ca="1" si="242"/>
        <v>0.93554740312853113</v>
      </c>
      <c r="G529" s="306">
        <f t="shared" ca="1" si="243"/>
        <v>5.9581166235759335</v>
      </c>
      <c r="H529" s="307">
        <f t="shared" ca="1" si="244"/>
        <v>-96.674286592252031</v>
      </c>
      <c r="I529" s="304">
        <f t="shared" ca="1" si="245"/>
        <v>96.857714415636565</v>
      </c>
      <c r="J529" s="306">
        <f t="shared" ca="1" si="246"/>
        <v>588.9746359926213</v>
      </c>
      <c r="K529" s="307">
        <f t="shared" ca="1" si="247"/>
        <v>-8.7581093128687666</v>
      </c>
      <c r="L529" s="304">
        <f t="shared" ca="1" si="232"/>
        <v>589.03974935599797</v>
      </c>
      <c r="M529" s="306">
        <f t="shared" ca="1" si="248"/>
        <v>-1.5092433504067408</v>
      </c>
      <c r="N529" s="304">
        <f t="shared" ca="1" si="249"/>
        <v>-86.473274236490269</v>
      </c>
      <c r="P529" s="310">
        <f t="shared" ca="1" si="250"/>
        <v>23</v>
      </c>
      <c r="Q529" s="304">
        <f t="shared" ca="1" si="251"/>
        <v>0</v>
      </c>
      <c r="R529" s="306">
        <f t="shared" ca="1" si="252"/>
        <v>0</v>
      </c>
      <c r="S529" s="307">
        <f t="shared" ca="1" si="253"/>
        <v>2.5949999999999998</v>
      </c>
      <c r="T529" s="304">
        <f t="shared" ca="1" si="233"/>
        <v>25.456949999999999</v>
      </c>
      <c r="U529" s="311">
        <f t="shared" ca="1" si="234"/>
        <v>0</v>
      </c>
      <c r="V529" s="306">
        <f t="shared" ca="1" si="235"/>
        <v>1.2260733384115834</v>
      </c>
      <c r="W529" s="304">
        <f t="shared" ca="1" si="236"/>
        <v>23.553624726513149</v>
      </c>
      <c r="Y529" s="314" t="str">
        <f t="shared" ca="1" si="254"/>
        <v/>
      </c>
      <c r="Z529" s="315" t="str">
        <f t="shared" ca="1" si="255"/>
        <v/>
      </c>
      <c r="AA529" s="316" t="str">
        <f t="shared" ca="1" si="256"/>
        <v/>
      </c>
      <c r="AC529" s="310" t="e">
        <f t="shared" ca="1" si="257"/>
        <v>#N/A</v>
      </c>
      <c r="AD529" s="323" t="e">
        <f t="shared" ca="1" si="258"/>
        <v>#N/A</v>
      </c>
      <c r="AE529" s="324" t="e">
        <f t="shared" ca="1" si="237"/>
        <v>#N/A</v>
      </c>
      <c r="AG529" s="306">
        <f t="shared" ca="1" si="259"/>
        <v>0.7149024322707298</v>
      </c>
      <c r="AH529" s="304">
        <f t="shared" ca="1" si="260"/>
        <v>-9.0765191470591109</v>
      </c>
    </row>
    <row r="530" spans="1:34" x14ac:dyDescent="0.2">
      <c r="A530" s="347">
        <f t="shared" ca="1" si="238"/>
        <v>1E-4</v>
      </c>
      <c r="B530" s="304">
        <f t="shared" ca="1" si="239"/>
        <v>32.514300000000645</v>
      </c>
      <c r="D530" s="306">
        <f t="shared" ca="1" si="240"/>
        <v>-0.55833541037069034</v>
      </c>
      <c r="E530" s="307">
        <f t="shared" ca="1" si="241"/>
        <v>-0.75064771018476861</v>
      </c>
      <c r="F530" s="304">
        <f t="shared" ca="1" si="242"/>
        <v>0.93552681163045426</v>
      </c>
      <c r="G530" s="306">
        <f t="shared" ca="1" si="243"/>
        <v>5.9580607900348967</v>
      </c>
      <c r="H530" s="307">
        <f t="shared" ca="1" si="244"/>
        <v>-96.674361657023056</v>
      </c>
      <c r="I530" s="304">
        <f t="shared" ca="1" si="245"/>
        <v>96.857785903718863</v>
      </c>
      <c r="J530" s="306">
        <f t="shared" ca="1" si="246"/>
        <v>588.9746359926213</v>
      </c>
      <c r="K530" s="307">
        <f t="shared" ca="1" si="247"/>
        <v>-8.7677767452812301</v>
      </c>
      <c r="L530" s="304">
        <f t="shared" ca="1" si="232"/>
        <v>589.0398931750683</v>
      </c>
      <c r="M530" s="306">
        <f t="shared" ca="1" si="248"/>
        <v>-1.5092439734371628</v>
      </c>
      <c r="N530" s="304">
        <f t="shared" ca="1" si="249"/>
        <v>-86.473309933503955</v>
      </c>
      <c r="P530" s="310">
        <f t="shared" ca="1" si="250"/>
        <v>23</v>
      </c>
      <c r="Q530" s="304">
        <f t="shared" ca="1" si="251"/>
        <v>0</v>
      </c>
      <c r="R530" s="306">
        <f t="shared" ca="1" si="252"/>
        <v>0</v>
      </c>
      <c r="S530" s="307">
        <f t="shared" ca="1" si="253"/>
        <v>2.5949999999999998</v>
      </c>
      <c r="T530" s="304">
        <f t="shared" ca="1" si="233"/>
        <v>25.456949999999999</v>
      </c>
      <c r="U530" s="311">
        <f t="shared" ca="1" si="234"/>
        <v>0</v>
      </c>
      <c r="V530" s="306">
        <f t="shared" ca="1" si="235"/>
        <v>1.2260745237104971</v>
      </c>
      <c r="W530" s="304">
        <f t="shared" ca="1" si="236"/>
        <v>23.553682265480379</v>
      </c>
      <c r="Y530" s="314" t="str">
        <f t="shared" ca="1" si="254"/>
        <v/>
      </c>
      <c r="Z530" s="315" t="str">
        <f t="shared" ca="1" si="255"/>
        <v/>
      </c>
      <c r="AA530" s="316" t="str">
        <f t="shared" ca="1" si="256"/>
        <v/>
      </c>
      <c r="AC530" s="310" t="e">
        <f t="shared" ca="1" si="257"/>
        <v>#N/A</v>
      </c>
      <c r="AD530" s="323" t="e">
        <f t="shared" ca="1" si="258"/>
        <v>#N/A</v>
      </c>
      <c r="AE530" s="324" t="e">
        <f t="shared" ca="1" si="237"/>
        <v>#N/A</v>
      </c>
      <c r="AG530" s="306">
        <f t="shared" ca="1" si="259"/>
        <v>0.71488063487673159</v>
      </c>
      <c r="AH530" s="304">
        <f t="shared" ca="1" si="260"/>
        <v>-9.0765413204289604</v>
      </c>
    </row>
    <row r="531" spans="1:34" x14ac:dyDescent="0.2">
      <c r="A531" s="347">
        <f t="shared" ca="1" si="238"/>
        <v>1E-4</v>
      </c>
      <c r="B531" s="304">
        <f t="shared" ca="1" si="239"/>
        <v>32.514400000000649</v>
      </c>
      <c r="D531" s="306">
        <f t="shared" ca="1" si="240"/>
        <v>-0.55833113005795942</v>
      </c>
      <c r="E531" s="307">
        <f t="shared" ca="1" si="241"/>
        <v>-0.75062523130426051</v>
      </c>
      <c r="F531" s="304">
        <f t="shared" ca="1" si="242"/>
        <v>0.93550622053643906</v>
      </c>
      <c r="G531" s="306">
        <f t="shared" ca="1" si="243"/>
        <v>5.9580049569218909</v>
      </c>
      <c r="H531" s="307">
        <f t="shared" ca="1" si="244"/>
        <v>-96.674436719546179</v>
      </c>
      <c r="I531" s="304">
        <f t="shared" ca="1" si="245"/>
        <v>96.857857389621444</v>
      </c>
      <c r="J531" s="306">
        <f t="shared" ca="1" si="246"/>
        <v>588.9746359926213</v>
      </c>
      <c r="K531" s="307">
        <f t="shared" ca="1" si="247"/>
        <v>-8.7774441852000589</v>
      </c>
      <c r="L531" s="304">
        <f t="shared" ca="1" si="232"/>
        <v>589.04003715287899</v>
      </c>
      <c r="M531" s="306">
        <f t="shared" ca="1" si="248"/>
        <v>-1.5092445964608268</v>
      </c>
      <c r="N531" s="304">
        <f t="shared" ca="1" si="249"/>
        <v>-86.473345630130439</v>
      </c>
      <c r="P531" s="310">
        <f t="shared" ca="1" si="250"/>
        <v>23</v>
      </c>
      <c r="Q531" s="304">
        <f t="shared" ca="1" si="251"/>
        <v>0</v>
      </c>
      <c r="R531" s="306">
        <f t="shared" ca="1" si="252"/>
        <v>0</v>
      </c>
      <c r="S531" s="307">
        <f t="shared" ca="1" si="253"/>
        <v>2.5949999999999998</v>
      </c>
      <c r="T531" s="304">
        <f t="shared" ca="1" si="233"/>
        <v>25.456949999999999</v>
      </c>
      <c r="U531" s="311">
        <f t="shared" ca="1" si="234"/>
        <v>0</v>
      </c>
      <c r="V531" s="306">
        <f t="shared" ca="1" si="235"/>
        <v>1.2260757090114776</v>
      </c>
      <c r="W531" s="304">
        <f t="shared" ca="1" si="236"/>
        <v>23.553739803520081</v>
      </c>
      <c r="Y531" s="314" t="str">
        <f t="shared" ca="1" si="254"/>
        <v/>
      </c>
      <c r="Z531" s="315" t="str">
        <f t="shared" ca="1" si="255"/>
        <v/>
      </c>
      <c r="AA531" s="316" t="str">
        <f t="shared" ca="1" si="256"/>
        <v/>
      </c>
      <c r="AC531" s="310" t="e">
        <f t="shared" ca="1" si="257"/>
        <v>#N/A</v>
      </c>
      <c r="AD531" s="323" t="e">
        <f t="shared" ca="1" si="258"/>
        <v>#N/A</v>
      </c>
      <c r="AE531" s="324" t="e">
        <f t="shared" ca="1" si="237"/>
        <v>#N/A</v>
      </c>
      <c r="AG531" s="306">
        <f t="shared" ca="1" si="259"/>
        <v>0.71485883783228132</v>
      </c>
      <c r="AH531" s="304">
        <f t="shared" ca="1" si="260"/>
        <v>-9.0765634934413804</v>
      </c>
    </row>
    <row r="532" spans="1:34" x14ac:dyDescent="0.2">
      <c r="A532" s="347">
        <f t="shared" ca="1" si="238"/>
        <v>1E-4</v>
      </c>
      <c r="B532" s="304">
        <f t="shared" ca="1" si="239"/>
        <v>32.514500000000652</v>
      </c>
      <c r="D532" s="306">
        <f t="shared" ca="1" si="240"/>
        <v>-0.55832684975667124</v>
      </c>
      <c r="E532" s="307">
        <f t="shared" ca="1" si="241"/>
        <v>-0.75060275278609545</v>
      </c>
      <c r="F532" s="304">
        <f t="shared" ca="1" si="242"/>
        <v>0.93548562984648398</v>
      </c>
      <c r="G532" s="306">
        <f t="shared" ca="1" si="243"/>
        <v>5.9579491242369151</v>
      </c>
      <c r="H532" s="307">
        <f t="shared" ca="1" si="244"/>
        <v>-96.674511779821458</v>
      </c>
      <c r="I532" s="304">
        <f t="shared" ca="1" si="245"/>
        <v>96.857928873344349</v>
      </c>
      <c r="J532" s="306">
        <f t="shared" ca="1" si="246"/>
        <v>588.9746359926213</v>
      </c>
      <c r="K532" s="307">
        <f t="shared" ca="1" si="247"/>
        <v>-8.7871116326250274</v>
      </c>
      <c r="L532" s="304">
        <f t="shared" ca="1" si="232"/>
        <v>589.04018128943039</v>
      </c>
      <c r="M532" s="306">
        <f t="shared" ca="1" si="248"/>
        <v>-1.5092452194777326</v>
      </c>
      <c r="N532" s="304">
        <f t="shared" ca="1" si="249"/>
        <v>-86.473381326369704</v>
      </c>
      <c r="P532" s="310">
        <f t="shared" ca="1" si="250"/>
        <v>23</v>
      </c>
      <c r="Q532" s="304">
        <f t="shared" ca="1" si="251"/>
        <v>0</v>
      </c>
      <c r="R532" s="306">
        <f t="shared" ca="1" si="252"/>
        <v>0</v>
      </c>
      <c r="S532" s="307">
        <f t="shared" ca="1" si="253"/>
        <v>2.5949999999999998</v>
      </c>
      <c r="T532" s="304">
        <f t="shared" ca="1" si="233"/>
        <v>25.456949999999999</v>
      </c>
      <c r="U532" s="311">
        <f t="shared" ca="1" si="234"/>
        <v>0</v>
      </c>
      <c r="V532" s="306">
        <f t="shared" ca="1" si="235"/>
        <v>1.2260768943145246</v>
      </c>
      <c r="W532" s="304">
        <f t="shared" ca="1" si="236"/>
        <v>23.553797340632258</v>
      </c>
      <c r="Y532" s="314" t="str">
        <f t="shared" ca="1" si="254"/>
        <v/>
      </c>
      <c r="Z532" s="315" t="str">
        <f t="shared" ca="1" si="255"/>
        <v/>
      </c>
      <c r="AA532" s="316" t="str">
        <f t="shared" ca="1" si="256"/>
        <v/>
      </c>
      <c r="AC532" s="310" t="e">
        <f t="shared" ca="1" si="257"/>
        <v>#N/A</v>
      </c>
      <c r="AD532" s="323" t="e">
        <f t="shared" ca="1" si="258"/>
        <v>#N/A</v>
      </c>
      <c r="AE532" s="324" t="e">
        <f t="shared" ca="1" si="237"/>
        <v>#N/A</v>
      </c>
      <c r="AG532" s="306">
        <f t="shared" ca="1" si="259"/>
        <v>0.71483704113738433</v>
      </c>
      <c r="AH532" s="304">
        <f t="shared" ca="1" si="260"/>
        <v>-9.0765856660963706</v>
      </c>
    </row>
    <row r="533" spans="1:34" x14ac:dyDescent="0.2">
      <c r="A533" s="347">
        <f t="shared" ca="1" si="238"/>
        <v>1E-4</v>
      </c>
      <c r="B533" s="304">
        <f t="shared" ca="1" si="239"/>
        <v>32.514600000000655</v>
      </c>
      <c r="D533" s="306">
        <f t="shared" ca="1" si="240"/>
        <v>-0.55832256946682945</v>
      </c>
      <c r="E533" s="307">
        <f t="shared" ca="1" si="241"/>
        <v>-0.75058027463026988</v>
      </c>
      <c r="F533" s="304">
        <f t="shared" ca="1" si="242"/>
        <v>0.9354650395605888</v>
      </c>
      <c r="G533" s="306">
        <f t="shared" ca="1" si="243"/>
        <v>5.9578932919799685</v>
      </c>
      <c r="H533" s="307">
        <f t="shared" ca="1" si="244"/>
        <v>-96.674586837848921</v>
      </c>
      <c r="I533" s="304">
        <f t="shared" ca="1" si="245"/>
        <v>96.858000354887622</v>
      </c>
      <c r="J533" s="306">
        <f t="shared" ca="1" si="246"/>
        <v>588.9746359926213</v>
      </c>
      <c r="K533" s="307">
        <f t="shared" ca="1" si="247"/>
        <v>-8.7967790875559118</v>
      </c>
      <c r="L533" s="304">
        <f t="shared" ca="1" si="232"/>
        <v>589.04032558472261</v>
      </c>
      <c r="M533" s="306">
        <f t="shared" ca="1" si="248"/>
        <v>-1.5092458424878805</v>
      </c>
      <c r="N533" s="304">
        <f t="shared" ca="1" si="249"/>
        <v>-86.473417022221781</v>
      </c>
      <c r="P533" s="310">
        <f t="shared" ca="1" si="250"/>
        <v>23</v>
      </c>
      <c r="Q533" s="304">
        <f t="shared" ca="1" si="251"/>
        <v>0</v>
      </c>
      <c r="R533" s="306">
        <f t="shared" ca="1" si="252"/>
        <v>0</v>
      </c>
      <c r="S533" s="307">
        <f t="shared" ca="1" si="253"/>
        <v>2.5949999999999998</v>
      </c>
      <c r="T533" s="304">
        <f t="shared" ca="1" si="233"/>
        <v>25.456949999999999</v>
      </c>
      <c r="U533" s="311">
        <f t="shared" ca="1" si="234"/>
        <v>0</v>
      </c>
      <c r="V533" s="306">
        <f t="shared" ca="1" si="235"/>
        <v>1.2260780796196384</v>
      </c>
      <c r="W533" s="304">
        <f t="shared" ca="1" si="236"/>
        <v>23.553854876816942</v>
      </c>
      <c r="Y533" s="314" t="str">
        <f t="shared" ca="1" si="254"/>
        <v/>
      </c>
      <c r="Z533" s="315" t="str">
        <f t="shared" ca="1" si="255"/>
        <v/>
      </c>
      <c r="AA533" s="316" t="str">
        <f t="shared" ca="1" si="256"/>
        <v/>
      </c>
      <c r="AC533" s="310" t="e">
        <f t="shared" ca="1" si="257"/>
        <v>#N/A</v>
      </c>
      <c r="AD533" s="323" t="e">
        <f t="shared" ca="1" si="258"/>
        <v>#N/A</v>
      </c>
      <c r="AE533" s="324" t="e">
        <f t="shared" ca="1" si="237"/>
        <v>#N/A</v>
      </c>
      <c r="AG533" s="306">
        <f t="shared" ca="1" si="259"/>
        <v>0.71481524479203351</v>
      </c>
      <c r="AH533" s="304">
        <f t="shared" ca="1" si="260"/>
        <v>-9.0766078383939348</v>
      </c>
    </row>
    <row r="534" spans="1:34" x14ac:dyDescent="0.2">
      <c r="A534" s="347">
        <f t="shared" ca="1" si="238"/>
        <v>1E-4</v>
      </c>
      <c r="B534" s="304">
        <f t="shared" ca="1" si="239"/>
        <v>32.514700000000659</v>
      </c>
      <c r="D534" s="306">
        <f t="shared" ca="1" si="240"/>
        <v>-0.55831828918843363</v>
      </c>
      <c r="E534" s="307">
        <f t="shared" ca="1" si="241"/>
        <v>-0.75055779683677315</v>
      </c>
      <c r="F534" s="304">
        <f t="shared" ca="1" si="242"/>
        <v>0.93544444967874507</v>
      </c>
      <c r="G534" s="306">
        <f t="shared" ca="1" si="243"/>
        <v>5.9578374601510493</v>
      </c>
      <c r="H534" s="307">
        <f t="shared" ca="1" si="244"/>
        <v>-96.67466189362861</v>
      </c>
      <c r="I534" s="304">
        <f t="shared" ca="1" si="245"/>
        <v>96.858071834251305</v>
      </c>
      <c r="J534" s="306">
        <f t="shared" ca="1" si="246"/>
        <v>588.9746359926213</v>
      </c>
      <c r="K534" s="307">
        <f t="shared" ca="1" si="247"/>
        <v>-8.8064465499924864</v>
      </c>
      <c r="L534" s="304">
        <f t="shared" ca="1" si="232"/>
        <v>589.04047003875598</v>
      </c>
      <c r="M534" s="306">
        <f t="shared" ca="1" si="248"/>
        <v>-1.5092464654912707</v>
      </c>
      <c r="N534" s="304">
        <f t="shared" ca="1" si="249"/>
        <v>-86.473452717686655</v>
      </c>
      <c r="P534" s="310">
        <f t="shared" ca="1" si="250"/>
        <v>23</v>
      </c>
      <c r="Q534" s="304">
        <f t="shared" ca="1" si="251"/>
        <v>0</v>
      </c>
      <c r="R534" s="306">
        <f t="shared" ca="1" si="252"/>
        <v>0</v>
      </c>
      <c r="S534" s="307">
        <f t="shared" ca="1" si="253"/>
        <v>2.5949999999999998</v>
      </c>
      <c r="T534" s="304">
        <f t="shared" ca="1" si="233"/>
        <v>25.456949999999999</v>
      </c>
      <c r="U534" s="311">
        <f t="shared" ca="1" si="234"/>
        <v>0</v>
      </c>
      <c r="V534" s="306">
        <f t="shared" ca="1" si="235"/>
        <v>1.2260792649268188</v>
      </c>
      <c r="W534" s="304">
        <f t="shared" ca="1" si="236"/>
        <v>23.553912412074141</v>
      </c>
      <c r="Y534" s="314" t="str">
        <f t="shared" ca="1" si="254"/>
        <v/>
      </c>
      <c r="Z534" s="315" t="str">
        <f t="shared" ca="1" si="255"/>
        <v/>
      </c>
      <c r="AA534" s="316" t="str">
        <f t="shared" ca="1" si="256"/>
        <v/>
      </c>
      <c r="AC534" s="310" t="e">
        <f t="shared" ca="1" si="257"/>
        <v>#N/A</v>
      </c>
      <c r="AD534" s="323" t="e">
        <f t="shared" ca="1" si="258"/>
        <v>#N/A</v>
      </c>
      <c r="AE534" s="324" t="e">
        <f t="shared" ca="1" si="237"/>
        <v>#N/A</v>
      </c>
      <c r="AG534" s="306">
        <f t="shared" ca="1" si="259"/>
        <v>0.71479344879622175</v>
      </c>
      <c r="AH534" s="304">
        <f t="shared" ca="1" si="260"/>
        <v>-9.0766300103340818</v>
      </c>
    </row>
    <row r="535" spans="1:34" x14ac:dyDescent="0.2">
      <c r="A535" s="347">
        <f t="shared" ca="1" si="238"/>
        <v>1E-4</v>
      </c>
      <c r="B535" s="304">
        <f t="shared" ca="1" si="239"/>
        <v>32.514800000000662</v>
      </c>
      <c r="D535" s="306">
        <f t="shared" ca="1" si="240"/>
        <v>-0.55831400892148308</v>
      </c>
      <c r="E535" s="307">
        <f t="shared" ca="1" si="241"/>
        <v>-0.7505353194056017</v>
      </c>
      <c r="F535" s="304">
        <f t="shared" ca="1" si="242"/>
        <v>0.93542386020095003</v>
      </c>
      <c r="G535" s="306">
        <f t="shared" ca="1" si="243"/>
        <v>5.9577816287501575</v>
      </c>
      <c r="H535" s="307">
        <f t="shared" ca="1" si="244"/>
        <v>-96.674736947160554</v>
      </c>
      <c r="I535" s="304">
        <f t="shared" ca="1" si="245"/>
        <v>96.858143311435427</v>
      </c>
      <c r="J535" s="306">
        <f t="shared" ca="1" si="246"/>
        <v>588.9746359926213</v>
      </c>
      <c r="K535" s="307">
        <f t="shared" ca="1" si="247"/>
        <v>-8.8161140199345258</v>
      </c>
      <c r="L535" s="304">
        <f t="shared" ca="1" si="232"/>
        <v>589.04061465153086</v>
      </c>
      <c r="M535" s="306">
        <f t="shared" ca="1" si="248"/>
        <v>-1.5092470884879032</v>
      </c>
      <c r="N535" s="304">
        <f t="shared" ca="1" si="249"/>
        <v>-86.473488412764354</v>
      </c>
      <c r="P535" s="310">
        <f t="shared" ca="1" si="250"/>
        <v>23</v>
      </c>
      <c r="Q535" s="304">
        <f t="shared" ca="1" si="251"/>
        <v>0</v>
      </c>
      <c r="R535" s="306">
        <f t="shared" ca="1" si="252"/>
        <v>0</v>
      </c>
      <c r="S535" s="307">
        <f t="shared" ca="1" si="253"/>
        <v>2.5949999999999998</v>
      </c>
      <c r="T535" s="304">
        <f t="shared" ca="1" si="233"/>
        <v>25.456949999999999</v>
      </c>
      <c r="U535" s="311">
        <f t="shared" ca="1" si="234"/>
        <v>0</v>
      </c>
      <c r="V535" s="306">
        <f t="shared" ca="1" si="235"/>
        <v>1.2260804502360656</v>
      </c>
      <c r="W535" s="304">
        <f t="shared" ca="1" si="236"/>
        <v>23.553969946403846</v>
      </c>
      <c r="Y535" s="314" t="str">
        <f t="shared" ca="1" si="254"/>
        <v/>
      </c>
      <c r="Z535" s="315" t="str">
        <f t="shared" ca="1" si="255"/>
        <v/>
      </c>
      <c r="AA535" s="316" t="str">
        <f t="shared" ca="1" si="256"/>
        <v/>
      </c>
      <c r="AC535" s="310" t="e">
        <f t="shared" ca="1" si="257"/>
        <v>#N/A</v>
      </c>
      <c r="AD535" s="323" t="e">
        <f t="shared" ca="1" si="258"/>
        <v>#N/A</v>
      </c>
      <c r="AE535" s="324" t="e">
        <f t="shared" ca="1" si="237"/>
        <v>#N/A</v>
      </c>
      <c r="AG535" s="306">
        <f t="shared" ca="1" si="259"/>
        <v>0.71477165314994195</v>
      </c>
      <c r="AH535" s="304">
        <f t="shared" ca="1" si="260"/>
        <v>-9.0766521819168187</v>
      </c>
    </row>
    <row r="536" spans="1:34" x14ac:dyDescent="0.2">
      <c r="A536" s="347">
        <f t="shared" ca="1" si="238"/>
        <v>1E-4</v>
      </c>
      <c r="B536" s="304">
        <f t="shared" ca="1" si="239"/>
        <v>32.514900000000665</v>
      </c>
      <c r="D536" s="306">
        <f t="shared" ca="1" si="240"/>
        <v>-0.55830972866597883</v>
      </c>
      <c r="E536" s="307">
        <f t="shared" ca="1" si="241"/>
        <v>-0.75051284233676085</v>
      </c>
      <c r="F536" s="304">
        <f t="shared" ca="1" si="242"/>
        <v>0.93540327112720889</v>
      </c>
      <c r="G536" s="306">
        <f t="shared" ca="1" si="243"/>
        <v>5.9577257977772913</v>
      </c>
      <c r="H536" s="307">
        <f t="shared" ca="1" si="244"/>
        <v>-96.674811998444781</v>
      </c>
      <c r="I536" s="304">
        <f t="shared" ca="1" si="245"/>
        <v>96.858214786440001</v>
      </c>
      <c r="J536" s="306">
        <f t="shared" ca="1" si="246"/>
        <v>588.9746359926213</v>
      </c>
      <c r="K536" s="307">
        <f t="shared" ca="1" si="247"/>
        <v>-8.8257814973818061</v>
      </c>
      <c r="L536" s="304">
        <f t="shared" ca="1" si="232"/>
        <v>589.04075942304735</v>
      </c>
      <c r="M536" s="306">
        <f t="shared" ca="1" si="248"/>
        <v>-1.5092477114777783</v>
      </c>
      <c r="N536" s="304">
        <f t="shared" ca="1" si="249"/>
        <v>-86.473524107454864</v>
      </c>
      <c r="P536" s="310">
        <f t="shared" ca="1" si="250"/>
        <v>23</v>
      </c>
      <c r="Q536" s="304">
        <f t="shared" ca="1" si="251"/>
        <v>0</v>
      </c>
      <c r="R536" s="306">
        <f t="shared" ca="1" si="252"/>
        <v>0</v>
      </c>
      <c r="S536" s="307">
        <f t="shared" ca="1" si="253"/>
        <v>2.5949999999999998</v>
      </c>
      <c r="T536" s="304">
        <f t="shared" ca="1" si="233"/>
        <v>25.456949999999999</v>
      </c>
      <c r="U536" s="311">
        <f t="shared" ca="1" si="234"/>
        <v>0</v>
      </c>
      <c r="V536" s="306">
        <f t="shared" ca="1" si="235"/>
        <v>1.2260816355473791</v>
      </c>
      <c r="W536" s="304">
        <f t="shared" ca="1" si="236"/>
        <v>23.554027479806091</v>
      </c>
      <c r="Y536" s="314" t="str">
        <f t="shared" ca="1" si="254"/>
        <v/>
      </c>
      <c r="Z536" s="315" t="str">
        <f t="shared" ca="1" si="255"/>
        <v/>
      </c>
      <c r="AA536" s="316" t="str">
        <f t="shared" ca="1" si="256"/>
        <v/>
      </c>
      <c r="AC536" s="310" t="e">
        <f t="shared" ca="1" si="257"/>
        <v>#N/A</v>
      </c>
      <c r="AD536" s="323" t="e">
        <f t="shared" ca="1" si="258"/>
        <v>#N/A</v>
      </c>
      <c r="AE536" s="324" t="e">
        <f t="shared" ca="1" si="237"/>
        <v>#N/A</v>
      </c>
      <c r="AG536" s="306">
        <f t="shared" ca="1" si="259"/>
        <v>0.71474985785320122</v>
      </c>
      <c r="AH536" s="304">
        <f t="shared" ca="1" si="260"/>
        <v>-9.0766743531421383</v>
      </c>
    </row>
    <row r="537" spans="1:34" x14ac:dyDescent="0.2">
      <c r="A537" s="347">
        <f t="shared" ca="1" si="238"/>
        <v>1E-4</v>
      </c>
      <c r="B537" s="304">
        <f t="shared" ca="1" si="239"/>
        <v>32.515000000000668</v>
      </c>
      <c r="D537" s="306">
        <f t="shared" ca="1" si="240"/>
        <v>-0.55830544842192065</v>
      </c>
      <c r="E537" s="307">
        <f t="shared" ca="1" si="241"/>
        <v>-0.75049036563023463</v>
      </c>
      <c r="F537" s="304">
        <f t="shared" ca="1" si="242"/>
        <v>0.935382682457509</v>
      </c>
      <c r="G537" s="306">
        <f t="shared" ca="1" si="243"/>
        <v>5.9576699672324489</v>
      </c>
      <c r="H537" s="307">
        <f t="shared" ca="1" si="244"/>
        <v>-96.674887047481349</v>
      </c>
      <c r="I537" s="304">
        <f t="shared" ca="1" si="245"/>
        <v>96.858286259265086</v>
      </c>
      <c r="J537" s="306">
        <f t="shared" ca="1" si="246"/>
        <v>588.9746359926213</v>
      </c>
      <c r="K537" s="307">
        <f t="shared" ca="1" si="247"/>
        <v>-8.8354489823341016</v>
      </c>
      <c r="L537" s="304">
        <f t="shared" ca="1" si="232"/>
        <v>589.04090435330568</v>
      </c>
      <c r="M537" s="306">
        <f t="shared" ca="1" si="248"/>
        <v>-1.5092483344608956</v>
      </c>
      <c r="N537" s="304">
        <f t="shared" ca="1" si="249"/>
        <v>-86.473559801758199</v>
      </c>
      <c r="P537" s="310">
        <f t="shared" ca="1" si="250"/>
        <v>23</v>
      </c>
      <c r="Q537" s="304">
        <f t="shared" ca="1" si="251"/>
        <v>0</v>
      </c>
      <c r="R537" s="306">
        <f t="shared" ca="1" si="252"/>
        <v>0</v>
      </c>
      <c r="S537" s="307">
        <f t="shared" ca="1" si="253"/>
        <v>2.5949999999999998</v>
      </c>
      <c r="T537" s="304">
        <f t="shared" ca="1" si="233"/>
        <v>25.456949999999999</v>
      </c>
      <c r="U537" s="311">
        <f t="shared" ca="1" si="234"/>
        <v>0</v>
      </c>
      <c r="V537" s="306">
        <f t="shared" ca="1" si="235"/>
        <v>1.2260828208607595</v>
      </c>
      <c r="W537" s="304">
        <f t="shared" ca="1" si="236"/>
        <v>23.554085012280886</v>
      </c>
      <c r="Y537" s="314" t="str">
        <f t="shared" ca="1" si="254"/>
        <v/>
      </c>
      <c r="Z537" s="315" t="str">
        <f t="shared" ca="1" si="255"/>
        <v/>
      </c>
      <c r="AA537" s="316" t="str">
        <f t="shared" ca="1" si="256"/>
        <v/>
      </c>
      <c r="AC537" s="310" t="e">
        <f t="shared" ca="1" si="257"/>
        <v>#N/A</v>
      </c>
      <c r="AD537" s="323" t="e">
        <f t="shared" ca="1" si="258"/>
        <v>#N/A</v>
      </c>
      <c r="AE537" s="324" t="e">
        <f t="shared" ca="1" si="237"/>
        <v>#N/A</v>
      </c>
      <c r="AG537" s="306">
        <f t="shared" ca="1" si="259"/>
        <v>0.71472806290598356</v>
      </c>
      <c r="AH537" s="304">
        <f t="shared" ca="1" si="260"/>
        <v>-9.076696524010055</v>
      </c>
    </row>
    <row r="538" spans="1:34" x14ac:dyDescent="0.2">
      <c r="A538" s="347">
        <f t="shared" ca="1" si="238"/>
        <v>1E-4</v>
      </c>
      <c r="B538" s="304">
        <f t="shared" ca="1" si="239"/>
        <v>32.515100000000672</v>
      </c>
      <c r="D538" s="306">
        <f t="shared" ca="1" si="240"/>
        <v>-0.55830116818931208</v>
      </c>
      <c r="E538" s="307">
        <f t="shared" ca="1" si="241"/>
        <v>-0.75046788928601948</v>
      </c>
      <c r="F538" s="304">
        <f t="shared" ca="1" si="242"/>
        <v>0.93536209419185024</v>
      </c>
      <c r="G538" s="306">
        <f t="shared" ca="1" si="243"/>
        <v>5.9576141371156304</v>
      </c>
      <c r="H538" s="307">
        <f t="shared" ca="1" si="244"/>
        <v>-96.674962094270271</v>
      </c>
      <c r="I538" s="304">
        <f t="shared" ca="1" si="245"/>
        <v>96.858357729910708</v>
      </c>
      <c r="J538" s="306">
        <f t="shared" ca="1" si="246"/>
        <v>588.9746359926213</v>
      </c>
      <c r="K538" s="307">
        <f t="shared" ca="1" si="247"/>
        <v>-8.8451164747911886</v>
      </c>
      <c r="L538" s="304">
        <f t="shared" ca="1" si="232"/>
        <v>589.04104944230619</v>
      </c>
      <c r="M538" s="306">
        <f t="shared" ca="1" si="248"/>
        <v>-1.5092489574372554</v>
      </c>
      <c r="N538" s="304">
        <f t="shared" ca="1" si="249"/>
        <v>-86.473595495674346</v>
      </c>
      <c r="P538" s="310">
        <f t="shared" ca="1" si="250"/>
        <v>23</v>
      </c>
      <c r="Q538" s="304">
        <f t="shared" ca="1" si="251"/>
        <v>0</v>
      </c>
      <c r="R538" s="306">
        <f t="shared" ca="1" si="252"/>
        <v>0</v>
      </c>
      <c r="S538" s="307">
        <f t="shared" ca="1" si="253"/>
        <v>2.5949999999999998</v>
      </c>
      <c r="T538" s="304">
        <f t="shared" ca="1" si="233"/>
        <v>25.456949999999999</v>
      </c>
      <c r="U538" s="311">
        <f t="shared" ca="1" si="234"/>
        <v>0</v>
      </c>
      <c r="V538" s="306">
        <f t="shared" ca="1" si="235"/>
        <v>1.2260840061762062</v>
      </c>
      <c r="W538" s="304">
        <f t="shared" ca="1" si="236"/>
        <v>23.554142543828224</v>
      </c>
      <c r="Y538" s="314" t="str">
        <f t="shared" ca="1" si="254"/>
        <v/>
      </c>
      <c r="Z538" s="315" t="str">
        <f t="shared" ca="1" si="255"/>
        <v/>
      </c>
      <c r="AA538" s="316" t="str">
        <f t="shared" ca="1" si="256"/>
        <v/>
      </c>
      <c r="AC538" s="310" t="e">
        <f t="shared" ca="1" si="257"/>
        <v>#N/A</v>
      </c>
      <c r="AD538" s="323" t="e">
        <f t="shared" ca="1" si="258"/>
        <v>#N/A</v>
      </c>
      <c r="AE538" s="324" t="e">
        <f t="shared" ca="1" si="237"/>
        <v>#N/A</v>
      </c>
      <c r="AG538" s="306">
        <f t="shared" ca="1" si="259"/>
        <v>0.71470626830828898</v>
      </c>
      <c r="AH538" s="304">
        <f t="shared" ca="1" si="260"/>
        <v>-9.076718694520574</v>
      </c>
    </row>
    <row r="539" spans="1:34" x14ac:dyDescent="0.2">
      <c r="A539" s="347">
        <f t="shared" ca="1" si="238"/>
        <v>1E-4</v>
      </c>
      <c r="B539" s="304">
        <f t="shared" ca="1" si="239"/>
        <v>32.515200000000675</v>
      </c>
      <c r="D539" s="306">
        <f t="shared" ca="1" si="240"/>
        <v>-0.5582968879681518</v>
      </c>
      <c r="E539" s="307">
        <f t="shared" ca="1" si="241"/>
        <v>-0.75044541330412073</v>
      </c>
      <c r="F539" s="304">
        <f t="shared" ca="1" si="242"/>
        <v>0.93534150633023638</v>
      </c>
      <c r="G539" s="306">
        <f t="shared" ca="1" si="243"/>
        <v>5.9575583074268339</v>
      </c>
      <c r="H539" s="307">
        <f t="shared" ca="1" si="244"/>
        <v>-96.675037138811604</v>
      </c>
      <c r="I539" s="304">
        <f t="shared" ca="1" si="245"/>
        <v>96.858429198376925</v>
      </c>
      <c r="J539" s="306">
        <f t="shared" ca="1" si="246"/>
        <v>588.9746359926213</v>
      </c>
      <c r="K539" s="307">
        <f t="shared" ca="1" si="247"/>
        <v>-8.8547839747528432</v>
      </c>
      <c r="L539" s="304">
        <f t="shared" ca="1" si="232"/>
        <v>589.04119469004911</v>
      </c>
      <c r="M539" s="306">
        <f t="shared" ca="1" si="248"/>
        <v>-1.509249580406858</v>
      </c>
      <c r="N539" s="304">
        <f t="shared" ca="1" si="249"/>
        <v>-86.473631189203346</v>
      </c>
      <c r="P539" s="310">
        <f t="shared" ca="1" si="250"/>
        <v>23</v>
      </c>
      <c r="Q539" s="304">
        <f t="shared" ca="1" si="251"/>
        <v>0</v>
      </c>
      <c r="R539" s="306">
        <f t="shared" ca="1" si="252"/>
        <v>0</v>
      </c>
      <c r="S539" s="307">
        <f t="shared" ca="1" si="253"/>
        <v>2.5949999999999998</v>
      </c>
      <c r="T539" s="304">
        <f t="shared" ca="1" si="233"/>
        <v>25.456949999999999</v>
      </c>
      <c r="U539" s="311">
        <f t="shared" ca="1" si="234"/>
        <v>0</v>
      </c>
      <c r="V539" s="306">
        <f t="shared" ca="1" si="235"/>
        <v>1.2260851914937196</v>
      </c>
      <c r="W539" s="304">
        <f t="shared" ca="1" si="236"/>
        <v>23.554200074448147</v>
      </c>
      <c r="Y539" s="314" t="str">
        <f t="shared" ca="1" si="254"/>
        <v/>
      </c>
      <c r="Z539" s="315" t="str">
        <f t="shared" ca="1" si="255"/>
        <v/>
      </c>
      <c r="AA539" s="316" t="str">
        <f t="shared" ca="1" si="256"/>
        <v/>
      </c>
      <c r="AC539" s="310" t="e">
        <f t="shared" ca="1" si="257"/>
        <v>#N/A</v>
      </c>
      <c r="AD539" s="323" t="e">
        <f t="shared" ca="1" si="258"/>
        <v>#N/A</v>
      </c>
      <c r="AE539" s="324" t="e">
        <f t="shared" ca="1" si="237"/>
        <v>#N/A</v>
      </c>
      <c r="AG539" s="306">
        <f t="shared" ca="1" si="259"/>
        <v>0.71468447406011748</v>
      </c>
      <c r="AH539" s="304">
        <f t="shared" ca="1" si="260"/>
        <v>-9.07674086467369</v>
      </c>
    </row>
    <row r="540" spans="1:34" x14ac:dyDescent="0.2">
      <c r="A540" s="347">
        <f t="shared" ca="1" si="238"/>
        <v>1E-4</v>
      </c>
      <c r="B540" s="304">
        <f t="shared" ca="1" si="239"/>
        <v>32.515300000000678</v>
      </c>
      <c r="D540" s="306">
        <f t="shared" ca="1" si="240"/>
        <v>-0.55829260775844036</v>
      </c>
      <c r="E540" s="307">
        <f t="shared" ca="1" si="241"/>
        <v>-0.75042293768451707</v>
      </c>
      <c r="F540" s="304">
        <f t="shared" ca="1" si="242"/>
        <v>0.93532091887265112</v>
      </c>
      <c r="G540" s="306">
        <f t="shared" ca="1" si="243"/>
        <v>5.9575024781660577</v>
      </c>
      <c r="H540" s="307">
        <f t="shared" ca="1" si="244"/>
        <v>-96.675112181105376</v>
      </c>
      <c r="I540" s="304">
        <f t="shared" ca="1" si="245"/>
        <v>96.858500664663737</v>
      </c>
      <c r="J540" s="306">
        <f t="shared" ca="1" si="246"/>
        <v>588.9746359926213</v>
      </c>
      <c r="K540" s="307">
        <f t="shared" ca="1" si="247"/>
        <v>-8.8644514822188398</v>
      </c>
      <c r="L540" s="304">
        <f t="shared" ca="1" si="232"/>
        <v>589.04134009653467</v>
      </c>
      <c r="M540" s="306">
        <f t="shared" ca="1" si="248"/>
        <v>-1.5092502033697033</v>
      </c>
      <c r="N540" s="304">
        <f t="shared" ca="1" si="249"/>
        <v>-86.473666882345171</v>
      </c>
      <c r="P540" s="310">
        <f t="shared" ca="1" si="250"/>
        <v>23</v>
      </c>
      <c r="Q540" s="304">
        <f t="shared" ca="1" si="251"/>
        <v>0</v>
      </c>
      <c r="R540" s="306">
        <f t="shared" ca="1" si="252"/>
        <v>0</v>
      </c>
      <c r="S540" s="307">
        <f t="shared" ca="1" si="253"/>
        <v>2.5949999999999998</v>
      </c>
      <c r="T540" s="304">
        <f t="shared" ca="1" si="233"/>
        <v>25.456949999999999</v>
      </c>
      <c r="U540" s="311">
        <f t="shared" ca="1" si="234"/>
        <v>0</v>
      </c>
      <c r="V540" s="306">
        <f t="shared" ca="1" si="235"/>
        <v>1.2260863768132995</v>
      </c>
      <c r="W540" s="304">
        <f t="shared" ca="1" si="236"/>
        <v>23.554257604140634</v>
      </c>
      <c r="Y540" s="314" t="str">
        <f t="shared" ca="1" si="254"/>
        <v/>
      </c>
      <c r="Z540" s="315" t="str">
        <f t="shared" ca="1" si="255"/>
        <v/>
      </c>
      <c r="AA540" s="316" t="str">
        <f t="shared" ca="1" si="256"/>
        <v/>
      </c>
      <c r="AC540" s="310" t="e">
        <f t="shared" ca="1" si="257"/>
        <v>#N/A</v>
      </c>
      <c r="AD540" s="323" t="e">
        <f t="shared" ca="1" si="258"/>
        <v>#N/A</v>
      </c>
      <c r="AE540" s="324" t="e">
        <f t="shared" ca="1" si="237"/>
        <v>#N/A</v>
      </c>
      <c r="AG540" s="306">
        <f t="shared" ca="1" si="259"/>
        <v>0.71466268016145307</v>
      </c>
      <c r="AH540" s="304">
        <f t="shared" ca="1" si="260"/>
        <v>-9.0767630344694226</v>
      </c>
    </row>
    <row r="541" spans="1:34" x14ac:dyDescent="0.2">
      <c r="A541" s="347">
        <f t="shared" ca="1" si="238"/>
        <v>1E-4</v>
      </c>
      <c r="B541" s="304">
        <f t="shared" ca="1" si="239"/>
        <v>32.515400000000682</v>
      </c>
      <c r="D541" s="306">
        <f t="shared" ca="1" si="240"/>
        <v>-0.55828832756017788</v>
      </c>
      <c r="E541" s="307">
        <f t="shared" ca="1" si="241"/>
        <v>-0.75040046242722269</v>
      </c>
      <c r="F541" s="304">
        <f t="shared" ca="1" si="242"/>
        <v>0.93530033181910621</v>
      </c>
      <c r="G541" s="306">
        <f t="shared" ca="1" si="243"/>
        <v>5.9574466493333018</v>
      </c>
      <c r="H541" s="307">
        <f t="shared" ca="1" si="244"/>
        <v>-96.675187221151617</v>
      </c>
      <c r="I541" s="304">
        <f t="shared" ca="1" si="245"/>
        <v>96.858572128771186</v>
      </c>
      <c r="J541" s="306">
        <f t="shared" ca="1" si="246"/>
        <v>588.9746359926213</v>
      </c>
      <c r="K541" s="307">
        <f t="shared" ca="1" si="247"/>
        <v>-8.8741189971889529</v>
      </c>
      <c r="L541" s="304">
        <f t="shared" ca="1" si="232"/>
        <v>589.04148566176309</v>
      </c>
      <c r="M541" s="306">
        <f t="shared" ca="1" si="248"/>
        <v>-1.5092508263257916</v>
      </c>
      <c r="N541" s="304">
        <f t="shared" ca="1" si="249"/>
        <v>-86.47370257509985</v>
      </c>
      <c r="P541" s="310">
        <f t="shared" ca="1" si="250"/>
        <v>23</v>
      </c>
      <c r="Q541" s="304">
        <f t="shared" ca="1" si="251"/>
        <v>0</v>
      </c>
      <c r="R541" s="306">
        <f t="shared" ca="1" si="252"/>
        <v>0</v>
      </c>
      <c r="S541" s="307">
        <f t="shared" ca="1" si="253"/>
        <v>2.5949999999999998</v>
      </c>
      <c r="T541" s="304">
        <f t="shared" ca="1" si="233"/>
        <v>25.456949999999999</v>
      </c>
      <c r="U541" s="311">
        <f t="shared" ca="1" si="234"/>
        <v>0</v>
      </c>
      <c r="V541" s="306">
        <f t="shared" ca="1" si="235"/>
        <v>1.2260875621349456</v>
      </c>
      <c r="W541" s="304">
        <f t="shared" ca="1" si="236"/>
        <v>23.5543151329057</v>
      </c>
      <c r="Y541" s="314" t="str">
        <f t="shared" ca="1" si="254"/>
        <v/>
      </c>
      <c r="Z541" s="315" t="str">
        <f t="shared" ca="1" si="255"/>
        <v/>
      </c>
      <c r="AA541" s="316" t="str">
        <f t="shared" ca="1" si="256"/>
        <v/>
      </c>
      <c r="AC541" s="310" t="e">
        <f t="shared" ca="1" si="257"/>
        <v>#N/A</v>
      </c>
      <c r="AD541" s="323" t="e">
        <f t="shared" ca="1" si="258"/>
        <v>#N/A</v>
      </c>
      <c r="AE541" s="324" t="e">
        <f t="shared" ca="1" si="237"/>
        <v>#N/A</v>
      </c>
      <c r="AG541" s="306">
        <f t="shared" ca="1" si="259"/>
        <v>0.71464088661230818</v>
      </c>
      <c r="AH541" s="304">
        <f t="shared" ca="1" si="260"/>
        <v>-9.0767852039077592</v>
      </c>
    </row>
    <row r="542" spans="1:34" x14ac:dyDescent="0.2">
      <c r="A542" s="347">
        <f t="shared" ca="1" si="238"/>
        <v>1E-4</v>
      </c>
      <c r="B542" s="304">
        <f t="shared" ca="1" si="239"/>
        <v>32.515500000000685</v>
      </c>
      <c r="D542" s="306">
        <f t="shared" ca="1" si="240"/>
        <v>-0.55828404737336423</v>
      </c>
      <c r="E542" s="307">
        <f t="shared" ca="1" si="241"/>
        <v>-0.75037798753222695</v>
      </c>
      <c r="F542" s="304">
        <f t="shared" ca="1" si="242"/>
        <v>0.93527974516959345</v>
      </c>
      <c r="G542" s="306">
        <f t="shared" ca="1" si="243"/>
        <v>5.9573908209285644</v>
      </c>
      <c r="H542" s="307">
        <f t="shared" ca="1" si="244"/>
        <v>-96.675262258950369</v>
      </c>
      <c r="I542" s="304">
        <f t="shared" ca="1" si="245"/>
        <v>96.858643590699302</v>
      </c>
      <c r="J542" s="306">
        <f t="shared" ca="1" si="246"/>
        <v>588.9746359926213</v>
      </c>
      <c r="K542" s="307">
        <f t="shared" ca="1" si="247"/>
        <v>-8.8837865196629586</v>
      </c>
      <c r="L542" s="304">
        <f t="shared" ca="1" si="232"/>
        <v>589.0416313857346</v>
      </c>
      <c r="M542" s="306">
        <f t="shared" ca="1" si="248"/>
        <v>-1.5092514492751226</v>
      </c>
      <c r="N542" s="304">
        <f t="shared" ca="1" si="249"/>
        <v>-86.473738267467368</v>
      </c>
      <c r="P542" s="310">
        <f t="shared" ca="1" si="250"/>
        <v>23</v>
      </c>
      <c r="Q542" s="304">
        <f t="shared" ca="1" si="251"/>
        <v>0</v>
      </c>
      <c r="R542" s="306">
        <f t="shared" ca="1" si="252"/>
        <v>0</v>
      </c>
      <c r="S542" s="307">
        <f t="shared" ca="1" si="253"/>
        <v>2.5949999999999998</v>
      </c>
      <c r="T542" s="304">
        <f t="shared" ca="1" si="233"/>
        <v>25.456949999999999</v>
      </c>
      <c r="U542" s="311">
        <f t="shared" ca="1" si="234"/>
        <v>0</v>
      </c>
      <c r="V542" s="306">
        <f t="shared" ca="1" si="235"/>
        <v>1.2260887474586584</v>
      </c>
      <c r="W542" s="304">
        <f t="shared" ca="1" si="236"/>
        <v>23.554372660743372</v>
      </c>
      <c r="Y542" s="314" t="str">
        <f t="shared" ca="1" si="254"/>
        <v/>
      </c>
      <c r="Z542" s="315" t="str">
        <f t="shared" ca="1" si="255"/>
        <v/>
      </c>
      <c r="AA542" s="316" t="str">
        <f t="shared" ca="1" si="256"/>
        <v/>
      </c>
      <c r="AC542" s="310" t="e">
        <f t="shared" ca="1" si="257"/>
        <v>#N/A</v>
      </c>
      <c r="AD542" s="323" t="e">
        <f t="shared" ca="1" si="258"/>
        <v>#N/A</v>
      </c>
      <c r="AE542" s="324" t="e">
        <f t="shared" ca="1" si="237"/>
        <v>#N/A</v>
      </c>
      <c r="AG542" s="306">
        <f t="shared" ca="1" si="259"/>
        <v>0.71461909341267038</v>
      </c>
      <c r="AH542" s="304">
        <f t="shared" ca="1" si="260"/>
        <v>-9.0768073729887107</v>
      </c>
    </row>
    <row r="543" spans="1:34" x14ac:dyDescent="0.2">
      <c r="A543" s="347">
        <f t="shared" ca="1" si="238"/>
        <v>1E-4</v>
      </c>
      <c r="B543" s="304">
        <f t="shared" ca="1" si="239"/>
        <v>32.515600000000688</v>
      </c>
      <c r="D543" s="306">
        <f t="shared" ca="1" si="240"/>
        <v>-0.55827976719800287</v>
      </c>
      <c r="E543" s="307">
        <f t="shared" ca="1" si="241"/>
        <v>-0.75035551299952274</v>
      </c>
      <c r="F543" s="304">
        <f t="shared" ca="1" si="242"/>
        <v>0.93525915892410971</v>
      </c>
      <c r="G543" s="306">
        <f t="shared" ca="1" si="243"/>
        <v>5.9573349929518447</v>
      </c>
      <c r="H543" s="307">
        <f t="shared" ca="1" si="244"/>
        <v>-96.675337294501674</v>
      </c>
      <c r="I543" s="304">
        <f t="shared" ca="1" si="245"/>
        <v>96.858715050448168</v>
      </c>
      <c r="J543" s="306">
        <f t="shared" ca="1" si="246"/>
        <v>588.9746359926213</v>
      </c>
      <c r="K543" s="307">
        <f t="shared" ca="1" si="247"/>
        <v>-8.8934540496406314</v>
      </c>
      <c r="L543" s="304">
        <f t="shared" ca="1" si="232"/>
        <v>589.04177726844966</v>
      </c>
      <c r="M543" s="306">
        <f t="shared" ca="1" si="248"/>
        <v>-1.5092520722176965</v>
      </c>
      <c r="N543" s="304">
        <f t="shared" ca="1" si="249"/>
        <v>-86.47377395944774</v>
      </c>
      <c r="P543" s="310">
        <f t="shared" ca="1" si="250"/>
        <v>23</v>
      </c>
      <c r="Q543" s="304">
        <f t="shared" ca="1" si="251"/>
        <v>0</v>
      </c>
      <c r="R543" s="306">
        <f t="shared" ca="1" si="252"/>
        <v>0</v>
      </c>
      <c r="S543" s="307">
        <f t="shared" ca="1" si="253"/>
        <v>2.5949999999999998</v>
      </c>
      <c r="T543" s="304">
        <f t="shared" ca="1" si="233"/>
        <v>25.456949999999999</v>
      </c>
      <c r="U543" s="311">
        <f t="shared" ca="1" si="234"/>
        <v>0</v>
      </c>
      <c r="V543" s="306">
        <f t="shared" ca="1" si="235"/>
        <v>1.2260899327844379</v>
      </c>
      <c r="W543" s="304">
        <f t="shared" ca="1" si="236"/>
        <v>23.554430187653676</v>
      </c>
      <c r="Y543" s="314" t="str">
        <f t="shared" ca="1" si="254"/>
        <v/>
      </c>
      <c r="Z543" s="315" t="str">
        <f t="shared" ca="1" si="255"/>
        <v/>
      </c>
      <c r="AA543" s="316" t="str">
        <f t="shared" ca="1" si="256"/>
        <v/>
      </c>
      <c r="AC543" s="310" t="e">
        <f t="shared" ca="1" si="257"/>
        <v>#N/A</v>
      </c>
      <c r="AD543" s="323" t="e">
        <f t="shared" ca="1" si="258"/>
        <v>#N/A</v>
      </c>
      <c r="AE543" s="324" t="e">
        <f t="shared" ca="1" si="237"/>
        <v>#N/A</v>
      </c>
      <c r="AG543" s="306">
        <f t="shared" ca="1" si="259"/>
        <v>0.7145973005625379</v>
      </c>
      <c r="AH543" s="304">
        <f t="shared" ca="1" si="260"/>
        <v>-9.0768295417122822</v>
      </c>
    </row>
    <row r="544" spans="1:34" x14ac:dyDescent="0.2">
      <c r="A544" s="347">
        <f t="shared" ca="1" si="238"/>
        <v>1E-4</v>
      </c>
      <c r="B544" s="304">
        <f t="shared" ca="1" si="239"/>
        <v>32.515700000000692</v>
      </c>
      <c r="D544" s="306">
        <f t="shared" ca="1" si="240"/>
        <v>-0.5582754870340938</v>
      </c>
      <c r="E544" s="307">
        <f t="shared" ca="1" si="241"/>
        <v>-0.75033303882909763</v>
      </c>
      <c r="F544" s="304">
        <f t="shared" ca="1" si="242"/>
        <v>0.93523857308264546</v>
      </c>
      <c r="G544" s="306">
        <f t="shared" ca="1" si="243"/>
        <v>5.9572791654031416</v>
      </c>
      <c r="H544" s="307">
        <f t="shared" ca="1" si="244"/>
        <v>-96.67541232780556</v>
      </c>
      <c r="I544" s="304">
        <f t="shared" ca="1" si="245"/>
        <v>96.858786508017772</v>
      </c>
      <c r="J544" s="306">
        <f t="shared" ca="1" si="246"/>
        <v>588.9746359926213</v>
      </c>
      <c r="K544" s="307">
        <f t="shared" ca="1" si="247"/>
        <v>-8.9031215871217473</v>
      </c>
      <c r="L544" s="304">
        <f t="shared" ca="1" si="232"/>
        <v>589.04192330990827</v>
      </c>
      <c r="M544" s="306">
        <f t="shared" ca="1" si="248"/>
        <v>-1.5092526951535139</v>
      </c>
      <c r="N544" s="304">
        <f t="shared" ca="1" si="249"/>
        <v>-86.47380965104098</v>
      </c>
      <c r="P544" s="310">
        <f t="shared" ca="1" si="250"/>
        <v>23</v>
      </c>
      <c r="Q544" s="304">
        <f t="shared" ca="1" si="251"/>
        <v>0</v>
      </c>
      <c r="R544" s="306">
        <f t="shared" ca="1" si="252"/>
        <v>0</v>
      </c>
      <c r="S544" s="307">
        <f t="shared" ca="1" si="253"/>
        <v>2.5949999999999998</v>
      </c>
      <c r="T544" s="304">
        <f t="shared" ca="1" si="233"/>
        <v>25.456949999999999</v>
      </c>
      <c r="U544" s="311">
        <f t="shared" ca="1" si="234"/>
        <v>0</v>
      </c>
      <c r="V544" s="306">
        <f t="shared" ca="1" si="235"/>
        <v>1.2260911181122836</v>
      </c>
      <c r="W544" s="304">
        <f t="shared" ca="1" si="236"/>
        <v>23.554487713636593</v>
      </c>
      <c r="Y544" s="314" t="str">
        <f t="shared" ca="1" si="254"/>
        <v/>
      </c>
      <c r="Z544" s="315" t="str">
        <f t="shared" ca="1" si="255"/>
        <v/>
      </c>
      <c r="AA544" s="316" t="str">
        <f t="shared" ca="1" si="256"/>
        <v/>
      </c>
      <c r="AC544" s="310" t="e">
        <f t="shared" ca="1" si="257"/>
        <v>#N/A</v>
      </c>
      <c r="AD544" s="323" t="e">
        <f t="shared" ca="1" si="258"/>
        <v>#N/A</v>
      </c>
      <c r="AE544" s="324" t="e">
        <f t="shared" ca="1" si="237"/>
        <v>#N/A</v>
      </c>
      <c r="AG544" s="306">
        <f t="shared" ca="1" si="259"/>
        <v>0.71457550806189118</v>
      </c>
      <c r="AH544" s="304">
        <f t="shared" ca="1" si="260"/>
        <v>-9.076851710078488</v>
      </c>
    </row>
    <row r="545" spans="1:34" x14ac:dyDescent="0.2">
      <c r="A545" s="347">
        <f t="shared" ca="1" si="238"/>
        <v>1E-4</v>
      </c>
      <c r="B545" s="304">
        <f t="shared" ca="1" si="239"/>
        <v>32.515800000000695</v>
      </c>
      <c r="D545" s="306">
        <f t="shared" ca="1" si="240"/>
        <v>-0.55827120688163356</v>
      </c>
      <c r="E545" s="307">
        <f t="shared" ca="1" si="241"/>
        <v>-0.7503105650209605</v>
      </c>
      <c r="F545" s="304">
        <f t="shared" ca="1" si="242"/>
        <v>0.93521798764520603</v>
      </c>
      <c r="G545" s="306">
        <f t="shared" ca="1" si="243"/>
        <v>5.9572233382824535</v>
      </c>
      <c r="H545" s="307">
        <f t="shared" ca="1" si="244"/>
        <v>-96.675487358862057</v>
      </c>
      <c r="I545" s="304">
        <f t="shared" ca="1" si="245"/>
        <v>96.858857963408155</v>
      </c>
      <c r="J545" s="306">
        <f t="shared" ca="1" si="246"/>
        <v>588.9746359926213</v>
      </c>
      <c r="K545" s="307">
        <f t="shared" ca="1" si="247"/>
        <v>-8.9127891321060808</v>
      </c>
      <c r="L545" s="304">
        <f t="shared" ca="1" si="232"/>
        <v>589.04206951011076</v>
      </c>
      <c r="M545" s="306">
        <f t="shared" ca="1" si="248"/>
        <v>-1.5092533180825742</v>
      </c>
      <c r="N545" s="304">
        <f t="shared" ca="1" si="249"/>
        <v>-86.473845342247074</v>
      </c>
      <c r="P545" s="310">
        <f t="shared" ca="1" si="250"/>
        <v>23</v>
      </c>
      <c r="Q545" s="304">
        <f t="shared" ca="1" si="251"/>
        <v>0</v>
      </c>
      <c r="R545" s="306">
        <f t="shared" ca="1" si="252"/>
        <v>0</v>
      </c>
      <c r="S545" s="307">
        <f t="shared" ca="1" si="253"/>
        <v>2.5949999999999998</v>
      </c>
      <c r="T545" s="304">
        <f t="shared" ca="1" si="233"/>
        <v>25.456949999999999</v>
      </c>
      <c r="U545" s="311">
        <f t="shared" ca="1" si="234"/>
        <v>0</v>
      </c>
      <c r="V545" s="306">
        <f t="shared" ca="1" si="235"/>
        <v>1.2260923034421958</v>
      </c>
      <c r="W545" s="304">
        <f t="shared" ca="1" si="236"/>
        <v>23.554545238692143</v>
      </c>
      <c r="Y545" s="314" t="str">
        <f t="shared" ca="1" si="254"/>
        <v/>
      </c>
      <c r="Z545" s="315" t="str">
        <f t="shared" ca="1" si="255"/>
        <v/>
      </c>
      <c r="AA545" s="316" t="str">
        <f t="shared" ca="1" si="256"/>
        <v/>
      </c>
      <c r="AC545" s="310" t="e">
        <f t="shared" ca="1" si="257"/>
        <v>#N/A</v>
      </c>
      <c r="AD545" s="323" t="e">
        <f t="shared" ca="1" si="258"/>
        <v>#N/A</v>
      </c>
      <c r="AE545" s="324" t="e">
        <f t="shared" ca="1" si="237"/>
        <v>#N/A</v>
      </c>
      <c r="AG545" s="306">
        <f t="shared" ca="1" si="259"/>
        <v>0.71455371591074446</v>
      </c>
      <c r="AH545" s="304">
        <f t="shared" ca="1" si="260"/>
        <v>-9.0768738780873193</v>
      </c>
    </row>
    <row r="546" spans="1:34" x14ac:dyDescent="0.2">
      <c r="A546" s="347">
        <f t="shared" ca="1" si="238"/>
        <v>1E-4</v>
      </c>
      <c r="B546" s="304">
        <f t="shared" ca="1" si="239"/>
        <v>32.515900000000698</v>
      </c>
      <c r="D546" s="306">
        <f t="shared" ca="1" si="240"/>
        <v>-0.55826692674062772</v>
      </c>
      <c r="E546" s="307">
        <f t="shared" ca="1" si="241"/>
        <v>-0.7502880915750989</v>
      </c>
      <c r="F546" s="304">
        <f t="shared" ca="1" si="242"/>
        <v>0.93519740261178519</v>
      </c>
      <c r="G546" s="306">
        <f t="shared" ca="1" si="243"/>
        <v>5.9571675115897795</v>
      </c>
      <c r="H546" s="307">
        <f t="shared" ca="1" si="244"/>
        <v>-96.675562387671221</v>
      </c>
      <c r="I546" s="304">
        <f t="shared" ca="1" si="245"/>
        <v>96.858929416619361</v>
      </c>
      <c r="J546" s="306">
        <f t="shared" ca="1" si="246"/>
        <v>588.9746359926213</v>
      </c>
      <c r="K546" s="307">
        <f t="shared" ca="1" si="247"/>
        <v>-8.9224566845934081</v>
      </c>
      <c r="L546" s="304">
        <f t="shared" ca="1" si="232"/>
        <v>589.04221586905737</v>
      </c>
      <c r="M546" s="306">
        <f t="shared" ca="1" si="248"/>
        <v>-1.509253941004878</v>
      </c>
      <c r="N546" s="304">
        <f t="shared" ca="1" si="249"/>
        <v>-86.47388103306605</v>
      </c>
      <c r="P546" s="310">
        <f t="shared" ca="1" si="250"/>
        <v>23</v>
      </c>
      <c r="Q546" s="304">
        <f t="shared" ca="1" si="251"/>
        <v>0</v>
      </c>
      <c r="R546" s="306">
        <f t="shared" ca="1" si="252"/>
        <v>0</v>
      </c>
      <c r="S546" s="307">
        <f t="shared" ca="1" si="253"/>
        <v>2.5949999999999998</v>
      </c>
      <c r="T546" s="304">
        <f t="shared" ca="1" si="233"/>
        <v>25.456949999999999</v>
      </c>
      <c r="U546" s="311">
        <f t="shared" ca="1" si="234"/>
        <v>0</v>
      </c>
      <c r="V546" s="306">
        <f t="shared" ca="1" si="235"/>
        <v>1.2260934887741741</v>
      </c>
      <c r="W546" s="304">
        <f t="shared" ca="1" si="236"/>
        <v>23.554602762820338</v>
      </c>
      <c r="Y546" s="314" t="str">
        <f t="shared" ca="1" si="254"/>
        <v/>
      </c>
      <c r="Z546" s="315" t="str">
        <f t="shared" ca="1" si="255"/>
        <v/>
      </c>
      <c r="AA546" s="316" t="str">
        <f t="shared" ca="1" si="256"/>
        <v/>
      </c>
      <c r="AC546" s="310" t="e">
        <f t="shared" ca="1" si="257"/>
        <v>#N/A</v>
      </c>
      <c r="AD546" s="323" t="e">
        <f t="shared" ca="1" si="258"/>
        <v>#N/A</v>
      </c>
      <c r="AE546" s="324" t="e">
        <f t="shared" ca="1" si="237"/>
        <v>#N/A</v>
      </c>
      <c r="AG546" s="306">
        <f t="shared" ca="1" si="259"/>
        <v>0.71453192410908706</v>
      </c>
      <c r="AH546" s="304">
        <f t="shared" ca="1" si="260"/>
        <v>-9.0768960457387848</v>
      </c>
    </row>
    <row r="547" spans="1:34" x14ac:dyDescent="0.2">
      <c r="A547" s="347">
        <f t="shared" ca="1" si="238"/>
        <v>1E-4</v>
      </c>
      <c r="B547" s="304">
        <f t="shared" ca="1" si="239"/>
        <v>32.516000000000702</v>
      </c>
      <c r="D547" s="306">
        <f t="shared" ca="1" si="240"/>
        <v>-0.55826264661107372</v>
      </c>
      <c r="E547" s="307">
        <f t="shared" ca="1" si="241"/>
        <v>-0.75026561849151641</v>
      </c>
      <c r="F547" s="304">
        <f t="shared" ca="1" si="242"/>
        <v>0.93517681798238472</v>
      </c>
      <c r="G547" s="306">
        <f t="shared" ca="1" si="243"/>
        <v>5.9571116853251187</v>
      </c>
      <c r="H547" s="307">
        <f t="shared" ca="1" si="244"/>
        <v>-96.675637414233066</v>
      </c>
      <c r="I547" s="304">
        <f t="shared" ca="1" si="245"/>
        <v>96.859000867651417</v>
      </c>
      <c r="J547" s="306">
        <f t="shared" ca="1" si="246"/>
        <v>588.9746359926213</v>
      </c>
      <c r="K547" s="307">
        <f t="shared" ca="1" si="247"/>
        <v>-8.9321242445835036</v>
      </c>
      <c r="L547" s="304">
        <f t="shared" ca="1" si="232"/>
        <v>589.04236238674844</v>
      </c>
      <c r="M547" s="306">
        <f t="shared" ca="1" si="248"/>
        <v>-1.5092545639204251</v>
      </c>
      <c r="N547" s="304">
        <f t="shared" ca="1" si="249"/>
        <v>-86.473916723497894</v>
      </c>
      <c r="P547" s="310">
        <f t="shared" ca="1" si="250"/>
        <v>23</v>
      </c>
      <c r="Q547" s="304">
        <f t="shared" ca="1" si="251"/>
        <v>0</v>
      </c>
      <c r="R547" s="306">
        <f t="shared" ca="1" si="252"/>
        <v>0</v>
      </c>
      <c r="S547" s="307">
        <f t="shared" ca="1" si="253"/>
        <v>2.5949999999999998</v>
      </c>
      <c r="T547" s="304">
        <f t="shared" ca="1" si="233"/>
        <v>25.456949999999999</v>
      </c>
      <c r="U547" s="311">
        <f t="shared" ca="1" si="234"/>
        <v>0</v>
      </c>
      <c r="V547" s="306">
        <f t="shared" ca="1" si="235"/>
        <v>1.2260946741082186</v>
      </c>
      <c r="W547" s="304">
        <f t="shared" ca="1" si="236"/>
        <v>23.554660286021182</v>
      </c>
      <c r="Y547" s="314" t="str">
        <f t="shared" ca="1" si="254"/>
        <v/>
      </c>
      <c r="Z547" s="315" t="str">
        <f t="shared" ca="1" si="255"/>
        <v/>
      </c>
      <c r="AA547" s="316" t="str">
        <f t="shared" ca="1" si="256"/>
        <v/>
      </c>
      <c r="AC547" s="310" t="e">
        <f t="shared" ca="1" si="257"/>
        <v>#N/A</v>
      </c>
      <c r="AD547" s="323" t="e">
        <f t="shared" ca="1" si="258"/>
        <v>#N/A</v>
      </c>
      <c r="AE547" s="324" t="e">
        <f t="shared" ca="1" si="237"/>
        <v>#N/A</v>
      </c>
      <c r="AG547" s="306">
        <f t="shared" ca="1" si="259"/>
        <v>0.71451013265691721</v>
      </c>
      <c r="AH547" s="304">
        <f t="shared" ca="1" si="260"/>
        <v>-9.0769182130328865</v>
      </c>
    </row>
    <row r="548" spans="1:34" x14ac:dyDescent="0.2">
      <c r="A548" s="347">
        <f t="shared" ca="1" si="238"/>
        <v>1E-4</v>
      </c>
      <c r="B548" s="304">
        <f t="shared" ca="1" si="239"/>
        <v>32.516100000000705</v>
      </c>
      <c r="D548" s="306">
        <f t="shared" ca="1" si="240"/>
        <v>-0.55825836649297267</v>
      </c>
      <c r="E548" s="307">
        <f t="shared" ca="1" si="241"/>
        <v>-0.75024314577020412</v>
      </c>
      <c r="F548" s="304">
        <f t="shared" ca="1" si="242"/>
        <v>0.93515623375699841</v>
      </c>
      <c r="G548" s="306">
        <f t="shared" ca="1" si="243"/>
        <v>5.9570558594884693</v>
      </c>
      <c r="H548" s="307">
        <f t="shared" ca="1" si="244"/>
        <v>-96.675712438547649</v>
      </c>
      <c r="I548" s="304">
        <f t="shared" ca="1" si="245"/>
        <v>96.859072316504367</v>
      </c>
      <c r="J548" s="306">
        <f t="shared" ca="1" si="246"/>
        <v>588.9746359926213</v>
      </c>
      <c r="K548" s="307">
        <f t="shared" ca="1" si="247"/>
        <v>-8.9417918120761435</v>
      </c>
      <c r="L548" s="304">
        <f t="shared" ca="1" si="232"/>
        <v>589.04250906318407</v>
      </c>
      <c r="M548" s="306">
        <f t="shared" ca="1" si="248"/>
        <v>-1.5092551868292157</v>
      </c>
      <c r="N548" s="304">
        <f t="shared" ca="1" si="249"/>
        <v>-86.473952413542605</v>
      </c>
      <c r="P548" s="310">
        <f t="shared" ca="1" si="250"/>
        <v>23</v>
      </c>
      <c r="Q548" s="304">
        <f t="shared" ca="1" si="251"/>
        <v>0</v>
      </c>
      <c r="R548" s="306">
        <f t="shared" ca="1" si="252"/>
        <v>0</v>
      </c>
      <c r="S548" s="307">
        <f t="shared" ca="1" si="253"/>
        <v>2.5949999999999998</v>
      </c>
      <c r="T548" s="304">
        <f t="shared" ca="1" si="233"/>
        <v>25.456949999999999</v>
      </c>
      <c r="U548" s="311">
        <f t="shared" ca="1" si="234"/>
        <v>0</v>
      </c>
      <c r="V548" s="306">
        <f t="shared" ca="1" si="235"/>
        <v>1.2260958594443296</v>
      </c>
      <c r="W548" s="304">
        <f t="shared" ca="1" si="236"/>
        <v>23.554717808294701</v>
      </c>
      <c r="Y548" s="314" t="str">
        <f t="shared" ca="1" si="254"/>
        <v/>
      </c>
      <c r="Z548" s="315" t="str">
        <f t="shared" ca="1" si="255"/>
        <v/>
      </c>
      <c r="AA548" s="316" t="str">
        <f t="shared" ca="1" si="256"/>
        <v/>
      </c>
      <c r="AC548" s="310" t="e">
        <f t="shared" ca="1" si="257"/>
        <v>#N/A</v>
      </c>
      <c r="AD548" s="323" t="e">
        <f t="shared" ca="1" si="258"/>
        <v>#N/A</v>
      </c>
      <c r="AE548" s="324" t="e">
        <f t="shared" ca="1" si="237"/>
        <v>#N/A</v>
      </c>
      <c r="AG548" s="306">
        <f t="shared" ca="1" si="259"/>
        <v>0.71448834155423135</v>
      </c>
      <c r="AH548" s="304">
        <f t="shared" ca="1" si="260"/>
        <v>-9.0769403799696278</v>
      </c>
    </row>
    <row r="549" spans="1:34" x14ac:dyDescent="0.2">
      <c r="A549" s="347">
        <f t="shared" ca="1" si="238"/>
        <v>1E-4</v>
      </c>
      <c r="B549" s="304">
        <f t="shared" ca="1" si="239"/>
        <v>32.516200000000708</v>
      </c>
      <c r="D549" s="306">
        <f t="shared" ca="1" si="240"/>
        <v>-0.55825408638632645</v>
      </c>
      <c r="E549" s="307">
        <f t="shared" ca="1" si="241"/>
        <v>-0.75022067341115672</v>
      </c>
      <c r="F549" s="304">
        <f t="shared" ca="1" si="242"/>
        <v>0.93513564993562381</v>
      </c>
      <c r="G549" s="306">
        <f t="shared" ca="1" si="243"/>
        <v>5.9570000340798304</v>
      </c>
      <c r="H549" s="307">
        <f t="shared" ca="1" si="244"/>
        <v>-96.675787460614984</v>
      </c>
      <c r="I549" s="304">
        <f t="shared" ca="1" si="245"/>
        <v>96.859143763178224</v>
      </c>
      <c r="J549" s="306">
        <f t="shared" ca="1" si="246"/>
        <v>588.9746359926213</v>
      </c>
      <c r="K549" s="307">
        <f t="shared" ca="1" si="247"/>
        <v>-8.9514593870711021</v>
      </c>
      <c r="L549" s="304">
        <f t="shared" ca="1" si="232"/>
        <v>589.04265589836461</v>
      </c>
      <c r="M549" s="306">
        <f t="shared" ca="1" si="248"/>
        <v>-1.5092558097312498</v>
      </c>
      <c r="N549" s="304">
        <f t="shared" ca="1" si="249"/>
        <v>-86.473988103200213</v>
      </c>
      <c r="P549" s="310">
        <f t="shared" ca="1" si="250"/>
        <v>23</v>
      </c>
      <c r="Q549" s="304">
        <f t="shared" ca="1" si="251"/>
        <v>0</v>
      </c>
      <c r="R549" s="306">
        <f t="shared" ca="1" si="252"/>
        <v>0</v>
      </c>
      <c r="S549" s="307">
        <f t="shared" ca="1" si="253"/>
        <v>2.5949999999999998</v>
      </c>
      <c r="T549" s="304">
        <f t="shared" ca="1" si="233"/>
        <v>25.456949999999999</v>
      </c>
      <c r="U549" s="311">
        <f t="shared" ca="1" si="234"/>
        <v>0</v>
      </c>
      <c r="V549" s="306">
        <f t="shared" ca="1" si="235"/>
        <v>1.226097044782507</v>
      </c>
      <c r="W549" s="304">
        <f t="shared" ca="1" si="236"/>
        <v>23.554775329640897</v>
      </c>
      <c r="Y549" s="314" t="str">
        <f t="shared" ca="1" si="254"/>
        <v/>
      </c>
      <c r="Z549" s="315" t="str">
        <f t="shared" ca="1" si="255"/>
        <v/>
      </c>
      <c r="AA549" s="316" t="str">
        <f t="shared" ca="1" si="256"/>
        <v/>
      </c>
      <c r="AC549" s="310" t="e">
        <f t="shared" ca="1" si="257"/>
        <v>#N/A</v>
      </c>
      <c r="AD549" s="323" t="e">
        <f t="shared" ca="1" si="258"/>
        <v>#N/A</v>
      </c>
      <c r="AE549" s="324" t="e">
        <f t="shared" ca="1" si="237"/>
        <v>#N/A</v>
      </c>
      <c r="AG549" s="306">
        <f t="shared" ca="1" si="259"/>
        <v>0.71446655080102239</v>
      </c>
      <c r="AH549" s="304">
        <f t="shared" ca="1" si="260"/>
        <v>-9.0769625465490176</v>
      </c>
    </row>
    <row r="550" spans="1:34" x14ac:dyDescent="0.2">
      <c r="A550" s="347">
        <f t="shared" ca="1" si="238"/>
        <v>1E-4</v>
      </c>
      <c r="B550" s="304">
        <f t="shared" ca="1" si="239"/>
        <v>32.516300000000712</v>
      </c>
      <c r="D550" s="306">
        <f t="shared" ca="1" si="240"/>
        <v>-0.55824980629113419</v>
      </c>
      <c r="E550" s="307">
        <f t="shared" ca="1" si="241"/>
        <v>-0.75019820141437066</v>
      </c>
      <c r="F550" s="304">
        <f t="shared" ca="1" si="242"/>
        <v>0.9351150665182576</v>
      </c>
      <c r="G550" s="306">
        <f t="shared" ca="1" si="243"/>
        <v>5.9569442090992011</v>
      </c>
      <c r="H550" s="307">
        <f t="shared" ca="1" si="244"/>
        <v>-96.675862480435129</v>
      </c>
      <c r="I550" s="304">
        <f t="shared" ca="1" si="245"/>
        <v>96.859215207673074</v>
      </c>
      <c r="J550" s="306">
        <f t="shared" ca="1" si="246"/>
        <v>588.9746359926213</v>
      </c>
      <c r="K550" s="307">
        <f t="shared" ca="1" si="247"/>
        <v>-8.9611269695681539</v>
      </c>
      <c r="L550" s="304">
        <f t="shared" ca="1" si="232"/>
        <v>589.04280289229018</v>
      </c>
      <c r="M550" s="306">
        <f t="shared" ca="1" si="248"/>
        <v>-1.5092564326265279</v>
      </c>
      <c r="N550" s="304">
        <f t="shared" ca="1" si="249"/>
        <v>-86.474023792470732</v>
      </c>
      <c r="P550" s="310">
        <f t="shared" ca="1" si="250"/>
        <v>23</v>
      </c>
      <c r="Q550" s="304">
        <f t="shared" ca="1" si="251"/>
        <v>0</v>
      </c>
      <c r="R550" s="306">
        <f t="shared" ca="1" si="252"/>
        <v>0</v>
      </c>
      <c r="S550" s="307">
        <f t="shared" ca="1" si="253"/>
        <v>2.5949999999999998</v>
      </c>
      <c r="T550" s="304">
        <f t="shared" ca="1" si="233"/>
        <v>25.456949999999999</v>
      </c>
      <c r="U550" s="311">
        <f t="shared" ca="1" si="234"/>
        <v>0</v>
      </c>
      <c r="V550" s="306">
        <f t="shared" ca="1" si="235"/>
        <v>1.2260982301227508</v>
      </c>
      <c r="W550" s="304">
        <f t="shared" ca="1" si="236"/>
        <v>23.5548328500598</v>
      </c>
      <c r="Y550" s="314" t="str">
        <f t="shared" ca="1" si="254"/>
        <v/>
      </c>
      <c r="Z550" s="315" t="str">
        <f t="shared" ca="1" si="255"/>
        <v/>
      </c>
      <c r="AA550" s="316" t="str">
        <f t="shared" ca="1" si="256"/>
        <v/>
      </c>
      <c r="AC550" s="310" t="e">
        <f t="shared" ca="1" si="257"/>
        <v>#N/A</v>
      </c>
      <c r="AD550" s="323" t="e">
        <f t="shared" ca="1" si="258"/>
        <v>#N/A</v>
      </c>
      <c r="AE550" s="324" t="e">
        <f t="shared" ca="1" si="237"/>
        <v>#N/A</v>
      </c>
      <c r="AG550" s="306">
        <f t="shared" ca="1" si="259"/>
        <v>0.71444476039728322</v>
      </c>
      <c r="AH550" s="304">
        <f t="shared" ca="1" si="260"/>
        <v>-9.0769847127710594</v>
      </c>
    </row>
    <row r="551" spans="1:34" x14ac:dyDescent="0.2">
      <c r="A551" s="347">
        <f t="shared" ca="1" si="238"/>
        <v>1E-4</v>
      </c>
      <c r="B551" s="304">
        <f t="shared" ca="1" si="239"/>
        <v>32.516400000000715</v>
      </c>
      <c r="D551" s="306">
        <f t="shared" ca="1" si="240"/>
        <v>-0.55824552620739576</v>
      </c>
      <c r="E551" s="307">
        <f t="shared" ca="1" si="241"/>
        <v>-0.75017572977983349</v>
      </c>
      <c r="F551" s="304">
        <f t="shared" ca="1" si="242"/>
        <v>0.93509448350489044</v>
      </c>
      <c r="G551" s="306">
        <f t="shared" ca="1" si="243"/>
        <v>5.9568883845465805</v>
      </c>
      <c r="H551" s="307">
        <f t="shared" ca="1" si="244"/>
        <v>-96.675937498008111</v>
      </c>
      <c r="I551" s="304">
        <f t="shared" ca="1" si="245"/>
        <v>96.859286649988888</v>
      </c>
      <c r="J551" s="306">
        <f t="shared" ca="1" si="246"/>
        <v>588.9746359926213</v>
      </c>
      <c r="K551" s="307">
        <f t="shared" ca="1" si="247"/>
        <v>-8.9707945595670768</v>
      </c>
      <c r="L551" s="304">
        <f t="shared" ca="1" si="232"/>
        <v>589.04295004496123</v>
      </c>
      <c r="M551" s="306">
        <f t="shared" ca="1" si="248"/>
        <v>-1.5092570555150493</v>
      </c>
      <c r="N551" s="304">
        <f t="shared" ca="1" si="249"/>
        <v>-86.474059481354118</v>
      </c>
      <c r="P551" s="310">
        <f t="shared" ca="1" si="250"/>
        <v>23</v>
      </c>
      <c r="Q551" s="304">
        <f t="shared" ca="1" si="251"/>
        <v>0</v>
      </c>
      <c r="R551" s="306">
        <f t="shared" ca="1" si="252"/>
        <v>0</v>
      </c>
      <c r="S551" s="307">
        <f t="shared" ca="1" si="253"/>
        <v>2.5949999999999998</v>
      </c>
      <c r="T551" s="304">
        <f t="shared" ca="1" si="233"/>
        <v>25.456949999999999</v>
      </c>
      <c r="U551" s="311">
        <f t="shared" ca="1" si="234"/>
        <v>0</v>
      </c>
      <c r="V551" s="306">
        <f t="shared" ca="1" si="235"/>
        <v>1.2260994154650604</v>
      </c>
      <c r="W551" s="304">
        <f t="shared" ca="1" si="236"/>
        <v>23.554890369551384</v>
      </c>
      <c r="Y551" s="314" t="str">
        <f t="shared" ca="1" si="254"/>
        <v/>
      </c>
      <c r="Z551" s="315" t="str">
        <f t="shared" ca="1" si="255"/>
        <v/>
      </c>
      <c r="AA551" s="316" t="str">
        <f t="shared" ca="1" si="256"/>
        <v/>
      </c>
      <c r="AC551" s="310" t="e">
        <f t="shared" ca="1" si="257"/>
        <v>#N/A</v>
      </c>
      <c r="AD551" s="323" t="e">
        <f t="shared" ca="1" si="258"/>
        <v>#N/A</v>
      </c>
      <c r="AE551" s="324" t="e">
        <f t="shared" ca="1" si="237"/>
        <v>#N/A</v>
      </c>
      <c r="AG551" s="306">
        <f t="shared" ca="1" si="259"/>
        <v>0.71442297034301028</v>
      </c>
      <c r="AH551" s="304">
        <f t="shared" ca="1" si="260"/>
        <v>-9.0770068786357623</v>
      </c>
    </row>
    <row r="552" spans="1:34" x14ac:dyDescent="0.2">
      <c r="A552" s="347">
        <f t="shared" ca="1" si="238"/>
        <v>1E-4</v>
      </c>
      <c r="B552" s="304">
        <f t="shared" ca="1" si="239"/>
        <v>32.516500000000718</v>
      </c>
      <c r="D552" s="306">
        <f t="shared" ca="1" si="240"/>
        <v>-0.55824124613511539</v>
      </c>
      <c r="E552" s="307">
        <f t="shared" ca="1" si="241"/>
        <v>-0.75015325850755943</v>
      </c>
      <c r="F552" s="304">
        <f t="shared" ca="1" si="242"/>
        <v>0.93507390089553655</v>
      </c>
      <c r="G552" s="306">
        <f t="shared" ca="1" si="243"/>
        <v>5.956832560421967</v>
      </c>
      <c r="H552" s="307">
        <f t="shared" ca="1" si="244"/>
        <v>-96.676012513333959</v>
      </c>
      <c r="I552" s="304">
        <f t="shared" ca="1" si="245"/>
        <v>96.859358090125738</v>
      </c>
      <c r="J552" s="306">
        <f t="shared" ca="1" si="246"/>
        <v>588.9746359926213</v>
      </c>
      <c r="K552" s="307">
        <f t="shared" ca="1" si="247"/>
        <v>-8.9804621570676435</v>
      </c>
      <c r="L552" s="304">
        <f t="shared" ca="1" si="232"/>
        <v>589.04309735637787</v>
      </c>
      <c r="M552" s="306">
        <f t="shared" ca="1" si="248"/>
        <v>-1.5092576783968148</v>
      </c>
      <c r="N552" s="304">
        <f t="shared" ca="1" si="249"/>
        <v>-86.474095169850415</v>
      </c>
      <c r="P552" s="310">
        <f t="shared" ca="1" si="250"/>
        <v>23</v>
      </c>
      <c r="Q552" s="304">
        <f t="shared" ca="1" si="251"/>
        <v>0</v>
      </c>
      <c r="R552" s="306">
        <f t="shared" ca="1" si="252"/>
        <v>0</v>
      </c>
      <c r="S552" s="307">
        <f t="shared" ca="1" si="253"/>
        <v>2.5949999999999998</v>
      </c>
      <c r="T552" s="304">
        <f t="shared" ca="1" si="233"/>
        <v>25.456949999999999</v>
      </c>
      <c r="U552" s="311">
        <f t="shared" ca="1" si="234"/>
        <v>0</v>
      </c>
      <c r="V552" s="306">
        <f t="shared" ca="1" si="235"/>
        <v>1.2261006008094371</v>
      </c>
      <c r="W552" s="304">
        <f t="shared" ca="1" si="236"/>
        <v>23.554947888115702</v>
      </c>
      <c r="Y552" s="314" t="str">
        <f t="shared" ca="1" si="254"/>
        <v/>
      </c>
      <c r="Z552" s="315" t="str">
        <f t="shared" ca="1" si="255"/>
        <v/>
      </c>
      <c r="AA552" s="316" t="str">
        <f t="shared" ca="1" si="256"/>
        <v/>
      </c>
      <c r="AC552" s="310" t="e">
        <f t="shared" ca="1" si="257"/>
        <v>#N/A</v>
      </c>
      <c r="AD552" s="323" t="e">
        <f t="shared" ca="1" si="258"/>
        <v>#N/A</v>
      </c>
      <c r="AE552" s="324" t="e">
        <f t="shared" ca="1" si="237"/>
        <v>#N/A</v>
      </c>
      <c r="AG552" s="306">
        <f t="shared" ca="1" si="259"/>
        <v>0.71440118063821068</v>
      </c>
      <c r="AH552" s="304">
        <f t="shared" ca="1" si="260"/>
        <v>-9.0770290441431154</v>
      </c>
    </row>
    <row r="553" spans="1:34" x14ac:dyDescent="0.2">
      <c r="A553" s="347">
        <f t="shared" ca="1" si="238"/>
        <v>1E-4</v>
      </c>
      <c r="B553" s="304">
        <f t="shared" ca="1" si="239"/>
        <v>32.516600000000722</v>
      </c>
      <c r="D553" s="306">
        <f t="shared" ca="1" si="240"/>
        <v>-0.55823696607428985</v>
      </c>
      <c r="E553" s="307">
        <f t="shared" ca="1" si="241"/>
        <v>-0.75013078759752538</v>
      </c>
      <c r="F553" s="304">
        <f t="shared" ca="1" si="242"/>
        <v>0.93505331869017583</v>
      </c>
      <c r="G553" s="306">
        <f t="shared" ca="1" si="243"/>
        <v>5.9567767367253595</v>
      </c>
      <c r="H553" s="307">
        <f t="shared" ca="1" si="244"/>
        <v>-96.676087526412715</v>
      </c>
      <c r="I553" s="304">
        <f t="shared" ca="1" si="245"/>
        <v>96.859429528083652</v>
      </c>
      <c r="J553" s="306">
        <f t="shared" ca="1" si="246"/>
        <v>588.9746359926213</v>
      </c>
      <c r="K553" s="307">
        <f t="shared" ca="1" si="247"/>
        <v>-8.9901297620696301</v>
      </c>
      <c r="L553" s="304">
        <f t="shared" ca="1" si="232"/>
        <v>589.04324482654033</v>
      </c>
      <c r="M553" s="306">
        <f t="shared" ca="1" si="248"/>
        <v>-1.5092583012718241</v>
      </c>
      <c r="N553" s="304">
        <f t="shared" ca="1" si="249"/>
        <v>-86.474130857959608</v>
      </c>
      <c r="P553" s="310">
        <f t="shared" ca="1" si="250"/>
        <v>23</v>
      </c>
      <c r="Q553" s="304">
        <f t="shared" ca="1" si="251"/>
        <v>0</v>
      </c>
      <c r="R553" s="306">
        <f t="shared" ca="1" si="252"/>
        <v>0</v>
      </c>
      <c r="S553" s="307">
        <f t="shared" ca="1" si="253"/>
        <v>2.5949999999999998</v>
      </c>
      <c r="T553" s="304">
        <f t="shared" ca="1" si="233"/>
        <v>25.456949999999999</v>
      </c>
      <c r="U553" s="311">
        <f t="shared" ca="1" si="234"/>
        <v>0</v>
      </c>
      <c r="V553" s="306">
        <f t="shared" ca="1" si="235"/>
        <v>1.2261017861558794</v>
      </c>
      <c r="W553" s="304">
        <f t="shared" ca="1" si="236"/>
        <v>23.555005405752734</v>
      </c>
      <c r="Y553" s="314" t="str">
        <f t="shared" ca="1" si="254"/>
        <v/>
      </c>
      <c r="Z553" s="315" t="str">
        <f t="shared" ca="1" si="255"/>
        <v/>
      </c>
      <c r="AA553" s="316" t="str">
        <f t="shared" ca="1" si="256"/>
        <v/>
      </c>
      <c r="AC553" s="310" t="e">
        <f t="shared" ca="1" si="257"/>
        <v>#N/A</v>
      </c>
      <c r="AD553" s="323" t="e">
        <f t="shared" ca="1" si="258"/>
        <v>#N/A</v>
      </c>
      <c r="AE553" s="324" t="e">
        <f t="shared" ca="1" si="237"/>
        <v>#N/A</v>
      </c>
      <c r="AG553" s="306">
        <f t="shared" ca="1" si="259"/>
        <v>0.71437939128286132</v>
      </c>
      <c r="AH553" s="304">
        <f t="shared" ca="1" si="260"/>
        <v>-9.0770512092931419</v>
      </c>
    </row>
    <row r="554" spans="1:34" x14ac:dyDescent="0.2">
      <c r="A554" s="347">
        <f t="shared" ca="1" si="238"/>
        <v>1E-4</v>
      </c>
      <c r="B554" s="304">
        <f t="shared" ca="1" si="239"/>
        <v>32.516700000000725</v>
      </c>
      <c r="D554" s="306">
        <f t="shared" ca="1" si="240"/>
        <v>-0.5582326860249216</v>
      </c>
      <c r="E554" s="307">
        <f t="shared" ca="1" si="241"/>
        <v>-0.75010831704973668</v>
      </c>
      <c r="F554" s="304">
        <f t="shared" ca="1" si="242"/>
        <v>0.9350327368888145</v>
      </c>
      <c r="G554" s="306">
        <f t="shared" ca="1" si="243"/>
        <v>5.9567209134567571</v>
      </c>
      <c r="H554" s="307">
        <f t="shared" ca="1" si="244"/>
        <v>-96.676162537244423</v>
      </c>
      <c r="I554" s="304">
        <f t="shared" ca="1" si="245"/>
        <v>96.859500963862672</v>
      </c>
      <c r="J554" s="306">
        <f t="shared" ca="1" si="246"/>
        <v>588.9746359926213</v>
      </c>
      <c r="K554" s="307">
        <f t="shared" ca="1" si="247"/>
        <v>-8.9997973745728128</v>
      </c>
      <c r="L554" s="304">
        <f t="shared" ca="1" si="232"/>
        <v>589.04339245544895</v>
      </c>
      <c r="M554" s="306">
        <f t="shared" ca="1" si="248"/>
        <v>-1.5092589241400778</v>
      </c>
      <c r="N554" s="304">
        <f t="shared" ca="1" si="249"/>
        <v>-86.47416654568174</v>
      </c>
      <c r="P554" s="310">
        <f t="shared" ca="1" si="250"/>
        <v>23</v>
      </c>
      <c r="Q554" s="304">
        <f t="shared" ca="1" si="251"/>
        <v>0</v>
      </c>
      <c r="R554" s="306">
        <f t="shared" ca="1" si="252"/>
        <v>0</v>
      </c>
      <c r="S554" s="307">
        <f t="shared" ca="1" si="253"/>
        <v>2.5949999999999998</v>
      </c>
      <c r="T554" s="304">
        <f t="shared" ca="1" si="233"/>
        <v>25.456949999999999</v>
      </c>
      <c r="U554" s="311">
        <f t="shared" ca="1" si="234"/>
        <v>0</v>
      </c>
      <c r="V554" s="306">
        <f t="shared" ca="1" si="235"/>
        <v>1.2261029715043879</v>
      </c>
      <c r="W554" s="304">
        <f t="shared" ca="1" si="236"/>
        <v>23.555062922462501</v>
      </c>
      <c r="Y554" s="314" t="str">
        <f t="shared" ca="1" si="254"/>
        <v/>
      </c>
      <c r="Z554" s="315" t="str">
        <f t="shared" ca="1" si="255"/>
        <v/>
      </c>
      <c r="AA554" s="316" t="str">
        <f t="shared" ca="1" si="256"/>
        <v/>
      </c>
      <c r="AC554" s="310" t="e">
        <f t="shared" ca="1" si="257"/>
        <v>#N/A</v>
      </c>
      <c r="AD554" s="323" t="e">
        <f t="shared" ca="1" si="258"/>
        <v>#N/A</v>
      </c>
      <c r="AE554" s="324" t="e">
        <f t="shared" ca="1" si="237"/>
        <v>#N/A</v>
      </c>
      <c r="AG554" s="306">
        <f t="shared" ca="1" si="259"/>
        <v>0.71435760227697465</v>
      </c>
      <c r="AH554" s="304">
        <f t="shared" ca="1" si="260"/>
        <v>-9.0770733740858329</v>
      </c>
    </row>
    <row r="555" spans="1:34" x14ac:dyDescent="0.2">
      <c r="A555" s="347">
        <f t="shared" ca="1" si="238"/>
        <v>1E-4</v>
      </c>
      <c r="B555" s="304">
        <f t="shared" ca="1" si="239"/>
        <v>32.516800000000728</v>
      </c>
      <c r="D555" s="306">
        <f t="shared" ca="1" si="240"/>
        <v>-0.55822840598700807</v>
      </c>
      <c r="E555" s="307">
        <f t="shared" ca="1" si="241"/>
        <v>-0.750085846864188</v>
      </c>
      <c r="F555" s="304">
        <f t="shared" ca="1" si="242"/>
        <v>0.93501215549144712</v>
      </c>
      <c r="G555" s="306">
        <f t="shared" ca="1" si="243"/>
        <v>5.9566650906161582</v>
      </c>
      <c r="H555" s="307">
        <f t="shared" ca="1" si="244"/>
        <v>-96.67623754582911</v>
      </c>
      <c r="I555" s="304">
        <f t="shared" ca="1" si="245"/>
        <v>96.859572397462827</v>
      </c>
      <c r="J555" s="306">
        <f t="shared" ca="1" si="246"/>
        <v>588.9746359926213</v>
      </c>
      <c r="K555" s="307">
        <f t="shared" ca="1" si="247"/>
        <v>-9.009464994576966</v>
      </c>
      <c r="L555" s="304">
        <f t="shared" ca="1" si="232"/>
        <v>589.04354024310396</v>
      </c>
      <c r="M555" s="306">
        <f t="shared" ca="1" si="248"/>
        <v>-1.5092595470015753</v>
      </c>
      <c r="N555" s="304">
        <f t="shared" ca="1" si="249"/>
        <v>-86.474202233016769</v>
      </c>
      <c r="P555" s="310">
        <f t="shared" ca="1" si="250"/>
        <v>23</v>
      </c>
      <c r="Q555" s="304">
        <f t="shared" ca="1" si="251"/>
        <v>0</v>
      </c>
      <c r="R555" s="306">
        <f t="shared" ca="1" si="252"/>
        <v>0</v>
      </c>
      <c r="S555" s="307">
        <f t="shared" ca="1" si="253"/>
        <v>2.5949999999999998</v>
      </c>
      <c r="T555" s="304">
        <f t="shared" ca="1" si="233"/>
        <v>25.456949999999999</v>
      </c>
      <c r="U555" s="311">
        <f t="shared" ca="1" si="234"/>
        <v>0</v>
      </c>
      <c r="V555" s="306">
        <f t="shared" ca="1" si="235"/>
        <v>1.2261041568549627</v>
      </c>
      <c r="W555" s="304">
        <f t="shared" ca="1" si="236"/>
        <v>23.555120438245034</v>
      </c>
      <c r="Y555" s="314" t="str">
        <f t="shared" ca="1" si="254"/>
        <v/>
      </c>
      <c r="Z555" s="315" t="str">
        <f t="shared" ca="1" si="255"/>
        <v/>
      </c>
      <c r="AA555" s="316" t="str">
        <f t="shared" ca="1" si="256"/>
        <v/>
      </c>
      <c r="AC555" s="310" t="e">
        <f t="shared" ca="1" si="257"/>
        <v>#N/A</v>
      </c>
      <c r="AD555" s="323" t="e">
        <f t="shared" ca="1" si="258"/>
        <v>#N/A</v>
      </c>
      <c r="AE555" s="324" t="e">
        <f t="shared" ca="1" si="237"/>
        <v>#N/A</v>
      </c>
      <c r="AG555" s="306">
        <f t="shared" ca="1" si="259"/>
        <v>0.71433581362054177</v>
      </c>
      <c r="AH555" s="304">
        <f t="shared" ca="1" si="260"/>
        <v>-9.0770955385211956</v>
      </c>
    </row>
    <row r="556" spans="1:34" x14ac:dyDescent="0.2">
      <c r="A556" s="347">
        <f t="shared" ca="1" si="238"/>
        <v>1E-4</v>
      </c>
      <c r="B556" s="304">
        <f t="shared" ca="1" si="239"/>
        <v>32.516900000000732</v>
      </c>
      <c r="D556" s="306">
        <f t="shared" ca="1" si="240"/>
        <v>-0.55822412596055548</v>
      </c>
      <c r="E556" s="307">
        <f t="shared" ca="1" si="241"/>
        <v>-0.7500633770408669</v>
      </c>
      <c r="F556" s="304">
        <f t="shared" ca="1" si="242"/>
        <v>0.9349915744980678</v>
      </c>
      <c r="G556" s="306">
        <f t="shared" ca="1" si="243"/>
        <v>5.9566092682035618</v>
      </c>
      <c r="H556" s="307">
        <f t="shared" ca="1" si="244"/>
        <v>-96.67631255216682</v>
      </c>
      <c r="I556" s="304">
        <f t="shared" ca="1" si="245"/>
        <v>96.85964382888416</v>
      </c>
      <c r="J556" s="306">
        <f t="shared" ca="1" si="246"/>
        <v>588.9746359926213</v>
      </c>
      <c r="K556" s="307">
        <f t="shared" ca="1" si="247"/>
        <v>-9.0191326220818659</v>
      </c>
      <c r="L556" s="304">
        <f t="shared" ca="1" si="232"/>
        <v>589.04368818950559</v>
      </c>
      <c r="M556" s="306">
        <f t="shared" ca="1" si="248"/>
        <v>-1.5092601698563171</v>
      </c>
      <c r="N556" s="304">
        <f t="shared" ca="1" si="249"/>
        <v>-86.474237919964722</v>
      </c>
      <c r="P556" s="310">
        <f t="shared" ca="1" si="250"/>
        <v>23</v>
      </c>
      <c r="Q556" s="304">
        <f t="shared" ca="1" si="251"/>
        <v>0</v>
      </c>
      <c r="R556" s="306">
        <f t="shared" ca="1" si="252"/>
        <v>0</v>
      </c>
      <c r="S556" s="307">
        <f t="shared" ca="1" si="253"/>
        <v>2.5949999999999998</v>
      </c>
      <c r="T556" s="304">
        <f t="shared" ca="1" si="233"/>
        <v>25.456949999999999</v>
      </c>
      <c r="U556" s="311">
        <f t="shared" ca="1" si="234"/>
        <v>0</v>
      </c>
      <c r="V556" s="306">
        <f t="shared" ca="1" si="235"/>
        <v>1.2261053422076031</v>
      </c>
      <c r="W556" s="304">
        <f t="shared" ca="1" si="236"/>
        <v>23.555177953100308</v>
      </c>
      <c r="Y556" s="314" t="str">
        <f t="shared" ca="1" si="254"/>
        <v/>
      </c>
      <c r="Z556" s="315" t="str">
        <f t="shared" ca="1" si="255"/>
        <v/>
      </c>
      <c r="AA556" s="316" t="str">
        <f t="shared" ca="1" si="256"/>
        <v/>
      </c>
      <c r="AC556" s="310" t="e">
        <f t="shared" ca="1" si="257"/>
        <v>#N/A</v>
      </c>
      <c r="AD556" s="323" t="e">
        <f t="shared" ca="1" si="258"/>
        <v>#N/A</v>
      </c>
      <c r="AE556" s="324" t="e">
        <f t="shared" ca="1" si="237"/>
        <v>#N/A</v>
      </c>
      <c r="AG556" s="306">
        <f t="shared" ca="1" si="259"/>
        <v>0.71431402531354671</v>
      </c>
      <c r="AH556" s="304">
        <f t="shared" ca="1" si="260"/>
        <v>-9.077117702599244</v>
      </c>
    </row>
    <row r="557" spans="1:34" x14ac:dyDescent="0.2">
      <c r="A557" s="347">
        <f t="shared" ca="1" si="238"/>
        <v>1E-4</v>
      </c>
      <c r="B557" s="304">
        <f t="shared" ca="1" si="239"/>
        <v>32.517000000000735</v>
      </c>
      <c r="D557" s="306">
        <f t="shared" ca="1" si="240"/>
        <v>-0.55821984594556007</v>
      </c>
      <c r="E557" s="307">
        <f t="shared" ca="1" si="241"/>
        <v>-0.75004090757978226</v>
      </c>
      <c r="F557" s="304">
        <f t="shared" ca="1" si="242"/>
        <v>0.93497099390868177</v>
      </c>
      <c r="G557" s="306">
        <f t="shared" ca="1" si="243"/>
        <v>5.9565534462189671</v>
      </c>
      <c r="H557" s="307">
        <f t="shared" ca="1" si="244"/>
        <v>-96.676387556257581</v>
      </c>
      <c r="I557" s="304">
        <f t="shared" ca="1" si="245"/>
        <v>96.859715258126684</v>
      </c>
      <c r="J557" s="306">
        <f t="shared" ca="1" si="246"/>
        <v>588.9746359926213</v>
      </c>
      <c r="K557" s="307">
        <f t="shared" ca="1" si="247"/>
        <v>-9.028800257087287</v>
      </c>
      <c r="L557" s="304">
        <f t="shared" ca="1" si="232"/>
        <v>589.04383629465394</v>
      </c>
      <c r="M557" s="306">
        <f t="shared" ca="1" si="248"/>
        <v>-1.5092607927043031</v>
      </c>
      <c r="N557" s="304">
        <f t="shared" ca="1" si="249"/>
        <v>-86.4742736065256</v>
      </c>
      <c r="P557" s="310">
        <f t="shared" ca="1" si="250"/>
        <v>23</v>
      </c>
      <c r="Q557" s="304">
        <f t="shared" ca="1" si="251"/>
        <v>0</v>
      </c>
      <c r="R557" s="306">
        <f t="shared" ca="1" si="252"/>
        <v>0</v>
      </c>
      <c r="S557" s="307">
        <f t="shared" ca="1" si="253"/>
        <v>2.5949999999999998</v>
      </c>
      <c r="T557" s="304">
        <f t="shared" ca="1" si="233"/>
        <v>25.456949999999999</v>
      </c>
      <c r="U557" s="311">
        <f t="shared" ca="1" si="234"/>
        <v>0</v>
      </c>
      <c r="V557" s="306">
        <f t="shared" ca="1" si="235"/>
        <v>1.2261065275623104</v>
      </c>
      <c r="W557" s="304">
        <f t="shared" ca="1" si="236"/>
        <v>23.555235467028364</v>
      </c>
      <c r="Y557" s="314" t="str">
        <f t="shared" ca="1" si="254"/>
        <v/>
      </c>
      <c r="Z557" s="315" t="str">
        <f t="shared" ca="1" si="255"/>
        <v/>
      </c>
      <c r="AA557" s="316" t="str">
        <f t="shared" ca="1" si="256"/>
        <v/>
      </c>
      <c r="AC557" s="310" t="e">
        <f t="shared" ca="1" si="257"/>
        <v>#N/A</v>
      </c>
      <c r="AD557" s="323" t="e">
        <f t="shared" ca="1" si="258"/>
        <v>#N/A</v>
      </c>
      <c r="AE557" s="324" t="e">
        <f t="shared" ca="1" si="237"/>
        <v>#N/A</v>
      </c>
      <c r="AG557" s="306">
        <f t="shared" ca="1" si="259"/>
        <v>0.71429223735600544</v>
      </c>
      <c r="AH557" s="304">
        <f t="shared" ca="1" si="260"/>
        <v>-9.0771398663199658</v>
      </c>
    </row>
    <row r="558" spans="1:34" x14ac:dyDescent="0.2">
      <c r="A558" s="347">
        <f t="shared" ca="1" si="238"/>
        <v>1E-4</v>
      </c>
      <c r="B558" s="304">
        <f t="shared" ca="1" si="239"/>
        <v>32.517100000000738</v>
      </c>
      <c r="D558" s="306">
        <f t="shared" ca="1" si="240"/>
        <v>-0.55821556594202415</v>
      </c>
      <c r="E558" s="307">
        <f t="shared" ca="1" si="241"/>
        <v>-0.75001843848092165</v>
      </c>
      <c r="F558" s="304">
        <f t="shared" ca="1" si="242"/>
        <v>0.93495041372328103</v>
      </c>
      <c r="G558" s="306">
        <f t="shared" ca="1" si="243"/>
        <v>5.9564976246623731</v>
      </c>
      <c r="H558" s="307">
        <f t="shared" ca="1" si="244"/>
        <v>-96.676462558101434</v>
      </c>
      <c r="I558" s="304">
        <f t="shared" ca="1" si="245"/>
        <v>96.859786685190457</v>
      </c>
      <c r="J558" s="306">
        <f t="shared" ca="1" si="246"/>
        <v>588.9746359926213</v>
      </c>
      <c r="K558" s="307">
        <f t="shared" ca="1" si="247"/>
        <v>-9.0384678995930052</v>
      </c>
      <c r="L558" s="304">
        <f t="shared" ca="1" si="232"/>
        <v>589.04398455854948</v>
      </c>
      <c r="M558" s="306">
        <f t="shared" ca="1" si="248"/>
        <v>-1.5092614155455337</v>
      </c>
      <c r="N558" s="304">
        <f t="shared" ca="1" si="249"/>
        <v>-86.474309292699417</v>
      </c>
      <c r="P558" s="310">
        <f t="shared" ca="1" si="250"/>
        <v>23</v>
      </c>
      <c r="Q558" s="304">
        <f t="shared" ca="1" si="251"/>
        <v>0</v>
      </c>
      <c r="R558" s="306">
        <f t="shared" ca="1" si="252"/>
        <v>0</v>
      </c>
      <c r="S558" s="307">
        <f t="shared" ca="1" si="253"/>
        <v>2.5949999999999998</v>
      </c>
      <c r="T558" s="304">
        <f t="shared" ca="1" si="233"/>
        <v>25.456949999999999</v>
      </c>
      <c r="U558" s="311">
        <f t="shared" ca="1" si="234"/>
        <v>0</v>
      </c>
      <c r="V558" s="306">
        <f t="shared" ca="1" si="235"/>
        <v>1.2261077129190834</v>
      </c>
      <c r="W558" s="304">
        <f t="shared" ca="1" si="236"/>
        <v>23.555292980029204</v>
      </c>
      <c r="Y558" s="314" t="str">
        <f t="shared" ca="1" si="254"/>
        <v/>
      </c>
      <c r="Z558" s="315" t="str">
        <f t="shared" ca="1" si="255"/>
        <v/>
      </c>
      <c r="AA558" s="316" t="str">
        <f t="shared" ca="1" si="256"/>
        <v/>
      </c>
      <c r="AC558" s="310" t="e">
        <f t="shared" ca="1" si="257"/>
        <v>#N/A</v>
      </c>
      <c r="AD558" s="323" t="e">
        <f t="shared" ca="1" si="258"/>
        <v>#N/A</v>
      </c>
      <c r="AE558" s="324" t="e">
        <f t="shared" ca="1" si="237"/>
        <v>#N/A</v>
      </c>
      <c r="AG558" s="306">
        <f t="shared" ca="1" si="259"/>
        <v>0.71427044974789844</v>
      </c>
      <c r="AH558" s="304">
        <f t="shared" ca="1" si="260"/>
        <v>-9.0771620296833788</v>
      </c>
    </row>
    <row r="559" spans="1:34" x14ac:dyDescent="0.2">
      <c r="A559" s="347">
        <f t="shared" ca="1" si="238"/>
        <v>1E-4</v>
      </c>
      <c r="B559" s="304">
        <f t="shared" ca="1" si="239"/>
        <v>32.517200000000742</v>
      </c>
      <c r="D559" s="306">
        <f t="shared" ca="1" si="240"/>
        <v>-0.55821128594994662</v>
      </c>
      <c r="E559" s="307">
        <f t="shared" ca="1" si="241"/>
        <v>-0.74999596974427796</v>
      </c>
      <c r="F559" s="304">
        <f t="shared" ca="1" si="242"/>
        <v>0.93492983394185958</v>
      </c>
      <c r="G559" s="306">
        <f t="shared" ca="1" si="243"/>
        <v>5.9564418035337781</v>
      </c>
      <c r="H559" s="307">
        <f t="shared" ca="1" si="244"/>
        <v>-96.67653755769841</v>
      </c>
      <c r="I559" s="304">
        <f t="shared" ca="1" si="245"/>
        <v>96.859858110075479</v>
      </c>
      <c r="J559" s="306">
        <f t="shared" ca="1" si="246"/>
        <v>588.9746359926213</v>
      </c>
      <c r="K559" s="307">
        <f t="shared" ca="1" si="247"/>
        <v>-9.0481355495987952</v>
      </c>
      <c r="L559" s="304">
        <f t="shared" ca="1" si="232"/>
        <v>589.04413298119243</v>
      </c>
      <c r="M559" s="306">
        <f t="shared" ca="1" si="248"/>
        <v>-1.5092620383800086</v>
      </c>
      <c r="N559" s="304">
        <f t="shared" ca="1" si="249"/>
        <v>-86.474344978486158</v>
      </c>
      <c r="P559" s="310">
        <f t="shared" ca="1" si="250"/>
        <v>23</v>
      </c>
      <c r="Q559" s="304">
        <f t="shared" ca="1" si="251"/>
        <v>0</v>
      </c>
      <c r="R559" s="306">
        <f t="shared" ca="1" si="252"/>
        <v>0</v>
      </c>
      <c r="S559" s="307">
        <f t="shared" ca="1" si="253"/>
        <v>2.5949999999999998</v>
      </c>
      <c r="T559" s="304">
        <f t="shared" ca="1" si="233"/>
        <v>25.456949999999999</v>
      </c>
      <c r="U559" s="311">
        <f t="shared" ca="1" si="234"/>
        <v>0</v>
      </c>
      <c r="V559" s="306">
        <f t="shared" ca="1" si="235"/>
        <v>1.2261088982779222</v>
      </c>
      <c r="W559" s="304">
        <f t="shared" ca="1" si="236"/>
        <v>23.555350492102814</v>
      </c>
      <c r="Y559" s="314" t="str">
        <f t="shared" ca="1" si="254"/>
        <v/>
      </c>
      <c r="Z559" s="315" t="str">
        <f t="shared" ca="1" si="255"/>
        <v/>
      </c>
      <c r="AA559" s="316" t="str">
        <f t="shared" ca="1" si="256"/>
        <v/>
      </c>
      <c r="AC559" s="310" t="e">
        <f t="shared" ca="1" si="257"/>
        <v>#N/A</v>
      </c>
      <c r="AD559" s="323" t="e">
        <f t="shared" ca="1" si="258"/>
        <v>#N/A</v>
      </c>
      <c r="AE559" s="324" t="e">
        <f t="shared" ca="1" si="237"/>
        <v>#N/A</v>
      </c>
      <c r="AG559" s="306">
        <f t="shared" ca="1" si="259"/>
        <v>0.71424866248922747</v>
      </c>
      <c r="AH559" s="304">
        <f t="shared" ca="1" si="260"/>
        <v>-9.077184192689483</v>
      </c>
    </row>
    <row r="560" spans="1:34" x14ac:dyDescent="0.2">
      <c r="A560" s="347">
        <f t="shared" ca="1" si="238"/>
        <v>1E-4</v>
      </c>
      <c r="B560" s="304">
        <f t="shared" ca="1" si="239"/>
        <v>32.517300000000745</v>
      </c>
      <c r="D560" s="306">
        <f t="shared" ca="1" si="240"/>
        <v>-0.55820700596933048</v>
      </c>
      <c r="E560" s="307">
        <f t="shared" ca="1" si="241"/>
        <v>-0.74997350136986185</v>
      </c>
      <c r="F560" s="304">
        <f t="shared" ca="1" si="242"/>
        <v>0.93490925456442797</v>
      </c>
      <c r="G560" s="306">
        <f t="shared" ca="1" si="243"/>
        <v>5.9563859828331811</v>
      </c>
      <c r="H560" s="307">
        <f t="shared" ca="1" si="244"/>
        <v>-96.67661255504855</v>
      </c>
      <c r="I560" s="304">
        <f t="shared" ca="1" si="245"/>
        <v>96.859929532781834</v>
      </c>
      <c r="J560" s="306">
        <f t="shared" ca="1" si="246"/>
        <v>588.9746359926213</v>
      </c>
      <c r="K560" s="307">
        <f t="shared" ca="1" si="247"/>
        <v>-9.057803207104433</v>
      </c>
      <c r="L560" s="304">
        <f t="shared" ca="1" si="232"/>
        <v>589.0442815625828</v>
      </c>
      <c r="M560" s="306">
        <f t="shared" ca="1" si="248"/>
        <v>-1.5092626612077282</v>
      </c>
      <c r="N560" s="304">
        <f t="shared" ca="1" si="249"/>
        <v>-86.474380663885867</v>
      </c>
      <c r="P560" s="310">
        <f t="shared" ca="1" si="250"/>
        <v>23</v>
      </c>
      <c r="Q560" s="304">
        <f t="shared" ca="1" si="251"/>
        <v>0</v>
      </c>
      <c r="R560" s="306">
        <f t="shared" ca="1" si="252"/>
        <v>0</v>
      </c>
      <c r="S560" s="307">
        <f t="shared" ca="1" si="253"/>
        <v>2.5949999999999998</v>
      </c>
      <c r="T560" s="304">
        <f t="shared" ca="1" si="233"/>
        <v>25.456949999999999</v>
      </c>
      <c r="U560" s="311">
        <f t="shared" ca="1" si="234"/>
        <v>0</v>
      </c>
      <c r="V560" s="306">
        <f t="shared" ca="1" si="235"/>
        <v>1.2261100836388277</v>
      </c>
      <c r="W560" s="304">
        <f t="shared" ca="1" si="236"/>
        <v>23.555408003249262</v>
      </c>
      <c r="Y560" s="314" t="str">
        <f t="shared" ca="1" si="254"/>
        <v/>
      </c>
      <c r="Z560" s="315" t="str">
        <f t="shared" ca="1" si="255"/>
        <v/>
      </c>
      <c r="AA560" s="316" t="str">
        <f t="shared" ca="1" si="256"/>
        <v/>
      </c>
      <c r="AC560" s="310" t="e">
        <f t="shared" ca="1" si="257"/>
        <v>#N/A</v>
      </c>
      <c r="AD560" s="323" t="e">
        <f t="shared" ca="1" si="258"/>
        <v>#N/A</v>
      </c>
      <c r="AE560" s="324" t="e">
        <f t="shared" ca="1" si="237"/>
        <v>#N/A</v>
      </c>
      <c r="AG560" s="306">
        <f t="shared" ca="1" si="259"/>
        <v>0.71422687557999431</v>
      </c>
      <c r="AH560" s="304">
        <f t="shared" ca="1" si="260"/>
        <v>-9.0772063553382729</v>
      </c>
    </row>
    <row r="561" spans="1:34" x14ac:dyDescent="0.2">
      <c r="A561" s="347">
        <f t="shared" ca="1" si="238"/>
        <v>1E-4</v>
      </c>
      <c r="B561" s="304">
        <f t="shared" ca="1" si="239"/>
        <v>32.517400000000748</v>
      </c>
      <c r="D561" s="306">
        <f t="shared" ca="1" si="240"/>
        <v>-0.55820272600017429</v>
      </c>
      <c r="E561" s="307">
        <f t="shared" ca="1" si="241"/>
        <v>-0.74995103335764668</v>
      </c>
      <c r="F561" s="304">
        <f t="shared" ca="1" si="242"/>
        <v>0.93488867559096445</v>
      </c>
      <c r="G561" s="306">
        <f t="shared" ca="1" si="243"/>
        <v>5.9563301625605813</v>
      </c>
      <c r="H561" s="307">
        <f t="shared" ca="1" si="244"/>
        <v>-96.676687550151883</v>
      </c>
      <c r="I561" s="304">
        <f t="shared" ca="1" si="245"/>
        <v>96.860000953309509</v>
      </c>
      <c r="J561" s="306">
        <f t="shared" ca="1" si="246"/>
        <v>588.9746359926213</v>
      </c>
      <c r="K561" s="307">
        <f t="shared" ca="1" si="247"/>
        <v>-9.067470872109693</v>
      </c>
      <c r="L561" s="304">
        <f t="shared" ca="1" si="232"/>
        <v>589.04443030272114</v>
      </c>
      <c r="M561" s="306">
        <f t="shared" ca="1" si="248"/>
        <v>-1.5092632840286926</v>
      </c>
      <c r="N561" s="304">
        <f t="shared" ca="1" si="249"/>
        <v>-86.474416348898515</v>
      </c>
      <c r="P561" s="310">
        <f t="shared" ca="1" si="250"/>
        <v>23</v>
      </c>
      <c r="Q561" s="304">
        <f t="shared" ca="1" si="251"/>
        <v>0</v>
      </c>
      <c r="R561" s="306">
        <f t="shared" ca="1" si="252"/>
        <v>0</v>
      </c>
      <c r="S561" s="307">
        <f t="shared" ca="1" si="253"/>
        <v>2.5949999999999998</v>
      </c>
      <c r="T561" s="304">
        <f t="shared" ca="1" si="233"/>
        <v>25.456949999999999</v>
      </c>
      <c r="U561" s="311">
        <f t="shared" ca="1" si="234"/>
        <v>0</v>
      </c>
      <c r="V561" s="306">
        <f t="shared" ca="1" si="235"/>
        <v>1.2261112690017988</v>
      </c>
      <c r="W561" s="304">
        <f t="shared" ca="1" si="236"/>
        <v>23.555465513468498</v>
      </c>
      <c r="Y561" s="314" t="str">
        <f t="shared" ca="1" si="254"/>
        <v/>
      </c>
      <c r="Z561" s="315" t="str">
        <f t="shared" ca="1" si="255"/>
        <v/>
      </c>
      <c r="AA561" s="316" t="str">
        <f t="shared" ca="1" si="256"/>
        <v/>
      </c>
      <c r="AC561" s="310" t="e">
        <f t="shared" ca="1" si="257"/>
        <v>#N/A</v>
      </c>
      <c r="AD561" s="323" t="e">
        <f t="shared" ca="1" si="258"/>
        <v>#N/A</v>
      </c>
      <c r="AE561" s="324" t="e">
        <f t="shared" ca="1" si="237"/>
        <v>#N/A</v>
      </c>
      <c r="AG561" s="306">
        <f t="shared" ca="1" si="259"/>
        <v>0.71420508902017943</v>
      </c>
      <c r="AH561" s="304">
        <f t="shared" ca="1" si="260"/>
        <v>-9.0772285176297736</v>
      </c>
    </row>
    <row r="562" spans="1:34" x14ac:dyDescent="0.2">
      <c r="A562" s="347">
        <f t="shared" ca="1" si="238"/>
        <v>1E-4</v>
      </c>
      <c r="B562" s="304">
        <f t="shared" ca="1" si="239"/>
        <v>32.517500000000751</v>
      </c>
      <c r="D562" s="306">
        <f t="shared" ca="1" si="240"/>
        <v>-0.55819844604247815</v>
      </c>
      <c r="E562" s="307">
        <f t="shared" ca="1" si="241"/>
        <v>-0.74992856570764665</v>
      </c>
      <c r="F562" s="304">
        <f t="shared" ca="1" si="242"/>
        <v>0.9348680970214811</v>
      </c>
      <c r="G562" s="306">
        <f t="shared" ca="1" si="243"/>
        <v>5.956274342715977</v>
      </c>
      <c r="H562" s="307">
        <f t="shared" ca="1" si="244"/>
        <v>-96.676762543008451</v>
      </c>
      <c r="I562" s="304">
        <f t="shared" ca="1" si="245"/>
        <v>96.860072371658589</v>
      </c>
      <c r="J562" s="306">
        <f t="shared" ca="1" si="246"/>
        <v>588.9746359926213</v>
      </c>
      <c r="K562" s="307">
        <f t="shared" ca="1" si="247"/>
        <v>-9.0771385446143515</v>
      </c>
      <c r="L562" s="304">
        <f t="shared" ca="1" si="232"/>
        <v>589.04457920160746</v>
      </c>
      <c r="M562" s="306">
        <f t="shared" ca="1" si="248"/>
        <v>-1.5092639068429015</v>
      </c>
      <c r="N562" s="304">
        <f t="shared" ca="1" si="249"/>
        <v>-86.474452033524102</v>
      </c>
      <c r="P562" s="310">
        <f t="shared" ca="1" si="250"/>
        <v>23</v>
      </c>
      <c r="Q562" s="304">
        <f t="shared" ca="1" si="251"/>
        <v>0</v>
      </c>
      <c r="R562" s="306">
        <f t="shared" ca="1" si="252"/>
        <v>0</v>
      </c>
      <c r="S562" s="307">
        <f t="shared" ca="1" si="253"/>
        <v>2.5949999999999998</v>
      </c>
      <c r="T562" s="304">
        <f t="shared" ca="1" si="233"/>
        <v>25.456949999999999</v>
      </c>
      <c r="U562" s="311">
        <f t="shared" ca="1" si="234"/>
        <v>0</v>
      </c>
      <c r="V562" s="306">
        <f t="shared" ca="1" si="235"/>
        <v>1.2261124543668358</v>
      </c>
      <c r="W562" s="304">
        <f t="shared" ca="1" si="236"/>
        <v>23.555523022760582</v>
      </c>
      <c r="Y562" s="314" t="str">
        <f t="shared" ca="1" si="254"/>
        <v/>
      </c>
      <c r="Z562" s="315" t="str">
        <f t="shared" ca="1" si="255"/>
        <v/>
      </c>
      <c r="AA562" s="316" t="str">
        <f t="shared" ca="1" si="256"/>
        <v/>
      </c>
      <c r="AC562" s="310" t="e">
        <f t="shared" ca="1" si="257"/>
        <v>#N/A</v>
      </c>
      <c r="AD562" s="323" t="e">
        <f t="shared" ca="1" si="258"/>
        <v>#N/A</v>
      </c>
      <c r="AE562" s="324" t="e">
        <f t="shared" ca="1" si="237"/>
        <v>#N/A</v>
      </c>
      <c r="AG562" s="306">
        <f t="shared" ca="1" si="259"/>
        <v>0.71418330280979525</v>
      </c>
      <c r="AH562" s="304">
        <f t="shared" ca="1" si="260"/>
        <v>-9.0772506795639689</v>
      </c>
    </row>
    <row r="563" spans="1:34" x14ac:dyDescent="0.2">
      <c r="A563" s="347">
        <f t="shared" ca="1" si="238"/>
        <v>1E-4</v>
      </c>
      <c r="B563" s="304">
        <f t="shared" ca="1" si="239"/>
        <v>32.517600000000755</v>
      </c>
      <c r="D563" s="306">
        <f t="shared" ca="1" si="240"/>
        <v>-0.5581941660962465</v>
      </c>
      <c r="E563" s="307">
        <f t="shared" ca="1" si="241"/>
        <v>-0.74990609841984401</v>
      </c>
      <c r="F563" s="304">
        <f t="shared" ca="1" si="242"/>
        <v>0.93484751885596651</v>
      </c>
      <c r="G563" s="306">
        <f t="shared" ca="1" si="243"/>
        <v>5.9562185232993672</v>
      </c>
      <c r="H563" s="307">
        <f t="shared" ca="1" si="244"/>
        <v>-96.676837533618297</v>
      </c>
      <c r="I563" s="304">
        <f t="shared" ca="1" si="245"/>
        <v>96.860143787829074</v>
      </c>
      <c r="J563" s="306">
        <f t="shared" ca="1" si="246"/>
        <v>588.9746359926213</v>
      </c>
      <c r="K563" s="307">
        <f t="shared" ca="1" si="247"/>
        <v>-9.0868062246181829</v>
      </c>
      <c r="L563" s="304">
        <f t="shared" ca="1" si="232"/>
        <v>589.04472825924222</v>
      </c>
      <c r="M563" s="306">
        <f t="shared" ca="1" si="248"/>
        <v>-1.5092645296503555</v>
      </c>
      <c r="N563" s="304">
        <f t="shared" ca="1" si="249"/>
        <v>-86.474487717762671</v>
      </c>
      <c r="P563" s="310">
        <f t="shared" ca="1" si="250"/>
        <v>23</v>
      </c>
      <c r="Q563" s="304">
        <f t="shared" ca="1" si="251"/>
        <v>0</v>
      </c>
      <c r="R563" s="306">
        <f t="shared" ca="1" si="252"/>
        <v>0</v>
      </c>
      <c r="S563" s="307">
        <f t="shared" ca="1" si="253"/>
        <v>2.5949999999999998</v>
      </c>
      <c r="T563" s="304">
        <f t="shared" ca="1" si="233"/>
        <v>25.456949999999999</v>
      </c>
      <c r="U563" s="311">
        <f t="shared" ca="1" si="234"/>
        <v>0</v>
      </c>
      <c r="V563" s="306">
        <f t="shared" ca="1" si="235"/>
        <v>1.2261136397339392</v>
      </c>
      <c r="W563" s="304">
        <f t="shared" ca="1" si="236"/>
        <v>23.555580531125511</v>
      </c>
      <c r="Y563" s="314" t="str">
        <f t="shared" ca="1" si="254"/>
        <v/>
      </c>
      <c r="Z563" s="315" t="str">
        <f t="shared" ca="1" si="255"/>
        <v/>
      </c>
      <c r="AA563" s="316" t="str">
        <f t="shared" ca="1" si="256"/>
        <v/>
      </c>
      <c r="AC563" s="310" t="e">
        <f t="shared" ca="1" si="257"/>
        <v>#N/A</v>
      </c>
      <c r="AD563" s="323" t="e">
        <f t="shared" ca="1" si="258"/>
        <v>#N/A</v>
      </c>
      <c r="AE563" s="324" t="e">
        <f t="shared" ca="1" si="237"/>
        <v>#N/A</v>
      </c>
      <c r="AG563" s="306">
        <f t="shared" ca="1" si="259"/>
        <v>0.71416151694882046</v>
      </c>
      <c r="AH563" s="304">
        <f t="shared" ca="1" si="260"/>
        <v>-9.0772728411408803</v>
      </c>
    </row>
    <row r="564" spans="1:34" x14ac:dyDescent="0.2">
      <c r="A564" s="347">
        <f t="shared" ca="1" si="238"/>
        <v>1E-4</v>
      </c>
      <c r="B564" s="304">
        <f t="shared" ca="1" si="239"/>
        <v>32.517700000000758</v>
      </c>
      <c r="D564" s="306">
        <f t="shared" ca="1" si="240"/>
        <v>-0.55818988616147447</v>
      </c>
      <c r="E564" s="307">
        <f t="shared" ca="1" si="241"/>
        <v>-0.74988363149423698</v>
      </c>
      <c r="F564" s="304">
        <f t="shared" ca="1" si="242"/>
        <v>0.93482694109441689</v>
      </c>
      <c r="G564" s="306">
        <f t="shared" ca="1" si="243"/>
        <v>5.956162704310751</v>
      </c>
      <c r="H564" s="307">
        <f t="shared" ca="1" si="244"/>
        <v>-96.67691252198145</v>
      </c>
      <c r="I564" s="304">
        <f t="shared" ca="1" si="245"/>
        <v>96.860215201821006</v>
      </c>
      <c r="J564" s="306">
        <f t="shared" ca="1" si="246"/>
        <v>588.9746359926213</v>
      </c>
      <c r="K564" s="307">
        <f t="shared" ca="1" si="247"/>
        <v>-9.0964739121209632</v>
      </c>
      <c r="L564" s="304">
        <f t="shared" ca="1" si="232"/>
        <v>589.04487747562553</v>
      </c>
      <c r="M564" s="306">
        <f t="shared" ca="1" si="248"/>
        <v>-1.5092651524510543</v>
      </c>
      <c r="N564" s="304">
        <f t="shared" ca="1" si="249"/>
        <v>-86.474523401614192</v>
      </c>
      <c r="P564" s="310">
        <f t="shared" ca="1" si="250"/>
        <v>23</v>
      </c>
      <c r="Q564" s="304">
        <f t="shared" ca="1" si="251"/>
        <v>0</v>
      </c>
      <c r="R564" s="306">
        <f t="shared" ca="1" si="252"/>
        <v>0</v>
      </c>
      <c r="S564" s="307">
        <f t="shared" ca="1" si="253"/>
        <v>2.5949999999999998</v>
      </c>
      <c r="T564" s="304">
        <f t="shared" ca="1" si="233"/>
        <v>25.456949999999999</v>
      </c>
      <c r="U564" s="311">
        <f t="shared" ca="1" si="234"/>
        <v>0</v>
      </c>
      <c r="V564" s="306">
        <f t="shared" ca="1" si="235"/>
        <v>1.2261148251031084</v>
      </c>
      <c r="W564" s="304">
        <f t="shared" ca="1" si="236"/>
        <v>23.555638038563281</v>
      </c>
      <c r="Y564" s="314" t="str">
        <f t="shared" ca="1" si="254"/>
        <v/>
      </c>
      <c r="Z564" s="315" t="str">
        <f t="shared" ca="1" si="255"/>
        <v/>
      </c>
      <c r="AA564" s="316" t="str">
        <f t="shared" ca="1" si="256"/>
        <v/>
      </c>
      <c r="AC564" s="310" t="e">
        <f t="shared" ca="1" si="257"/>
        <v>#N/A</v>
      </c>
      <c r="AD564" s="323" t="e">
        <f t="shared" ca="1" si="258"/>
        <v>#N/A</v>
      </c>
      <c r="AE564" s="324" t="e">
        <f t="shared" ca="1" si="237"/>
        <v>#N/A</v>
      </c>
      <c r="AG564" s="306">
        <f t="shared" ca="1" si="259"/>
        <v>0.71413973143726217</v>
      </c>
      <c r="AH564" s="304">
        <f t="shared" ca="1" si="260"/>
        <v>-9.0772950023605059</v>
      </c>
    </row>
    <row r="565" spans="1:34" x14ac:dyDescent="0.2">
      <c r="A565" s="347">
        <f t="shared" ca="1" si="238"/>
        <v>1E-4</v>
      </c>
      <c r="B565" s="304">
        <f t="shared" ca="1" si="239"/>
        <v>32.517800000000761</v>
      </c>
      <c r="D565" s="306">
        <f t="shared" ca="1" si="240"/>
        <v>-0.55818560623816704</v>
      </c>
      <c r="E565" s="307">
        <f t="shared" ca="1" si="241"/>
        <v>-0.74986116493082733</v>
      </c>
      <c r="F565" s="304">
        <f t="shared" ca="1" si="242"/>
        <v>0.9348063637368369</v>
      </c>
      <c r="G565" s="306">
        <f t="shared" ca="1" si="243"/>
        <v>5.9561068857501276</v>
      </c>
      <c r="H565" s="307">
        <f t="shared" ca="1" si="244"/>
        <v>-96.676987508097938</v>
      </c>
      <c r="I565" s="304">
        <f t="shared" ca="1" si="245"/>
        <v>96.860286613634415</v>
      </c>
      <c r="J565" s="306">
        <f t="shared" ca="1" si="246"/>
        <v>588.9746359926213</v>
      </c>
      <c r="K565" s="307">
        <f t="shared" ca="1" si="247"/>
        <v>-9.106141607122467</v>
      </c>
      <c r="L565" s="304">
        <f t="shared" ca="1" si="232"/>
        <v>589.04502685075761</v>
      </c>
      <c r="M565" s="306">
        <f t="shared" ca="1" si="248"/>
        <v>-1.5092657752449983</v>
      </c>
      <c r="N565" s="304">
        <f t="shared" ca="1" si="249"/>
        <v>-86.474559085078681</v>
      </c>
      <c r="P565" s="310">
        <f t="shared" ca="1" si="250"/>
        <v>23</v>
      </c>
      <c r="Q565" s="304">
        <f t="shared" ca="1" si="251"/>
        <v>0</v>
      </c>
      <c r="R565" s="306">
        <f t="shared" ca="1" si="252"/>
        <v>0</v>
      </c>
      <c r="S565" s="307">
        <f t="shared" ca="1" si="253"/>
        <v>2.5949999999999998</v>
      </c>
      <c r="T565" s="304">
        <f t="shared" ca="1" si="233"/>
        <v>25.456949999999999</v>
      </c>
      <c r="U565" s="311">
        <f t="shared" ca="1" si="234"/>
        <v>0</v>
      </c>
      <c r="V565" s="306">
        <f t="shared" ca="1" si="235"/>
        <v>1.2261160104743432</v>
      </c>
      <c r="W565" s="304">
        <f t="shared" ca="1" si="236"/>
        <v>23.555695545073899</v>
      </c>
      <c r="Y565" s="314" t="str">
        <f t="shared" ca="1" si="254"/>
        <v/>
      </c>
      <c r="Z565" s="315" t="str">
        <f t="shared" ca="1" si="255"/>
        <v/>
      </c>
      <c r="AA565" s="316" t="str">
        <f t="shared" ca="1" si="256"/>
        <v/>
      </c>
      <c r="AC565" s="310" t="e">
        <f t="shared" ca="1" si="257"/>
        <v>#N/A</v>
      </c>
      <c r="AD565" s="323" t="e">
        <f t="shared" ca="1" si="258"/>
        <v>#N/A</v>
      </c>
      <c r="AE565" s="324" t="e">
        <f t="shared" ca="1" si="237"/>
        <v>#N/A</v>
      </c>
      <c r="AG565" s="306">
        <f t="shared" ca="1" si="259"/>
        <v>0.71411794627511327</v>
      </c>
      <c r="AH565" s="304">
        <f t="shared" ca="1" si="260"/>
        <v>-9.0773171632228458</v>
      </c>
    </row>
    <row r="566" spans="1:34" x14ac:dyDescent="0.2">
      <c r="A566" s="347">
        <f t="shared" ca="1" si="238"/>
        <v>1E-4</v>
      </c>
      <c r="B566" s="304">
        <f t="shared" ca="1" si="239"/>
        <v>32.517900000000765</v>
      </c>
      <c r="D566" s="306">
        <f t="shared" ca="1" si="240"/>
        <v>-0.55818132632632134</v>
      </c>
      <c r="E566" s="307">
        <f t="shared" ca="1" si="241"/>
        <v>-0.74983869872961506</v>
      </c>
      <c r="F566" s="304">
        <f t="shared" ca="1" si="242"/>
        <v>0.93478578678322533</v>
      </c>
      <c r="G566" s="306">
        <f t="shared" ca="1" si="243"/>
        <v>5.9560510676174951</v>
      </c>
      <c r="H566" s="307">
        <f t="shared" ca="1" si="244"/>
        <v>-96.677062491967817</v>
      </c>
      <c r="I566" s="304">
        <f t="shared" ca="1" si="245"/>
        <v>96.860358023269356</v>
      </c>
      <c r="J566" s="306">
        <f t="shared" ca="1" si="246"/>
        <v>588.9746359926213</v>
      </c>
      <c r="K566" s="307">
        <f t="shared" ca="1" si="247"/>
        <v>-9.1158093096224704</v>
      </c>
      <c r="L566" s="304">
        <f t="shared" ca="1" si="232"/>
        <v>589.04517638463869</v>
      </c>
      <c r="M566" s="306">
        <f t="shared" ca="1" si="248"/>
        <v>-1.5092663980321872</v>
      </c>
      <c r="N566" s="304">
        <f t="shared" ca="1" si="249"/>
        <v>-86.474594768156138</v>
      </c>
      <c r="P566" s="310">
        <f t="shared" ca="1" si="250"/>
        <v>23</v>
      </c>
      <c r="Q566" s="304">
        <f t="shared" ca="1" si="251"/>
        <v>0</v>
      </c>
      <c r="R566" s="306">
        <f t="shared" ca="1" si="252"/>
        <v>0</v>
      </c>
      <c r="S566" s="307">
        <f t="shared" ca="1" si="253"/>
        <v>2.5949999999999998</v>
      </c>
      <c r="T566" s="304">
        <f t="shared" ca="1" si="233"/>
        <v>25.456949999999999</v>
      </c>
      <c r="U566" s="311">
        <f t="shared" ca="1" si="234"/>
        <v>0</v>
      </c>
      <c r="V566" s="306">
        <f t="shared" ca="1" si="235"/>
        <v>1.2261171958476444</v>
      </c>
      <c r="W566" s="304">
        <f t="shared" ca="1" si="236"/>
        <v>23.555753050657419</v>
      </c>
      <c r="Y566" s="314" t="str">
        <f t="shared" ca="1" si="254"/>
        <v/>
      </c>
      <c r="Z566" s="315" t="str">
        <f t="shared" ca="1" si="255"/>
        <v/>
      </c>
      <c r="AA566" s="316" t="str">
        <f t="shared" ca="1" si="256"/>
        <v/>
      </c>
      <c r="AC566" s="310" t="e">
        <f t="shared" ca="1" si="257"/>
        <v>#N/A</v>
      </c>
      <c r="AD566" s="323" t="e">
        <f t="shared" ca="1" si="258"/>
        <v>#N/A</v>
      </c>
      <c r="AE566" s="324" t="e">
        <f t="shared" ca="1" si="237"/>
        <v>#N/A</v>
      </c>
      <c r="AG566" s="306">
        <f t="shared" ca="1" si="259"/>
        <v>0.71409616146237731</v>
      </c>
      <c r="AH566" s="304">
        <f t="shared" ca="1" si="260"/>
        <v>-9.0773393237278999</v>
      </c>
    </row>
    <row r="567" spans="1:34" x14ac:dyDescent="0.2">
      <c r="A567" s="347">
        <f t="shared" ca="1" si="238"/>
        <v>1E-4</v>
      </c>
      <c r="B567" s="304">
        <f t="shared" ca="1" si="239"/>
        <v>32.518000000000768</v>
      </c>
      <c r="D567" s="306">
        <f t="shared" ca="1" si="240"/>
        <v>-0.55817704642594212</v>
      </c>
      <c r="E567" s="307">
        <f t="shared" ca="1" si="241"/>
        <v>-0.74981623289057708</v>
      </c>
      <c r="F567" s="304">
        <f t="shared" ca="1" si="242"/>
        <v>0.93476521023356685</v>
      </c>
      <c r="G567" s="306">
        <f t="shared" ca="1" si="243"/>
        <v>5.9559952499128528</v>
      </c>
      <c r="H567" s="307">
        <f t="shared" ca="1" si="244"/>
        <v>-96.677137473591102</v>
      </c>
      <c r="I567" s="304">
        <f t="shared" ca="1" si="245"/>
        <v>96.86042943072583</v>
      </c>
      <c r="J567" s="306">
        <f t="shared" ca="1" si="246"/>
        <v>588.9746359926213</v>
      </c>
      <c r="K567" s="307">
        <f t="shared" ca="1" si="247"/>
        <v>-9.1254770196207478</v>
      </c>
      <c r="L567" s="304">
        <f t="shared" ca="1" si="232"/>
        <v>589.04532607726912</v>
      </c>
      <c r="M567" s="306">
        <f t="shared" ca="1" si="248"/>
        <v>-1.5092670208126215</v>
      </c>
      <c r="N567" s="304">
        <f t="shared" ca="1" si="249"/>
        <v>-86.47463045084659</v>
      </c>
      <c r="P567" s="310">
        <f t="shared" ca="1" si="250"/>
        <v>23</v>
      </c>
      <c r="Q567" s="304">
        <f t="shared" ca="1" si="251"/>
        <v>0</v>
      </c>
      <c r="R567" s="306">
        <f t="shared" ca="1" si="252"/>
        <v>0</v>
      </c>
      <c r="S567" s="307">
        <f t="shared" ca="1" si="253"/>
        <v>2.5949999999999998</v>
      </c>
      <c r="T567" s="304">
        <f t="shared" ca="1" si="233"/>
        <v>25.456949999999999</v>
      </c>
      <c r="U567" s="311">
        <f t="shared" ca="1" si="234"/>
        <v>0</v>
      </c>
      <c r="V567" s="306">
        <f t="shared" ca="1" si="235"/>
        <v>1.2261183812230112</v>
      </c>
      <c r="W567" s="304">
        <f t="shared" ca="1" si="236"/>
        <v>23.555810555313801</v>
      </c>
      <c r="Y567" s="314" t="str">
        <f t="shared" ca="1" si="254"/>
        <v/>
      </c>
      <c r="Z567" s="315" t="str">
        <f t="shared" ca="1" si="255"/>
        <v/>
      </c>
      <c r="AA567" s="316" t="str">
        <f t="shared" ca="1" si="256"/>
        <v/>
      </c>
      <c r="AC567" s="310" t="e">
        <f t="shared" ca="1" si="257"/>
        <v>#N/A</v>
      </c>
      <c r="AD567" s="323" t="e">
        <f t="shared" ca="1" si="258"/>
        <v>#N/A</v>
      </c>
      <c r="AE567" s="324" t="e">
        <f t="shared" ca="1" si="237"/>
        <v>#N/A</v>
      </c>
      <c r="AG567" s="306">
        <f t="shared" ca="1" si="259"/>
        <v>0.71407437699903475</v>
      </c>
      <c r="AH567" s="304">
        <f t="shared" ca="1" si="260"/>
        <v>-9.0773614838756913</v>
      </c>
    </row>
    <row r="568" spans="1:34" x14ac:dyDescent="0.2">
      <c r="A568" s="347">
        <f t="shared" ca="1" si="238"/>
        <v>1E-4</v>
      </c>
      <c r="B568" s="304">
        <f t="shared" ca="1" si="239"/>
        <v>32.518100000000771</v>
      </c>
      <c r="D568" s="306">
        <f t="shared" ca="1" si="240"/>
        <v>-0.5581727665370253</v>
      </c>
      <c r="E568" s="307">
        <f t="shared" ca="1" si="241"/>
        <v>-0.74979376741372583</v>
      </c>
      <c r="F568" s="304">
        <f t="shared" ca="1" si="242"/>
        <v>0.93474463408786945</v>
      </c>
      <c r="G568" s="306">
        <f t="shared" ca="1" si="243"/>
        <v>5.9559394326361987</v>
      </c>
      <c r="H568" s="307">
        <f t="shared" ca="1" si="244"/>
        <v>-96.677212452967851</v>
      </c>
      <c r="I568" s="304">
        <f t="shared" ca="1" si="245"/>
        <v>96.860500836003908</v>
      </c>
      <c r="J568" s="306">
        <f t="shared" ca="1" si="246"/>
        <v>588.9746359926213</v>
      </c>
      <c r="K568" s="307">
        <f t="shared" ca="1" si="247"/>
        <v>-9.1351447371170753</v>
      </c>
      <c r="L568" s="304">
        <f t="shared" ca="1" si="232"/>
        <v>589.04547592864924</v>
      </c>
      <c r="M568" s="306">
        <f t="shared" ca="1" si="248"/>
        <v>-1.5092676435863011</v>
      </c>
      <c r="N568" s="304">
        <f t="shared" ca="1" si="249"/>
        <v>-86.474666133150023</v>
      </c>
      <c r="P568" s="310">
        <f t="shared" ca="1" si="250"/>
        <v>23</v>
      </c>
      <c r="Q568" s="304">
        <f t="shared" ca="1" si="251"/>
        <v>0</v>
      </c>
      <c r="R568" s="306">
        <f t="shared" ca="1" si="252"/>
        <v>0</v>
      </c>
      <c r="S568" s="307">
        <f t="shared" ca="1" si="253"/>
        <v>2.5949999999999998</v>
      </c>
      <c r="T568" s="304">
        <f t="shared" ca="1" si="233"/>
        <v>25.456949999999999</v>
      </c>
      <c r="U568" s="311">
        <f t="shared" ca="1" si="234"/>
        <v>0</v>
      </c>
      <c r="V568" s="306">
        <f t="shared" ca="1" si="235"/>
        <v>1.2261195666004439</v>
      </c>
      <c r="W568" s="304">
        <f t="shared" ca="1" si="236"/>
        <v>23.555868059043089</v>
      </c>
      <c r="Y568" s="314" t="str">
        <f t="shared" ca="1" si="254"/>
        <v/>
      </c>
      <c r="Z568" s="315" t="str">
        <f t="shared" ca="1" si="255"/>
        <v/>
      </c>
      <c r="AA568" s="316" t="str">
        <f t="shared" ca="1" si="256"/>
        <v/>
      </c>
      <c r="AC568" s="310" t="e">
        <f t="shared" ca="1" si="257"/>
        <v>#N/A</v>
      </c>
      <c r="AD568" s="323" t="e">
        <f t="shared" ca="1" si="258"/>
        <v>#N/A</v>
      </c>
      <c r="AE568" s="324" t="e">
        <f t="shared" ca="1" si="237"/>
        <v>#N/A</v>
      </c>
      <c r="AG568" s="306">
        <f t="shared" ca="1" si="259"/>
        <v>0.71405259288509271</v>
      </c>
      <c r="AH568" s="304">
        <f t="shared" ca="1" si="260"/>
        <v>-9.0773836436662059</v>
      </c>
    </row>
    <row r="569" spans="1:34" x14ac:dyDescent="0.2">
      <c r="A569" s="347">
        <f t="shared" ca="1" si="238"/>
        <v>1E-4</v>
      </c>
      <c r="B569" s="304">
        <f t="shared" ca="1" si="239"/>
        <v>32.518200000000775</v>
      </c>
      <c r="D569" s="306">
        <f t="shared" ca="1" si="240"/>
        <v>-0.55816848665957497</v>
      </c>
      <c r="E569" s="307">
        <f t="shared" ca="1" si="241"/>
        <v>-0.74977130229904887</v>
      </c>
      <c r="F569" s="304">
        <f t="shared" ca="1" si="242"/>
        <v>0.93472405834612593</v>
      </c>
      <c r="G569" s="306">
        <f t="shared" ca="1" si="243"/>
        <v>5.955883615787533</v>
      </c>
      <c r="H569" s="307">
        <f t="shared" ca="1" si="244"/>
        <v>-96.677287430098076</v>
      </c>
      <c r="I569" s="304">
        <f t="shared" ca="1" si="245"/>
        <v>96.86057223910359</v>
      </c>
      <c r="J569" s="306">
        <f t="shared" ca="1" si="246"/>
        <v>588.9746359926213</v>
      </c>
      <c r="K569" s="307">
        <f t="shared" ca="1" si="247"/>
        <v>-9.1448124621112292</v>
      </c>
      <c r="L569" s="304">
        <f t="shared" ca="1" si="232"/>
        <v>589.04562593877904</v>
      </c>
      <c r="M569" s="306">
        <f t="shared" ca="1" si="248"/>
        <v>-1.5092682663532262</v>
      </c>
      <c r="N569" s="304">
        <f t="shared" ca="1" si="249"/>
        <v>-86.474701815066453</v>
      </c>
      <c r="P569" s="310">
        <f t="shared" ca="1" si="250"/>
        <v>23</v>
      </c>
      <c r="Q569" s="304">
        <f t="shared" ca="1" si="251"/>
        <v>0</v>
      </c>
      <c r="R569" s="306">
        <f t="shared" ca="1" si="252"/>
        <v>0</v>
      </c>
      <c r="S569" s="307">
        <f t="shared" ca="1" si="253"/>
        <v>2.5949999999999998</v>
      </c>
      <c r="T569" s="304">
        <f t="shared" ca="1" si="233"/>
        <v>25.456949999999999</v>
      </c>
      <c r="U569" s="311">
        <f t="shared" ca="1" si="234"/>
        <v>0</v>
      </c>
      <c r="V569" s="306">
        <f t="shared" ca="1" si="235"/>
        <v>1.2261207519799426</v>
      </c>
      <c r="W569" s="304">
        <f t="shared" ca="1" si="236"/>
        <v>23.555925561845282</v>
      </c>
      <c r="Y569" s="314" t="str">
        <f t="shared" ca="1" si="254"/>
        <v/>
      </c>
      <c r="Z569" s="315" t="str">
        <f t="shared" ca="1" si="255"/>
        <v/>
      </c>
      <c r="AA569" s="316" t="str">
        <f t="shared" ca="1" si="256"/>
        <v/>
      </c>
      <c r="AC569" s="310" t="e">
        <f t="shared" ca="1" si="257"/>
        <v>#N/A</v>
      </c>
      <c r="AD569" s="323" t="e">
        <f t="shared" ca="1" si="258"/>
        <v>#N/A</v>
      </c>
      <c r="AE569" s="324" t="e">
        <f t="shared" ca="1" si="237"/>
        <v>#N/A</v>
      </c>
      <c r="AG569" s="306">
        <f t="shared" ca="1" si="259"/>
        <v>0.71403080912054406</v>
      </c>
      <c r="AH569" s="304">
        <f t="shared" ca="1" si="260"/>
        <v>-9.0774058030994578</v>
      </c>
    </row>
    <row r="570" spans="1:34" x14ac:dyDescent="0.2">
      <c r="A570" s="347">
        <f t="shared" ca="1" si="238"/>
        <v>1E-4</v>
      </c>
      <c r="B570" s="304">
        <f t="shared" ca="1" si="239"/>
        <v>32.518300000000778</v>
      </c>
      <c r="D570" s="306">
        <f t="shared" ca="1" si="240"/>
        <v>-0.55816420679358836</v>
      </c>
      <c r="E570" s="307">
        <f t="shared" ca="1" si="241"/>
        <v>-0.7497488375465462</v>
      </c>
      <c r="F570" s="304">
        <f t="shared" ca="1" si="242"/>
        <v>0.93470348300833506</v>
      </c>
      <c r="G570" s="306">
        <f t="shared" ca="1" si="243"/>
        <v>5.9558277993668538</v>
      </c>
      <c r="H570" s="307">
        <f t="shared" ca="1" si="244"/>
        <v>-96.677362404981835</v>
      </c>
      <c r="I570" s="304">
        <f t="shared" ca="1" si="245"/>
        <v>96.860643640024946</v>
      </c>
      <c r="J570" s="306">
        <f t="shared" ca="1" si="246"/>
        <v>588.9746359926213</v>
      </c>
      <c r="K570" s="307">
        <f t="shared" ca="1" si="247"/>
        <v>-9.1544801946029839</v>
      </c>
      <c r="L570" s="304">
        <f t="shared" ca="1" si="232"/>
        <v>589.04577610765887</v>
      </c>
      <c r="M570" s="306">
        <f t="shared" ca="1" si="248"/>
        <v>-1.5092688891133967</v>
      </c>
      <c r="N570" s="304">
        <f t="shared" ca="1" si="249"/>
        <v>-86.474737496595878</v>
      </c>
      <c r="P570" s="310">
        <f t="shared" ca="1" si="250"/>
        <v>23</v>
      </c>
      <c r="Q570" s="304">
        <f t="shared" ca="1" si="251"/>
        <v>0</v>
      </c>
      <c r="R570" s="306">
        <f t="shared" ca="1" si="252"/>
        <v>0</v>
      </c>
      <c r="S570" s="307">
        <f t="shared" ca="1" si="253"/>
        <v>2.5949999999999998</v>
      </c>
      <c r="T570" s="304">
        <f t="shared" ca="1" si="233"/>
        <v>25.456949999999999</v>
      </c>
      <c r="U570" s="311">
        <f t="shared" ca="1" si="234"/>
        <v>0</v>
      </c>
      <c r="V570" s="306">
        <f t="shared" ca="1" si="235"/>
        <v>1.2261219373615067</v>
      </c>
      <c r="W570" s="304">
        <f t="shared" ca="1" si="236"/>
        <v>23.555983063720387</v>
      </c>
      <c r="Y570" s="314" t="str">
        <f t="shared" ca="1" si="254"/>
        <v/>
      </c>
      <c r="Z570" s="315" t="str">
        <f t="shared" ca="1" si="255"/>
        <v/>
      </c>
      <c r="AA570" s="316" t="str">
        <f t="shared" ca="1" si="256"/>
        <v/>
      </c>
      <c r="AC570" s="310" t="e">
        <f t="shared" ca="1" si="257"/>
        <v>#N/A</v>
      </c>
      <c r="AD570" s="323" t="e">
        <f t="shared" ca="1" si="258"/>
        <v>#N/A</v>
      </c>
      <c r="AE570" s="324" t="e">
        <f t="shared" ca="1" si="237"/>
        <v>#N/A</v>
      </c>
      <c r="AG570" s="306">
        <f t="shared" ca="1" si="259"/>
        <v>0.71400902570538527</v>
      </c>
      <c r="AH570" s="304">
        <f t="shared" ca="1" si="260"/>
        <v>-9.077427962175447</v>
      </c>
    </row>
    <row r="571" spans="1:34" x14ac:dyDescent="0.2">
      <c r="A571" s="347">
        <f t="shared" ca="1" si="238"/>
        <v>1E-4</v>
      </c>
      <c r="B571" s="304">
        <f t="shared" ca="1" si="239"/>
        <v>32.518400000000781</v>
      </c>
      <c r="D571" s="306">
        <f t="shared" ca="1" si="240"/>
        <v>-0.55815992693906868</v>
      </c>
      <c r="E571" s="307">
        <f t="shared" ca="1" si="241"/>
        <v>-0.74972637315621249</v>
      </c>
      <c r="F571" s="304">
        <f t="shared" ca="1" si="242"/>
        <v>0.93468290807449494</v>
      </c>
      <c r="G571" s="306">
        <f t="shared" ca="1" si="243"/>
        <v>5.9557719833741602</v>
      </c>
      <c r="H571" s="307">
        <f t="shared" ca="1" si="244"/>
        <v>-96.677437377619157</v>
      </c>
      <c r="I571" s="304">
        <f t="shared" ca="1" si="245"/>
        <v>96.860715038768006</v>
      </c>
      <c r="J571" s="306">
        <f t="shared" ca="1" si="246"/>
        <v>588.9746359926213</v>
      </c>
      <c r="K571" s="307">
        <f t="shared" ca="1" si="247"/>
        <v>-9.1641479345921137</v>
      </c>
      <c r="L571" s="304">
        <f t="shared" ca="1" si="232"/>
        <v>589.04592643528895</v>
      </c>
      <c r="M571" s="306">
        <f t="shared" ca="1" si="248"/>
        <v>-1.5092695118668129</v>
      </c>
      <c r="N571" s="304">
        <f t="shared" ca="1" si="249"/>
        <v>-86.4747731777383</v>
      </c>
      <c r="P571" s="310">
        <f t="shared" ca="1" si="250"/>
        <v>23</v>
      </c>
      <c r="Q571" s="304">
        <f t="shared" ca="1" si="251"/>
        <v>0</v>
      </c>
      <c r="R571" s="306">
        <f t="shared" ca="1" si="252"/>
        <v>0</v>
      </c>
      <c r="S571" s="307">
        <f t="shared" ca="1" si="253"/>
        <v>2.5949999999999998</v>
      </c>
      <c r="T571" s="304">
        <f t="shared" ca="1" si="233"/>
        <v>25.456949999999999</v>
      </c>
      <c r="U571" s="311">
        <f t="shared" ca="1" si="234"/>
        <v>0</v>
      </c>
      <c r="V571" s="306">
        <f t="shared" ca="1" si="235"/>
        <v>1.2261231227451368</v>
      </c>
      <c r="W571" s="304">
        <f t="shared" ca="1" si="236"/>
        <v>23.556040564668436</v>
      </c>
      <c r="Y571" s="314" t="str">
        <f t="shared" ca="1" si="254"/>
        <v/>
      </c>
      <c r="Z571" s="315" t="str">
        <f t="shared" ca="1" si="255"/>
        <v/>
      </c>
      <c r="AA571" s="316" t="str">
        <f t="shared" ca="1" si="256"/>
        <v/>
      </c>
      <c r="AC571" s="310" t="e">
        <f t="shared" ca="1" si="257"/>
        <v>#N/A</v>
      </c>
      <c r="AD571" s="323" t="e">
        <f t="shared" ca="1" si="258"/>
        <v>#N/A</v>
      </c>
      <c r="AE571" s="324" t="e">
        <f t="shared" ca="1" si="237"/>
        <v>#N/A</v>
      </c>
      <c r="AG571" s="306">
        <f t="shared" ca="1" si="259"/>
        <v>0.71398724263961277</v>
      </c>
      <c r="AH571" s="304">
        <f t="shared" ca="1" si="260"/>
        <v>-9.0774501208941771</v>
      </c>
    </row>
    <row r="572" spans="1:34" x14ac:dyDescent="0.2">
      <c r="A572" s="347">
        <f t="shared" ca="1" si="238"/>
        <v>1E-4</v>
      </c>
      <c r="B572" s="304">
        <f t="shared" ca="1" si="239"/>
        <v>32.518500000000785</v>
      </c>
      <c r="D572" s="306">
        <f t="shared" ca="1" si="240"/>
        <v>-0.55815564709601595</v>
      </c>
      <c r="E572" s="307">
        <f t="shared" ca="1" si="241"/>
        <v>-0.74970390912803708</v>
      </c>
      <c r="F572" s="304">
        <f t="shared" ca="1" si="242"/>
        <v>0.93466233354459749</v>
      </c>
      <c r="G572" s="306">
        <f t="shared" ca="1" si="243"/>
        <v>5.9557161678094506</v>
      </c>
      <c r="H572" s="307">
        <f t="shared" ca="1" si="244"/>
        <v>-96.677512348010069</v>
      </c>
      <c r="I572" s="304">
        <f t="shared" ca="1" si="245"/>
        <v>96.860786435332784</v>
      </c>
      <c r="J572" s="306">
        <f t="shared" ca="1" si="246"/>
        <v>588.9746359926213</v>
      </c>
      <c r="K572" s="307">
        <f t="shared" ca="1" si="247"/>
        <v>-9.1738156820783949</v>
      </c>
      <c r="L572" s="304">
        <f t="shared" ca="1" si="232"/>
        <v>589.04607692166962</v>
      </c>
      <c r="M572" s="306">
        <f t="shared" ca="1" si="248"/>
        <v>-1.5092701346134747</v>
      </c>
      <c r="N572" s="304">
        <f t="shared" ca="1" si="249"/>
        <v>-86.474808858493716</v>
      </c>
      <c r="P572" s="310">
        <f t="shared" ca="1" si="250"/>
        <v>23</v>
      </c>
      <c r="Q572" s="304">
        <f t="shared" ca="1" si="251"/>
        <v>0</v>
      </c>
      <c r="R572" s="306">
        <f t="shared" ca="1" si="252"/>
        <v>0</v>
      </c>
      <c r="S572" s="307">
        <f t="shared" ca="1" si="253"/>
        <v>2.5949999999999998</v>
      </c>
      <c r="T572" s="304">
        <f t="shared" ca="1" si="233"/>
        <v>25.456949999999999</v>
      </c>
      <c r="U572" s="311">
        <f t="shared" ca="1" si="234"/>
        <v>0</v>
      </c>
      <c r="V572" s="306">
        <f t="shared" ca="1" si="235"/>
        <v>1.2261243081308328</v>
      </c>
      <c r="W572" s="304">
        <f t="shared" ca="1" si="236"/>
        <v>23.556098064689426</v>
      </c>
      <c r="Y572" s="314" t="str">
        <f t="shared" ca="1" si="254"/>
        <v/>
      </c>
      <c r="Z572" s="315" t="str">
        <f t="shared" ca="1" si="255"/>
        <v/>
      </c>
      <c r="AA572" s="316" t="str">
        <f t="shared" ca="1" si="256"/>
        <v/>
      </c>
      <c r="AC572" s="310" t="e">
        <f t="shared" ca="1" si="257"/>
        <v>#N/A</v>
      </c>
      <c r="AD572" s="323" t="e">
        <f t="shared" ca="1" si="258"/>
        <v>#N/A</v>
      </c>
      <c r="AE572" s="324" t="e">
        <f t="shared" ca="1" si="237"/>
        <v>#N/A</v>
      </c>
      <c r="AG572" s="306">
        <f t="shared" ca="1" si="259"/>
        <v>0.71396545992321414</v>
      </c>
      <c r="AH572" s="304">
        <f t="shared" ca="1" si="260"/>
        <v>-9.0774722792556606</v>
      </c>
    </row>
    <row r="573" spans="1:34" x14ac:dyDescent="0.2">
      <c r="A573" s="347">
        <f t="shared" ca="1" si="238"/>
        <v>1E-4</v>
      </c>
      <c r="B573" s="304">
        <f t="shared" ca="1" si="239"/>
        <v>32.518600000000788</v>
      </c>
      <c r="D573" s="306">
        <f t="shared" ca="1" si="240"/>
        <v>-0.55815136726443104</v>
      </c>
      <c r="E573" s="307">
        <f t="shared" ca="1" si="241"/>
        <v>-0.74968144546201998</v>
      </c>
      <c r="F573" s="304">
        <f t="shared" ca="1" si="242"/>
        <v>0.93464175941864347</v>
      </c>
      <c r="G573" s="306">
        <f t="shared" ca="1" si="243"/>
        <v>5.9556603526727239</v>
      </c>
      <c r="H573" s="307">
        <f t="shared" ca="1" si="244"/>
        <v>-96.677587316154614</v>
      </c>
      <c r="I573" s="304">
        <f t="shared" ca="1" si="245"/>
        <v>96.860857829719322</v>
      </c>
      <c r="J573" s="306">
        <f t="shared" ca="1" si="246"/>
        <v>588.9746359926213</v>
      </c>
      <c r="K573" s="307">
        <f t="shared" ca="1" si="247"/>
        <v>-9.1834834370616036</v>
      </c>
      <c r="L573" s="304">
        <f t="shared" ca="1" si="232"/>
        <v>589.04622756680101</v>
      </c>
      <c r="M573" s="306">
        <f t="shared" ca="1" si="248"/>
        <v>-1.5092707573533823</v>
      </c>
      <c r="N573" s="304">
        <f t="shared" ca="1" si="249"/>
        <v>-86.474844538862172</v>
      </c>
      <c r="P573" s="310">
        <f t="shared" ca="1" si="250"/>
        <v>23</v>
      </c>
      <c r="Q573" s="304">
        <f t="shared" ca="1" si="251"/>
        <v>0</v>
      </c>
      <c r="R573" s="306">
        <f t="shared" ca="1" si="252"/>
        <v>0</v>
      </c>
      <c r="S573" s="307">
        <f t="shared" ca="1" si="253"/>
        <v>2.5949999999999998</v>
      </c>
      <c r="T573" s="304">
        <f t="shared" ca="1" si="233"/>
        <v>25.456949999999999</v>
      </c>
      <c r="U573" s="311">
        <f t="shared" ca="1" si="234"/>
        <v>0</v>
      </c>
      <c r="V573" s="306">
        <f t="shared" ca="1" si="235"/>
        <v>1.2261254935185943</v>
      </c>
      <c r="W573" s="304">
        <f t="shared" ca="1" si="236"/>
        <v>23.556155563783364</v>
      </c>
      <c r="Y573" s="314" t="str">
        <f t="shared" ca="1" si="254"/>
        <v/>
      </c>
      <c r="Z573" s="315" t="str">
        <f t="shared" ca="1" si="255"/>
        <v/>
      </c>
      <c r="AA573" s="316" t="str">
        <f t="shared" ca="1" si="256"/>
        <v/>
      </c>
      <c r="AC573" s="310" t="e">
        <f t="shared" ca="1" si="257"/>
        <v>#N/A</v>
      </c>
      <c r="AD573" s="323" t="e">
        <f t="shared" ca="1" si="258"/>
        <v>#N/A</v>
      </c>
      <c r="AE573" s="324" t="e">
        <f t="shared" ca="1" si="237"/>
        <v>#N/A</v>
      </c>
      <c r="AG573" s="306">
        <f t="shared" ca="1" si="259"/>
        <v>0.71394367755619648</v>
      </c>
      <c r="AH573" s="304">
        <f t="shared" ca="1" si="260"/>
        <v>-9.0774944372598956</v>
      </c>
    </row>
    <row r="574" spans="1:34" x14ac:dyDescent="0.2">
      <c r="A574" s="347">
        <f t="shared" ca="1" si="238"/>
        <v>1E-4</v>
      </c>
      <c r="B574" s="304">
        <f t="shared" ca="1" si="239"/>
        <v>32.518700000000791</v>
      </c>
      <c r="D574" s="306">
        <f t="shared" ca="1" si="240"/>
        <v>-0.55814708744431329</v>
      </c>
      <c r="E574" s="307">
        <f t="shared" ca="1" si="241"/>
        <v>-0.74965898215816118</v>
      </c>
      <c r="F574" s="304">
        <f t="shared" ca="1" si="242"/>
        <v>0.93462118569663299</v>
      </c>
      <c r="G574" s="306">
        <f t="shared" ca="1" si="243"/>
        <v>5.9556045379639793</v>
      </c>
      <c r="H574" s="307">
        <f t="shared" ca="1" si="244"/>
        <v>-96.677662282052836</v>
      </c>
      <c r="I574" s="304">
        <f t="shared" ca="1" si="245"/>
        <v>96.860929221927648</v>
      </c>
      <c r="J574" s="306">
        <f t="shared" ca="1" si="246"/>
        <v>588.9746359926213</v>
      </c>
      <c r="K574" s="307">
        <f t="shared" ca="1" si="247"/>
        <v>-9.1931511995415143</v>
      </c>
      <c r="L574" s="304">
        <f t="shared" ca="1" si="232"/>
        <v>589.04637837068344</v>
      </c>
      <c r="M574" s="306">
        <f t="shared" ca="1" si="248"/>
        <v>-1.5092713800865356</v>
      </c>
      <c r="N574" s="304">
        <f t="shared" ca="1" si="249"/>
        <v>-86.474880218843609</v>
      </c>
      <c r="P574" s="310">
        <f t="shared" ca="1" si="250"/>
        <v>23</v>
      </c>
      <c r="Q574" s="304">
        <f t="shared" ca="1" si="251"/>
        <v>0</v>
      </c>
      <c r="R574" s="306">
        <f t="shared" ca="1" si="252"/>
        <v>0</v>
      </c>
      <c r="S574" s="307">
        <f t="shared" ca="1" si="253"/>
        <v>2.5949999999999998</v>
      </c>
      <c r="T574" s="304">
        <f t="shared" ca="1" si="233"/>
        <v>25.456949999999999</v>
      </c>
      <c r="U574" s="311">
        <f t="shared" ca="1" si="234"/>
        <v>0</v>
      </c>
      <c r="V574" s="306">
        <f t="shared" ca="1" si="235"/>
        <v>1.226126678908422</v>
      </c>
      <c r="W574" s="304">
        <f t="shared" ca="1" si="236"/>
        <v>23.556213061950267</v>
      </c>
      <c r="Y574" s="314" t="str">
        <f t="shared" ca="1" si="254"/>
        <v/>
      </c>
      <c r="Z574" s="315" t="str">
        <f t="shared" ca="1" si="255"/>
        <v/>
      </c>
      <c r="AA574" s="316" t="str">
        <f t="shared" ca="1" si="256"/>
        <v/>
      </c>
      <c r="AC574" s="310" t="e">
        <f t="shared" ca="1" si="257"/>
        <v>#N/A</v>
      </c>
      <c r="AD574" s="323" t="e">
        <f t="shared" ca="1" si="258"/>
        <v>#N/A</v>
      </c>
      <c r="AE574" s="324" t="e">
        <f t="shared" ca="1" si="237"/>
        <v>#N/A</v>
      </c>
      <c r="AG574" s="306">
        <f t="shared" ca="1" si="259"/>
        <v>0.71392189553855268</v>
      </c>
      <c r="AH574" s="304">
        <f t="shared" ca="1" si="260"/>
        <v>-9.0775165949068839</v>
      </c>
    </row>
    <row r="575" spans="1:34" x14ac:dyDescent="0.2">
      <c r="A575" s="347">
        <f t="shared" ca="1" si="238"/>
        <v>1E-4</v>
      </c>
      <c r="B575" s="304">
        <f t="shared" ca="1" si="239"/>
        <v>32.518800000000795</v>
      </c>
      <c r="D575" s="306">
        <f t="shared" ca="1" si="240"/>
        <v>-0.55814280763566637</v>
      </c>
      <c r="E575" s="307">
        <f t="shared" ca="1" si="241"/>
        <v>-0.74963651921645003</v>
      </c>
      <c r="F575" s="304">
        <f t="shared" ca="1" si="242"/>
        <v>0.93460061237856007</v>
      </c>
      <c r="G575" s="306">
        <f t="shared" ca="1" si="243"/>
        <v>5.9555487236832159</v>
      </c>
      <c r="H575" s="307">
        <f t="shared" ca="1" si="244"/>
        <v>-96.677737245704762</v>
      </c>
      <c r="I575" s="304">
        <f t="shared" ca="1" si="245"/>
        <v>96.86100061195782</v>
      </c>
      <c r="J575" s="306">
        <f t="shared" ca="1" si="246"/>
        <v>588.9746359926213</v>
      </c>
      <c r="K575" s="307">
        <f t="shared" ca="1" si="247"/>
        <v>-9.202818969517903</v>
      </c>
      <c r="L575" s="304">
        <f t="shared" ca="1" si="232"/>
        <v>589.04652933331715</v>
      </c>
      <c r="M575" s="306">
        <f t="shared" ca="1" si="248"/>
        <v>-1.5092720028129352</v>
      </c>
      <c r="N575" s="304">
        <f t="shared" ca="1" si="249"/>
        <v>-86.474915898438098</v>
      </c>
      <c r="P575" s="310">
        <f t="shared" ca="1" si="250"/>
        <v>23</v>
      </c>
      <c r="Q575" s="304">
        <f t="shared" ca="1" si="251"/>
        <v>0</v>
      </c>
      <c r="R575" s="306">
        <f t="shared" ca="1" si="252"/>
        <v>0</v>
      </c>
      <c r="S575" s="307">
        <f t="shared" ca="1" si="253"/>
        <v>2.5949999999999998</v>
      </c>
      <c r="T575" s="304">
        <f t="shared" ca="1" si="233"/>
        <v>25.456949999999999</v>
      </c>
      <c r="U575" s="311">
        <f t="shared" ca="1" si="234"/>
        <v>0</v>
      </c>
      <c r="V575" s="306">
        <f t="shared" ca="1" si="235"/>
        <v>1.2261278643003151</v>
      </c>
      <c r="W575" s="304">
        <f t="shared" ca="1" si="236"/>
        <v>23.556270559190143</v>
      </c>
      <c r="Y575" s="314" t="str">
        <f t="shared" ca="1" si="254"/>
        <v/>
      </c>
      <c r="Z575" s="315" t="str">
        <f t="shared" ca="1" si="255"/>
        <v/>
      </c>
      <c r="AA575" s="316" t="str">
        <f t="shared" ca="1" si="256"/>
        <v/>
      </c>
      <c r="AC575" s="310" t="e">
        <f t="shared" ca="1" si="257"/>
        <v>#N/A</v>
      </c>
      <c r="AD575" s="323" t="e">
        <f t="shared" ca="1" si="258"/>
        <v>#N/A</v>
      </c>
      <c r="AE575" s="324" t="e">
        <f t="shared" ca="1" si="237"/>
        <v>#N/A</v>
      </c>
      <c r="AG575" s="306">
        <f t="shared" ca="1" si="259"/>
        <v>0.71390011387027208</v>
      </c>
      <c r="AH575" s="304">
        <f t="shared" ca="1" si="260"/>
        <v>-9.0775387521966362</v>
      </c>
    </row>
    <row r="576" spans="1:34" x14ac:dyDescent="0.2">
      <c r="A576" s="347">
        <f t="shared" ca="1" si="238"/>
        <v>1E-4</v>
      </c>
      <c r="B576" s="304">
        <f t="shared" ca="1" si="239"/>
        <v>32.518900000000798</v>
      </c>
      <c r="D576" s="306">
        <f t="shared" ca="1" si="240"/>
        <v>-0.55813852783848528</v>
      </c>
      <c r="E576" s="307">
        <f t="shared" ca="1" si="241"/>
        <v>-0.74961405663688474</v>
      </c>
      <c r="F576" s="304">
        <f t="shared" ca="1" si="242"/>
        <v>0.9345800394644207</v>
      </c>
      <c r="G576" s="306">
        <f t="shared" ca="1" si="243"/>
        <v>5.9554929098304319</v>
      </c>
      <c r="H576" s="307">
        <f t="shared" ca="1" si="244"/>
        <v>-96.677812207110421</v>
      </c>
      <c r="I576" s="304">
        <f t="shared" ca="1" si="245"/>
        <v>96.861071999809852</v>
      </c>
      <c r="J576" s="306">
        <f t="shared" ca="1" si="246"/>
        <v>588.9746359926213</v>
      </c>
      <c r="K576" s="307">
        <f t="shared" ca="1" si="247"/>
        <v>-9.2124867469905443</v>
      </c>
      <c r="L576" s="304">
        <f t="shared" ca="1" si="232"/>
        <v>589.04668045470237</v>
      </c>
      <c r="M576" s="306">
        <f t="shared" ca="1" si="248"/>
        <v>-1.5092726255325806</v>
      </c>
      <c r="N576" s="304">
        <f t="shared" ca="1" si="249"/>
        <v>-86.474951577645598</v>
      </c>
      <c r="P576" s="310">
        <f t="shared" ca="1" si="250"/>
        <v>23</v>
      </c>
      <c r="Q576" s="304">
        <f t="shared" ca="1" si="251"/>
        <v>0</v>
      </c>
      <c r="R576" s="306">
        <f t="shared" ca="1" si="252"/>
        <v>0</v>
      </c>
      <c r="S576" s="307">
        <f t="shared" ca="1" si="253"/>
        <v>2.5949999999999998</v>
      </c>
      <c r="T576" s="304">
        <f t="shared" ca="1" si="233"/>
        <v>25.456949999999999</v>
      </c>
      <c r="U576" s="311">
        <f t="shared" ca="1" si="234"/>
        <v>0</v>
      </c>
      <c r="V576" s="306">
        <f t="shared" ca="1" si="235"/>
        <v>1.2261290496942736</v>
      </c>
      <c r="W576" s="304">
        <f t="shared" ca="1" si="236"/>
        <v>23.556328055503005</v>
      </c>
      <c r="Y576" s="314" t="str">
        <f t="shared" ca="1" si="254"/>
        <v/>
      </c>
      <c r="Z576" s="315" t="str">
        <f t="shared" ca="1" si="255"/>
        <v/>
      </c>
      <c r="AA576" s="316" t="str">
        <f t="shared" ca="1" si="256"/>
        <v/>
      </c>
      <c r="AC576" s="310" t="e">
        <f t="shared" ca="1" si="257"/>
        <v>#N/A</v>
      </c>
      <c r="AD576" s="323" t="e">
        <f t="shared" ca="1" si="258"/>
        <v>#N/A</v>
      </c>
      <c r="AE576" s="324" t="e">
        <f t="shared" ca="1" si="237"/>
        <v>#N/A</v>
      </c>
      <c r="AG576" s="306">
        <f t="shared" ca="1" si="259"/>
        <v>0.71387833255135824</v>
      </c>
      <c r="AH576" s="304">
        <f t="shared" ca="1" si="260"/>
        <v>-9.0775609091291507</v>
      </c>
    </row>
    <row r="577" spans="1:34" x14ac:dyDescent="0.2">
      <c r="A577" s="347">
        <f t="shared" ca="1" si="238"/>
        <v>1E-4</v>
      </c>
      <c r="B577" s="304">
        <f t="shared" ca="1" si="239"/>
        <v>32.519000000000801</v>
      </c>
      <c r="D577" s="306">
        <f t="shared" ca="1" si="240"/>
        <v>-0.55813424805277578</v>
      </c>
      <c r="E577" s="307">
        <f t="shared" ca="1" si="241"/>
        <v>-0.74959159441946177</v>
      </c>
      <c r="F577" s="304">
        <f t="shared" ca="1" si="242"/>
        <v>0.93455946695421588</v>
      </c>
      <c r="G577" s="306">
        <f t="shared" ca="1" si="243"/>
        <v>5.9554370964056265</v>
      </c>
      <c r="H577" s="307">
        <f t="shared" ca="1" si="244"/>
        <v>-96.677887166269869</v>
      </c>
      <c r="I577" s="304">
        <f t="shared" ca="1" si="245"/>
        <v>96.861143385483814</v>
      </c>
      <c r="J577" s="306">
        <f t="shared" ca="1" si="246"/>
        <v>588.9746359926213</v>
      </c>
      <c r="K577" s="307">
        <f t="shared" ca="1" si="247"/>
        <v>-9.2221545319592124</v>
      </c>
      <c r="L577" s="304">
        <f t="shared" ca="1" si="232"/>
        <v>589.04683173483932</v>
      </c>
      <c r="M577" s="306">
        <f t="shared" ca="1" si="248"/>
        <v>-1.5092732482454723</v>
      </c>
      <c r="N577" s="304">
        <f t="shared" ca="1" si="249"/>
        <v>-86.474987256466136</v>
      </c>
      <c r="P577" s="310">
        <f t="shared" ca="1" si="250"/>
        <v>23</v>
      </c>
      <c r="Q577" s="304">
        <f t="shared" ca="1" si="251"/>
        <v>0</v>
      </c>
      <c r="R577" s="306">
        <f t="shared" ca="1" si="252"/>
        <v>0</v>
      </c>
      <c r="S577" s="307">
        <f t="shared" ca="1" si="253"/>
        <v>2.5949999999999998</v>
      </c>
      <c r="T577" s="304">
        <f t="shared" ca="1" si="233"/>
        <v>25.456949999999999</v>
      </c>
      <c r="U577" s="311">
        <f t="shared" ca="1" si="234"/>
        <v>0</v>
      </c>
      <c r="V577" s="306">
        <f t="shared" ca="1" si="235"/>
        <v>1.2261302350902981</v>
      </c>
      <c r="W577" s="304">
        <f t="shared" ca="1" si="236"/>
        <v>23.556385550888884</v>
      </c>
      <c r="Y577" s="314" t="str">
        <f t="shared" ca="1" si="254"/>
        <v/>
      </c>
      <c r="Z577" s="315" t="str">
        <f t="shared" ca="1" si="255"/>
        <v/>
      </c>
      <c r="AA577" s="316" t="str">
        <f t="shared" ca="1" si="256"/>
        <v/>
      </c>
      <c r="AC577" s="310" t="e">
        <f t="shared" ca="1" si="257"/>
        <v>#N/A</v>
      </c>
      <c r="AD577" s="323" t="e">
        <f t="shared" ca="1" si="258"/>
        <v>#N/A</v>
      </c>
      <c r="AE577" s="324" t="e">
        <f t="shared" ca="1" si="237"/>
        <v>#N/A</v>
      </c>
      <c r="AG577" s="306">
        <f t="shared" ca="1" si="259"/>
        <v>0.71385655158180583</v>
      </c>
      <c r="AH577" s="304">
        <f t="shared" ca="1" si="260"/>
        <v>-9.0775830657044345</v>
      </c>
    </row>
    <row r="578" spans="1:34" x14ac:dyDescent="0.2">
      <c r="A578" s="347">
        <f t="shared" ca="1" si="238"/>
        <v>1E-4</v>
      </c>
      <c r="B578" s="304">
        <f t="shared" ca="1" si="239"/>
        <v>32.519100000000805</v>
      </c>
      <c r="D578" s="306">
        <f t="shared" ca="1" si="240"/>
        <v>-0.55812996827853556</v>
      </c>
      <c r="E578" s="307">
        <f t="shared" ca="1" si="241"/>
        <v>-0.74956913256416691</v>
      </c>
      <c r="F578" s="304">
        <f t="shared" ca="1" si="242"/>
        <v>0.9345388948479334</v>
      </c>
      <c r="G578" s="306">
        <f t="shared" ca="1" si="243"/>
        <v>5.9553812834087987</v>
      </c>
      <c r="H578" s="307">
        <f t="shared" ca="1" si="244"/>
        <v>-96.677962123183121</v>
      </c>
      <c r="I578" s="304">
        <f t="shared" ca="1" si="245"/>
        <v>96.861214768979679</v>
      </c>
      <c r="J578" s="306">
        <f t="shared" ca="1" si="246"/>
        <v>588.9746359926213</v>
      </c>
      <c r="K578" s="307">
        <f t="shared" ca="1" si="247"/>
        <v>-9.2318223244236854</v>
      </c>
      <c r="L578" s="304">
        <f t="shared" ca="1" si="232"/>
        <v>589.04698317372822</v>
      </c>
      <c r="M578" s="306">
        <f t="shared" ca="1" si="248"/>
        <v>-1.5092738709516103</v>
      </c>
      <c r="N578" s="304">
        <f t="shared" ca="1" si="249"/>
        <v>-86.475022934899727</v>
      </c>
      <c r="P578" s="310">
        <f t="shared" ca="1" si="250"/>
        <v>23</v>
      </c>
      <c r="Q578" s="304">
        <f t="shared" ca="1" si="251"/>
        <v>0</v>
      </c>
      <c r="R578" s="306">
        <f t="shared" ca="1" si="252"/>
        <v>0</v>
      </c>
      <c r="S578" s="307">
        <f t="shared" ca="1" si="253"/>
        <v>2.5949999999999998</v>
      </c>
      <c r="T578" s="304">
        <f t="shared" ca="1" si="233"/>
        <v>25.456949999999999</v>
      </c>
      <c r="U578" s="311">
        <f t="shared" ca="1" si="234"/>
        <v>0</v>
      </c>
      <c r="V578" s="306">
        <f t="shared" ca="1" si="235"/>
        <v>1.226131420488388</v>
      </c>
      <c r="W578" s="304">
        <f t="shared" ca="1" si="236"/>
        <v>23.556443045347748</v>
      </c>
      <c r="Y578" s="314" t="str">
        <f t="shared" ca="1" si="254"/>
        <v/>
      </c>
      <c r="Z578" s="315" t="str">
        <f t="shared" ca="1" si="255"/>
        <v/>
      </c>
      <c r="AA578" s="316" t="str">
        <f t="shared" ca="1" si="256"/>
        <v/>
      </c>
      <c r="AC578" s="310" t="e">
        <f t="shared" ca="1" si="257"/>
        <v>#N/A</v>
      </c>
      <c r="AD578" s="323" t="e">
        <f t="shared" ca="1" si="258"/>
        <v>#N/A</v>
      </c>
      <c r="AE578" s="324" t="e">
        <f t="shared" ca="1" si="237"/>
        <v>#N/A</v>
      </c>
      <c r="AG578" s="306">
        <f t="shared" ca="1" si="259"/>
        <v>0.71383477096160064</v>
      </c>
      <c r="AH578" s="304">
        <f t="shared" ca="1" si="260"/>
        <v>-9.0776052219225001</v>
      </c>
    </row>
    <row r="579" spans="1:34" x14ac:dyDescent="0.2">
      <c r="A579" s="347">
        <f t="shared" ca="1" si="238"/>
        <v>1E-4</v>
      </c>
      <c r="B579" s="304">
        <f t="shared" ca="1" si="239"/>
        <v>32.519200000000808</v>
      </c>
      <c r="D579" s="306">
        <f t="shared" ca="1" si="240"/>
        <v>-0.55812568851576483</v>
      </c>
      <c r="E579" s="307">
        <f t="shared" ca="1" si="241"/>
        <v>-0.74954667107101614</v>
      </c>
      <c r="F579" s="304">
        <f t="shared" ca="1" si="242"/>
        <v>0.93451832314558636</v>
      </c>
      <c r="G579" s="306">
        <f t="shared" ca="1" si="243"/>
        <v>5.9553254708399468</v>
      </c>
      <c r="H579" s="307">
        <f t="shared" ca="1" si="244"/>
        <v>-96.678037077850234</v>
      </c>
      <c r="I579" s="304">
        <f t="shared" ca="1" si="245"/>
        <v>96.861286150297531</v>
      </c>
      <c r="J579" s="306">
        <f t="shared" ca="1" si="246"/>
        <v>588.9746359926213</v>
      </c>
      <c r="K579" s="307">
        <f t="shared" ca="1" si="247"/>
        <v>-9.2414901243837377</v>
      </c>
      <c r="L579" s="304">
        <f t="shared" ca="1" si="232"/>
        <v>589.04713477136943</v>
      </c>
      <c r="M579" s="306">
        <f t="shared" ca="1" si="248"/>
        <v>-1.5092744936509945</v>
      </c>
      <c r="N579" s="304">
        <f t="shared" ca="1" si="249"/>
        <v>-86.475058612946356</v>
      </c>
      <c r="P579" s="310">
        <f t="shared" ca="1" si="250"/>
        <v>23</v>
      </c>
      <c r="Q579" s="304">
        <f t="shared" ca="1" si="251"/>
        <v>0</v>
      </c>
      <c r="R579" s="306">
        <f t="shared" ca="1" si="252"/>
        <v>0</v>
      </c>
      <c r="S579" s="307">
        <f t="shared" ca="1" si="253"/>
        <v>2.5949999999999998</v>
      </c>
      <c r="T579" s="304">
        <f t="shared" ca="1" si="233"/>
        <v>25.456949999999999</v>
      </c>
      <c r="U579" s="311">
        <f t="shared" ca="1" si="234"/>
        <v>0</v>
      </c>
      <c r="V579" s="306">
        <f t="shared" ca="1" si="235"/>
        <v>1.2261326058885436</v>
      </c>
      <c r="W579" s="304">
        <f t="shared" ca="1" si="236"/>
        <v>23.556500538879646</v>
      </c>
      <c r="Y579" s="314" t="str">
        <f t="shared" ca="1" si="254"/>
        <v/>
      </c>
      <c r="Z579" s="315" t="str">
        <f t="shared" ca="1" si="255"/>
        <v/>
      </c>
      <c r="AA579" s="316" t="str">
        <f t="shared" ca="1" si="256"/>
        <v/>
      </c>
      <c r="AC579" s="310" t="e">
        <f t="shared" ca="1" si="257"/>
        <v>#N/A</v>
      </c>
      <c r="AD579" s="323" t="e">
        <f t="shared" ca="1" si="258"/>
        <v>#N/A</v>
      </c>
      <c r="AE579" s="324" t="e">
        <f t="shared" ca="1" si="237"/>
        <v>#N/A</v>
      </c>
      <c r="AG579" s="306">
        <f t="shared" ca="1" si="259"/>
        <v>0.71381299069075865</v>
      </c>
      <c r="AH579" s="304">
        <f t="shared" ca="1" si="260"/>
        <v>-9.0776273777833332</v>
      </c>
    </row>
    <row r="580" spans="1:34" x14ac:dyDescent="0.2">
      <c r="A580" s="347">
        <f t="shared" ca="1" si="238"/>
        <v>1E-4</v>
      </c>
      <c r="B580" s="304">
        <f t="shared" ca="1" si="239"/>
        <v>32.519300000000811</v>
      </c>
      <c r="D580" s="306">
        <f t="shared" ca="1" si="240"/>
        <v>-0.55812140876446614</v>
      </c>
      <c r="E580" s="307">
        <f t="shared" ca="1" si="241"/>
        <v>-0.74952420993998636</v>
      </c>
      <c r="F580" s="304">
        <f t="shared" ca="1" si="242"/>
        <v>0.93449775184715833</v>
      </c>
      <c r="G580" s="306">
        <f t="shared" ca="1" si="243"/>
        <v>5.9552696586990708</v>
      </c>
      <c r="H580" s="307">
        <f t="shared" ca="1" si="244"/>
        <v>-96.678112030271222</v>
      </c>
      <c r="I580" s="304">
        <f t="shared" ca="1" si="245"/>
        <v>96.86135752943737</v>
      </c>
      <c r="J580" s="306">
        <f t="shared" ca="1" si="246"/>
        <v>588.9746359926213</v>
      </c>
      <c r="K580" s="307">
        <f t="shared" ca="1" si="247"/>
        <v>-9.2511579318391437</v>
      </c>
      <c r="L580" s="304">
        <f t="shared" ref="L580:L643" ca="1" si="261">SQRT(pos_x^2+pos_z^2)</f>
        <v>589.04728652776305</v>
      </c>
      <c r="M580" s="306">
        <f t="shared" ca="1" si="248"/>
        <v>-1.5092751163436251</v>
      </c>
      <c r="N580" s="304">
        <f t="shared" ca="1" si="249"/>
        <v>-86.475094290606009</v>
      </c>
      <c r="P580" s="310">
        <f t="shared" ca="1" si="250"/>
        <v>23</v>
      </c>
      <c r="Q580" s="304">
        <f t="shared" ca="1" si="251"/>
        <v>0</v>
      </c>
      <c r="R580" s="306">
        <f t="shared" ca="1" si="252"/>
        <v>0</v>
      </c>
      <c r="S580" s="307">
        <f t="shared" ca="1" si="253"/>
        <v>2.5949999999999998</v>
      </c>
      <c r="T580" s="304">
        <f t="shared" ref="T580:T643" ca="1" si="262">m*g</f>
        <v>25.456949999999999</v>
      </c>
      <c r="U580" s="311">
        <f t="shared" ref="U580:U643" ca="1" si="263">IF(pos_xz&lt;L_rampe,Poids*COS(Beta),0)</f>
        <v>0</v>
      </c>
      <c r="V580" s="306">
        <f t="shared" ref="V580:V643" ca="1" si="264">Rho_moyen*(20000-Alt_rampe-pos_z)/(20000+Alt_rampe+pos_z)</f>
        <v>1.2261337912907648</v>
      </c>
      <c r="W580" s="304">
        <f t="shared" ref="W580:W643" ca="1" si="265">1/2*Rho*Sref*Cx*vit_xz^2</f>
        <v>23.55655803148457</v>
      </c>
      <c r="Y580" s="314" t="str">
        <f t="shared" ca="1" si="254"/>
        <v/>
      </c>
      <c r="Z580" s="315" t="str">
        <f t="shared" ca="1" si="255"/>
        <v/>
      </c>
      <c r="AA580" s="316" t="str">
        <f t="shared" ca="1" si="256"/>
        <v/>
      </c>
      <c r="AC580" s="310" t="e">
        <f t="shared" ca="1" si="257"/>
        <v>#N/A</v>
      </c>
      <c r="AD580" s="323" t="e">
        <f t="shared" ca="1" si="258"/>
        <v>#N/A</v>
      </c>
      <c r="AE580" s="324" t="e">
        <f t="shared" ref="AE580:AE643" ca="1" si="266">IF(t&lt;T_para, pos_z, NA())</f>
        <v>#N/A</v>
      </c>
      <c r="AG580" s="306">
        <f t="shared" ca="1" si="259"/>
        <v>0.713791210769255</v>
      </c>
      <c r="AH580" s="304">
        <f t="shared" ca="1" si="260"/>
        <v>-9.0776495332869551</v>
      </c>
    </row>
    <row r="581" spans="1:34" x14ac:dyDescent="0.2">
      <c r="A581" s="347">
        <f t="shared" ref="A581:A644" ca="1" si="267">IF(B580+0.01&lt;=T_ini+ROUNDUP(Temps_fin_propu,0), 0.01, IF(K580&gt;0, 0.1, 0.0001))</f>
        <v>1E-4</v>
      </c>
      <c r="B581" s="304">
        <f t="shared" ref="B581:B644" ca="1" si="268">B580+pas</f>
        <v>32.519400000000815</v>
      </c>
      <c r="D581" s="306">
        <f t="shared" ref="D581:D644" ca="1" si="269">IF(AND(L580&lt;L_rampe,Poussee&lt;Poids*SIN(M580)),0,(-W580+Poussee)/m*COS(M580)-U580/m*SIN(M580))</f>
        <v>-0.55811712902464017</v>
      </c>
      <c r="E581" s="307">
        <f t="shared" ref="E581:E644" ca="1" si="270">IF(AND(L580&lt;L_rampe,Poussee&lt;Poids*SIN(M580)),0,(-W580+Poussee)/m*SIN(M580)+U580/m*COS(M580)-Poids/m)</f>
        <v>-0.74950174917108292</v>
      </c>
      <c r="F581" s="304">
        <f t="shared" ref="F581:F644" ca="1" si="271">SQRT(acc_x^2+acc_z^2)</f>
        <v>0.93447718095265431</v>
      </c>
      <c r="G581" s="306">
        <f t="shared" ref="G581:G644" ca="1" si="272">G580+acc_x*pas</f>
        <v>5.955213846986168</v>
      </c>
      <c r="H581" s="307">
        <f t="shared" ref="H581:H644" ca="1" si="273">H580+acc_z*pas</f>
        <v>-96.678186980446142</v>
      </c>
      <c r="I581" s="304">
        <f t="shared" ref="I581:I644" ca="1" si="274">SQRT(vit_x^2+vit_z^2)</f>
        <v>96.861428906399283</v>
      </c>
      <c r="J581" s="306">
        <f t="shared" ref="J581:J644" ca="1" si="275">J580+0.5*(vit_x+G580)*pas*(K580&gt;=0)</f>
        <v>588.9746359926213</v>
      </c>
      <c r="K581" s="307">
        <f t="shared" ref="K581:K644" ca="1" si="276">K580+0.5*(vit_z+H580)*pas</f>
        <v>-9.2608257467896795</v>
      </c>
      <c r="L581" s="304">
        <f t="shared" ca="1" si="261"/>
        <v>589.04743844290942</v>
      </c>
      <c r="M581" s="306">
        <f t="shared" ref="M581:M644" ca="1" si="277">IF(AND(L580&gt;L_rampe,G581&gt;0),ATAN2(G581,H581),$M$4)</f>
        <v>-1.5092757390295024</v>
      </c>
      <c r="N581" s="304">
        <f t="shared" ref="N581:N644" ca="1" si="278">DEGREES(Beta)</f>
        <v>-86.475129967878743</v>
      </c>
      <c r="P581" s="310">
        <f t="shared" ref="P581:P644" ca="1" si="279">MATCH(t-pas/2-T_ini,CdP_t)</f>
        <v>23</v>
      </c>
      <c r="Q581" s="304">
        <f t="shared" ref="Q581:Q644" ca="1" si="280">(INDEX(CdP,2,i_P+1)-INDEX(CdP,2,i_P+0))/(INDEX(CdP,1,i_P+1)-INDEX(CdP,1,i_P+0))*(t-pas/2-T_ini-INDEX(CdP,1,i_P+0))+INDEX(CdP,2,i_P+0)</f>
        <v>0</v>
      </c>
      <c r="R581" s="306">
        <f t="shared" ref="R581:R644" ca="1" si="281">Poussee/(g*ISP)</f>
        <v>0</v>
      </c>
      <c r="S581" s="307">
        <f t="shared" ref="S581:S644" ca="1" si="282">S580-Débit*pas</f>
        <v>2.5949999999999998</v>
      </c>
      <c r="T581" s="304">
        <f t="shared" ca="1" si="262"/>
        <v>25.456949999999999</v>
      </c>
      <c r="U581" s="311">
        <f t="shared" ca="1" si="263"/>
        <v>0</v>
      </c>
      <c r="V581" s="306">
        <f t="shared" ca="1" si="264"/>
        <v>1.226134976695052</v>
      </c>
      <c r="W581" s="304">
        <f t="shared" ca="1" si="265"/>
        <v>23.556615523162563</v>
      </c>
      <c r="Y581" s="314" t="str">
        <f t="shared" ref="Y581:Y644" ca="1" si="283">IF(AND(pos_z&lt;=0,K580&gt;0),"Impact balistique","") &amp; IF(AND(H582&lt;0,vit_z&gt;=0),"Apogée","") &amp; IF(AND(Poussee=0,Q580&gt;0),"Fin de propulsion","") &amp; IF(AND(L582&gt;L_rampe,pos_xz&lt;=L_rampe),"Sortie de rampe","")</f>
        <v/>
      </c>
      <c r="Z581" s="315" t="str">
        <f t="shared" ref="Z581:Z644" ca="1" si="284">IF(ABS(t-T_para)&lt;pas/2,"Para","")</f>
        <v/>
      </c>
      <c r="AA581" s="316" t="str">
        <f t="shared" ref="AA581:AA644" ca="1" si="285">IF(ABS(t-T_satellite)&lt;pas/2,"Satellite","")</f>
        <v/>
      </c>
      <c r="AC581" s="310" t="e">
        <f t="shared" ref="AC581:AC644" ca="1" si="286">IF(ABS(t-ROUND(t,0))&lt;0.001,t,NA())</f>
        <v>#N/A</v>
      </c>
      <c r="AD581" s="323" t="e">
        <f t="shared" ref="AD581:AD644" ca="1" si="287">IF(ABS(t-ROUND(t,0))&lt;0.001,pos_x,NA())</f>
        <v>#N/A</v>
      </c>
      <c r="AE581" s="324" t="e">
        <f t="shared" ca="1" si="266"/>
        <v>#N/A</v>
      </c>
      <c r="AG581" s="306">
        <f t="shared" ref="AG581:AG644" ca="1" si="288">IF(AND(L580&lt;L_rampe,Poussee&lt;Poids*SIN(M580)),0,(-W580+Poussee)/m-Poids*SIN(M580)/m)</f>
        <v>0.71376943119710035</v>
      </c>
      <c r="AH581" s="304">
        <f t="shared" ref="AH581:AH644" ca="1" si="289">IF(AND(L580&lt;L_rampe,Poussee&lt;Poids*SIN(M580)), g*SIN(M580), (-W580+Poussee)/m)</f>
        <v>-9.0776716884333606</v>
      </c>
    </row>
    <row r="582" spans="1:34" x14ac:dyDescent="0.2">
      <c r="A582" s="347">
        <f t="shared" ca="1" si="267"/>
        <v>1E-4</v>
      </c>
      <c r="B582" s="304">
        <f t="shared" ca="1" si="268"/>
        <v>32.519500000000818</v>
      </c>
      <c r="D582" s="306">
        <f t="shared" ca="1" si="269"/>
        <v>-0.55811284929628524</v>
      </c>
      <c r="E582" s="307">
        <f t="shared" ca="1" si="270"/>
        <v>-0.74947928876428627</v>
      </c>
      <c r="F582" s="304">
        <f t="shared" ca="1" si="271"/>
        <v>0.93445661046205797</v>
      </c>
      <c r="G582" s="306">
        <f t="shared" ca="1" si="272"/>
        <v>5.9551580357012384</v>
      </c>
      <c r="H582" s="307">
        <f t="shared" ca="1" si="273"/>
        <v>-96.678261928375022</v>
      </c>
      <c r="I582" s="304">
        <f t="shared" ca="1" si="274"/>
        <v>96.861500281183254</v>
      </c>
      <c r="J582" s="306">
        <f t="shared" ca="1" si="275"/>
        <v>588.9746359926213</v>
      </c>
      <c r="K582" s="307">
        <f t="shared" ca="1" si="276"/>
        <v>-9.2704935692351214</v>
      </c>
      <c r="L582" s="304">
        <f t="shared" ca="1" si="261"/>
        <v>589.04759051680878</v>
      </c>
      <c r="M582" s="306">
        <f t="shared" ca="1" si="277"/>
        <v>-1.5092763617086262</v>
      </c>
      <c r="N582" s="304">
        <f t="shared" ca="1" si="278"/>
        <v>-86.47516564476453</v>
      </c>
      <c r="P582" s="310">
        <f t="shared" ca="1" si="279"/>
        <v>23</v>
      </c>
      <c r="Q582" s="304">
        <f t="shared" ca="1" si="280"/>
        <v>0</v>
      </c>
      <c r="R582" s="306">
        <f t="shared" ca="1" si="281"/>
        <v>0</v>
      </c>
      <c r="S582" s="307">
        <f t="shared" ca="1" si="282"/>
        <v>2.5949999999999998</v>
      </c>
      <c r="T582" s="304">
        <f t="shared" ca="1" si="262"/>
        <v>25.456949999999999</v>
      </c>
      <c r="U582" s="311">
        <f t="shared" ca="1" si="263"/>
        <v>0</v>
      </c>
      <c r="V582" s="306">
        <f t="shared" ca="1" si="264"/>
        <v>1.2261361621014042</v>
      </c>
      <c r="W582" s="304">
        <f t="shared" ca="1" si="265"/>
        <v>23.556673013913592</v>
      </c>
      <c r="Y582" s="314" t="str">
        <f t="shared" ca="1" si="283"/>
        <v/>
      </c>
      <c r="Z582" s="315" t="str">
        <f t="shared" ca="1" si="284"/>
        <v/>
      </c>
      <c r="AA582" s="316" t="str">
        <f t="shared" ca="1" si="285"/>
        <v/>
      </c>
      <c r="AC582" s="310" t="e">
        <f t="shared" ca="1" si="286"/>
        <v>#N/A</v>
      </c>
      <c r="AD582" s="323" t="e">
        <f t="shared" ca="1" si="287"/>
        <v>#N/A</v>
      </c>
      <c r="AE582" s="324" t="e">
        <f t="shared" ca="1" si="266"/>
        <v>#N/A</v>
      </c>
      <c r="AG582" s="306">
        <f t="shared" ca="1" si="288"/>
        <v>0.71374765197427337</v>
      </c>
      <c r="AH582" s="304">
        <f t="shared" ca="1" si="289"/>
        <v>-9.0776938432225691</v>
      </c>
    </row>
    <row r="583" spans="1:34" x14ac:dyDescent="0.2">
      <c r="A583" s="347">
        <f t="shared" ca="1" si="267"/>
        <v>1E-4</v>
      </c>
      <c r="B583" s="304">
        <f t="shared" ca="1" si="268"/>
        <v>32.519600000000821</v>
      </c>
      <c r="D583" s="306">
        <f t="shared" ca="1" si="269"/>
        <v>-0.55810856957940369</v>
      </c>
      <c r="E583" s="307">
        <f t="shared" ca="1" si="270"/>
        <v>-0.74945682871961417</v>
      </c>
      <c r="F583" s="304">
        <f t="shared" ca="1" si="271"/>
        <v>0.93443604037538552</v>
      </c>
      <c r="G583" s="306">
        <f t="shared" ca="1" si="272"/>
        <v>5.9551022248442802</v>
      </c>
      <c r="H583" s="307">
        <f t="shared" ca="1" si="273"/>
        <v>-96.678336874057891</v>
      </c>
      <c r="I583" s="304">
        <f t="shared" ca="1" si="274"/>
        <v>96.861571653789341</v>
      </c>
      <c r="J583" s="306">
        <f t="shared" ca="1" si="275"/>
        <v>588.9746359926213</v>
      </c>
      <c r="K583" s="307">
        <f t="shared" ca="1" si="276"/>
        <v>-9.2801613991752436</v>
      </c>
      <c r="L583" s="304">
        <f t="shared" ca="1" si="261"/>
        <v>589.04774274946124</v>
      </c>
      <c r="M583" s="306">
        <f t="shared" ca="1" si="277"/>
        <v>-1.5092769843809966</v>
      </c>
      <c r="N583" s="304">
        <f t="shared" ca="1" si="278"/>
        <v>-86.47520132126337</v>
      </c>
      <c r="P583" s="310">
        <f t="shared" ca="1" si="279"/>
        <v>23</v>
      </c>
      <c r="Q583" s="304">
        <f t="shared" ca="1" si="280"/>
        <v>0</v>
      </c>
      <c r="R583" s="306">
        <f t="shared" ca="1" si="281"/>
        <v>0</v>
      </c>
      <c r="S583" s="307">
        <f t="shared" ca="1" si="282"/>
        <v>2.5949999999999998</v>
      </c>
      <c r="T583" s="304">
        <f t="shared" ca="1" si="262"/>
        <v>25.456949999999999</v>
      </c>
      <c r="U583" s="311">
        <f t="shared" ca="1" si="263"/>
        <v>0</v>
      </c>
      <c r="V583" s="306">
        <f t="shared" ca="1" si="264"/>
        <v>1.2261373475098221</v>
      </c>
      <c r="W583" s="304">
        <f t="shared" ca="1" si="265"/>
        <v>23.556730503737686</v>
      </c>
      <c r="Y583" s="314" t="str">
        <f t="shared" ca="1" si="283"/>
        <v/>
      </c>
      <c r="Z583" s="315" t="str">
        <f t="shared" ca="1" si="284"/>
        <v/>
      </c>
      <c r="AA583" s="316" t="str">
        <f t="shared" ca="1" si="285"/>
        <v/>
      </c>
      <c r="AC583" s="310" t="e">
        <f t="shared" ca="1" si="286"/>
        <v>#N/A</v>
      </c>
      <c r="AD583" s="323" t="e">
        <f t="shared" ca="1" si="287"/>
        <v>#N/A</v>
      </c>
      <c r="AE583" s="324" t="e">
        <f t="shared" ca="1" si="266"/>
        <v>#N/A</v>
      </c>
      <c r="AG583" s="306">
        <f t="shared" ca="1" si="288"/>
        <v>0.7137258731007865</v>
      </c>
      <c r="AH583" s="304">
        <f t="shared" ca="1" si="289"/>
        <v>-9.0777159976545647</v>
      </c>
    </row>
    <row r="584" spans="1:34" x14ac:dyDescent="0.2">
      <c r="A584" s="347">
        <f t="shared" ca="1" si="267"/>
        <v>1E-4</v>
      </c>
      <c r="B584" s="304">
        <f t="shared" ca="1" si="268"/>
        <v>32.519700000000825</v>
      </c>
      <c r="D584" s="306">
        <f t="shared" ca="1" si="269"/>
        <v>-0.55810428987399718</v>
      </c>
      <c r="E584" s="307">
        <f t="shared" ca="1" si="270"/>
        <v>-0.74943436903705063</v>
      </c>
      <c r="F584" s="304">
        <f t="shared" ca="1" si="271"/>
        <v>0.93441547069262554</v>
      </c>
      <c r="G584" s="306">
        <f t="shared" ca="1" si="272"/>
        <v>5.9550464144152926</v>
      </c>
      <c r="H584" s="307">
        <f t="shared" ca="1" si="273"/>
        <v>-96.678411817494791</v>
      </c>
      <c r="I584" s="304">
        <f t="shared" ca="1" si="274"/>
        <v>96.861643024217571</v>
      </c>
      <c r="J584" s="306">
        <f t="shared" ca="1" si="275"/>
        <v>588.9746359926213</v>
      </c>
      <c r="K584" s="307">
        <f t="shared" ca="1" si="276"/>
        <v>-9.2898292366098207</v>
      </c>
      <c r="L584" s="304">
        <f t="shared" ca="1" si="261"/>
        <v>589.04789514086724</v>
      </c>
      <c r="M584" s="306">
        <f t="shared" ca="1" si="277"/>
        <v>-1.5092776070466138</v>
      </c>
      <c r="N584" s="304">
        <f t="shared" ca="1" si="278"/>
        <v>-86.475236997375291</v>
      </c>
      <c r="P584" s="310">
        <f t="shared" ca="1" si="279"/>
        <v>23</v>
      </c>
      <c r="Q584" s="304">
        <f t="shared" ca="1" si="280"/>
        <v>0</v>
      </c>
      <c r="R584" s="306">
        <f t="shared" ca="1" si="281"/>
        <v>0</v>
      </c>
      <c r="S584" s="307">
        <f t="shared" ca="1" si="282"/>
        <v>2.5949999999999998</v>
      </c>
      <c r="T584" s="304">
        <f t="shared" ca="1" si="262"/>
        <v>25.456949999999999</v>
      </c>
      <c r="U584" s="311">
        <f t="shared" ca="1" si="263"/>
        <v>0</v>
      </c>
      <c r="V584" s="306">
        <f t="shared" ca="1" si="264"/>
        <v>1.2261385329203049</v>
      </c>
      <c r="W584" s="304">
        <f t="shared" ca="1" si="265"/>
        <v>23.556787992634852</v>
      </c>
      <c r="Y584" s="314" t="str">
        <f t="shared" ca="1" si="283"/>
        <v/>
      </c>
      <c r="Z584" s="315" t="str">
        <f t="shared" ca="1" si="284"/>
        <v/>
      </c>
      <c r="AA584" s="316" t="str">
        <f t="shared" ca="1" si="285"/>
        <v/>
      </c>
      <c r="AC584" s="310" t="e">
        <f t="shared" ca="1" si="286"/>
        <v>#N/A</v>
      </c>
      <c r="AD584" s="323" t="e">
        <f t="shared" ca="1" si="287"/>
        <v>#N/A</v>
      </c>
      <c r="AE584" s="324" t="e">
        <f t="shared" ca="1" si="266"/>
        <v>#N/A</v>
      </c>
      <c r="AG584" s="306">
        <f t="shared" ca="1" si="288"/>
        <v>0.71370409457663442</v>
      </c>
      <c r="AH584" s="304">
        <f t="shared" ca="1" si="289"/>
        <v>-9.0777381517293598</v>
      </c>
    </row>
    <row r="585" spans="1:34" x14ac:dyDescent="0.2">
      <c r="A585" s="347">
        <f t="shared" ca="1" si="267"/>
        <v>1E-4</v>
      </c>
      <c r="B585" s="304">
        <f t="shared" ca="1" si="268"/>
        <v>32.519800000000828</v>
      </c>
      <c r="D585" s="306">
        <f t="shared" ca="1" si="269"/>
        <v>-0.55810001018006317</v>
      </c>
      <c r="E585" s="307">
        <f t="shared" ca="1" si="270"/>
        <v>-0.74941190971659566</v>
      </c>
      <c r="F585" s="304">
        <f t="shared" ca="1" si="271"/>
        <v>0.93439490141377668</v>
      </c>
      <c r="G585" s="306">
        <f t="shared" ca="1" si="272"/>
        <v>5.9549906044142746</v>
      </c>
      <c r="H585" s="307">
        <f t="shared" ca="1" si="273"/>
        <v>-96.678486758685764</v>
      </c>
      <c r="I585" s="304">
        <f t="shared" ca="1" si="274"/>
        <v>96.861714392468002</v>
      </c>
      <c r="J585" s="306">
        <f t="shared" ca="1" si="275"/>
        <v>588.9746359926213</v>
      </c>
      <c r="K585" s="307">
        <f t="shared" ca="1" si="276"/>
        <v>-9.2994970815386306</v>
      </c>
      <c r="L585" s="304">
        <f t="shared" ca="1" si="261"/>
        <v>589.04804769102691</v>
      </c>
      <c r="M585" s="306">
        <f t="shared" ca="1" si="277"/>
        <v>-1.5092782297054781</v>
      </c>
      <c r="N585" s="304">
        <f t="shared" ca="1" si="278"/>
        <v>-86.475272673100292</v>
      </c>
      <c r="P585" s="310">
        <f t="shared" ca="1" si="279"/>
        <v>23</v>
      </c>
      <c r="Q585" s="304">
        <f t="shared" ca="1" si="280"/>
        <v>0</v>
      </c>
      <c r="R585" s="306">
        <f t="shared" ca="1" si="281"/>
        <v>0</v>
      </c>
      <c r="S585" s="307">
        <f t="shared" ca="1" si="282"/>
        <v>2.5949999999999998</v>
      </c>
      <c r="T585" s="304">
        <f t="shared" ca="1" si="262"/>
        <v>25.456949999999999</v>
      </c>
      <c r="U585" s="311">
        <f t="shared" ca="1" si="263"/>
        <v>0</v>
      </c>
      <c r="V585" s="306">
        <f t="shared" ca="1" si="264"/>
        <v>1.2261397183328542</v>
      </c>
      <c r="W585" s="304">
        <f t="shared" ca="1" si="265"/>
        <v>23.55684548060513</v>
      </c>
      <c r="Y585" s="314" t="str">
        <f t="shared" ca="1" si="283"/>
        <v/>
      </c>
      <c r="Z585" s="315" t="str">
        <f t="shared" ca="1" si="284"/>
        <v/>
      </c>
      <c r="AA585" s="316" t="str">
        <f t="shared" ca="1" si="285"/>
        <v/>
      </c>
      <c r="AC585" s="310" t="e">
        <f t="shared" ca="1" si="286"/>
        <v>#N/A</v>
      </c>
      <c r="AD585" s="323" t="e">
        <f t="shared" ca="1" si="287"/>
        <v>#N/A</v>
      </c>
      <c r="AE585" s="324" t="e">
        <f t="shared" ca="1" si="266"/>
        <v>#N/A</v>
      </c>
      <c r="AG585" s="306">
        <f t="shared" ca="1" si="288"/>
        <v>0.71368231640180646</v>
      </c>
      <c r="AH585" s="304">
        <f t="shared" ca="1" si="289"/>
        <v>-9.077760305446958</v>
      </c>
    </row>
    <row r="586" spans="1:34" x14ac:dyDescent="0.2">
      <c r="A586" s="347">
        <f t="shared" ca="1" si="267"/>
        <v>1E-4</v>
      </c>
      <c r="B586" s="304">
        <f t="shared" ca="1" si="268"/>
        <v>32.519900000000831</v>
      </c>
      <c r="D586" s="306">
        <f t="shared" ca="1" si="269"/>
        <v>-0.55809573049760353</v>
      </c>
      <c r="E586" s="307">
        <f t="shared" ca="1" si="270"/>
        <v>-0.74938945075823327</v>
      </c>
      <c r="F586" s="304">
        <f t="shared" ca="1" si="271"/>
        <v>0.93437433253882785</v>
      </c>
      <c r="G586" s="306">
        <f t="shared" ca="1" si="272"/>
        <v>5.9549347948412246</v>
      </c>
      <c r="H586" s="307">
        <f t="shared" ca="1" si="273"/>
        <v>-96.67856169763084</v>
      </c>
      <c r="I586" s="304">
        <f t="shared" ca="1" si="274"/>
        <v>96.86178575854062</v>
      </c>
      <c r="J586" s="306">
        <f t="shared" ca="1" si="275"/>
        <v>588.9746359926213</v>
      </c>
      <c r="K586" s="307">
        <f t="shared" ca="1" si="276"/>
        <v>-9.309164933961446</v>
      </c>
      <c r="L586" s="304">
        <f t="shared" ca="1" si="261"/>
        <v>589.04820039994047</v>
      </c>
      <c r="M586" s="306">
        <f t="shared" ca="1" si="277"/>
        <v>-1.5092788523575893</v>
      </c>
      <c r="N586" s="304">
        <f t="shared" ca="1" si="278"/>
        <v>-86.475308348438361</v>
      </c>
      <c r="P586" s="310">
        <f t="shared" ca="1" si="279"/>
        <v>23</v>
      </c>
      <c r="Q586" s="304">
        <f t="shared" ca="1" si="280"/>
        <v>0</v>
      </c>
      <c r="R586" s="306">
        <f t="shared" ca="1" si="281"/>
        <v>0</v>
      </c>
      <c r="S586" s="307">
        <f t="shared" ca="1" si="282"/>
        <v>2.5949999999999998</v>
      </c>
      <c r="T586" s="304">
        <f t="shared" ca="1" si="262"/>
        <v>25.456949999999999</v>
      </c>
      <c r="U586" s="311">
        <f t="shared" ca="1" si="263"/>
        <v>0</v>
      </c>
      <c r="V586" s="306">
        <f t="shared" ca="1" si="264"/>
        <v>1.2261409037474684</v>
      </c>
      <c r="W586" s="304">
        <f t="shared" ca="1" si="265"/>
        <v>23.55690296764849</v>
      </c>
      <c r="Y586" s="314" t="str">
        <f t="shared" ca="1" si="283"/>
        <v/>
      </c>
      <c r="Z586" s="315" t="str">
        <f t="shared" ca="1" si="284"/>
        <v/>
      </c>
      <c r="AA586" s="316" t="str">
        <f t="shared" ca="1" si="285"/>
        <v/>
      </c>
      <c r="AC586" s="310" t="e">
        <f t="shared" ca="1" si="286"/>
        <v>#N/A</v>
      </c>
      <c r="AD586" s="323" t="e">
        <f t="shared" ca="1" si="287"/>
        <v>#N/A</v>
      </c>
      <c r="AE586" s="324" t="e">
        <f t="shared" ca="1" si="266"/>
        <v>#N/A</v>
      </c>
      <c r="AG586" s="306">
        <f t="shared" ca="1" si="288"/>
        <v>0.71366053857629197</v>
      </c>
      <c r="AH586" s="304">
        <f t="shared" ca="1" si="289"/>
        <v>-9.0777824588073734</v>
      </c>
    </row>
    <row r="587" spans="1:34" x14ac:dyDescent="0.2">
      <c r="A587" s="347">
        <f t="shared" ca="1" si="267"/>
        <v>1E-4</v>
      </c>
      <c r="B587" s="304">
        <f t="shared" ca="1" si="268"/>
        <v>32.520000000000834</v>
      </c>
      <c r="D587" s="306">
        <f t="shared" ca="1" si="269"/>
        <v>-0.55809145082661871</v>
      </c>
      <c r="E587" s="307">
        <f t="shared" ca="1" si="270"/>
        <v>-0.74936699216197589</v>
      </c>
      <c r="F587" s="304">
        <f t="shared" ca="1" si="271"/>
        <v>0.9343537640677898</v>
      </c>
      <c r="G587" s="306">
        <f t="shared" ca="1" si="272"/>
        <v>5.9548789856961415</v>
      </c>
      <c r="H587" s="307">
        <f t="shared" ca="1" si="273"/>
        <v>-96.678636634330061</v>
      </c>
      <c r="I587" s="304">
        <f t="shared" ca="1" si="274"/>
        <v>96.861857122435524</v>
      </c>
      <c r="J587" s="306">
        <f t="shared" ca="1" si="275"/>
        <v>588.9746359926213</v>
      </c>
      <c r="K587" s="307">
        <f t="shared" ca="1" si="276"/>
        <v>-9.3188327938780446</v>
      </c>
      <c r="L587" s="304">
        <f t="shared" ca="1" si="261"/>
        <v>589.04835326760826</v>
      </c>
      <c r="M587" s="306">
        <f t="shared" ca="1" si="277"/>
        <v>-1.5092794750029475</v>
      </c>
      <c r="N587" s="304">
        <f t="shared" ca="1" si="278"/>
        <v>-86.475344023389525</v>
      </c>
      <c r="P587" s="310">
        <f t="shared" ca="1" si="279"/>
        <v>23</v>
      </c>
      <c r="Q587" s="304">
        <f t="shared" ca="1" si="280"/>
        <v>0</v>
      </c>
      <c r="R587" s="306">
        <f t="shared" ca="1" si="281"/>
        <v>0</v>
      </c>
      <c r="S587" s="307">
        <f t="shared" ca="1" si="282"/>
        <v>2.5949999999999998</v>
      </c>
      <c r="T587" s="304">
        <f t="shared" ca="1" si="262"/>
        <v>25.456949999999999</v>
      </c>
      <c r="U587" s="311">
        <f t="shared" ca="1" si="263"/>
        <v>0</v>
      </c>
      <c r="V587" s="306">
        <f t="shared" ca="1" si="264"/>
        <v>1.2261420891641477</v>
      </c>
      <c r="W587" s="304">
        <f t="shared" ca="1" si="265"/>
        <v>23.556960453764972</v>
      </c>
      <c r="Y587" s="314" t="str">
        <f t="shared" ca="1" si="283"/>
        <v/>
      </c>
      <c r="Z587" s="315" t="str">
        <f t="shared" ca="1" si="284"/>
        <v/>
      </c>
      <c r="AA587" s="316" t="str">
        <f t="shared" ca="1" si="285"/>
        <v/>
      </c>
      <c r="AC587" s="310" t="e">
        <f t="shared" ca="1" si="286"/>
        <v>#N/A</v>
      </c>
      <c r="AD587" s="323" t="e">
        <f t="shared" ca="1" si="287"/>
        <v>#N/A</v>
      </c>
      <c r="AE587" s="324" t="e">
        <f t="shared" ca="1" si="266"/>
        <v>#N/A</v>
      </c>
      <c r="AG587" s="306">
        <f t="shared" ca="1" si="288"/>
        <v>0.71363876110010693</v>
      </c>
      <c r="AH587" s="304">
        <f t="shared" ca="1" si="289"/>
        <v>-9.0778046118105937</v>
      </c>
    </row>
    <row r="588" spans="1:34" x14ac:dyDescent="0.2">
      <c r="A588" s="347">
        <f t="shared" ca="1" si="267"/>
        <v>1E-4</v>
      </c>
      <c r="B588" s="304">
        <f t="shared" ca="1" si="268"/>
        <v>32.520100000000838</v>
      </c>
      <c r="D588" s="306">
        <f t="shared" ca="1" si="269"/>
        <v>-0.55808717116711104</v>
      </c>
      <c r="E588" s="307">
        <f t="shared" ca="1" si="270"/>
        <v>-0.74934453392780398</v>
      </c>
      <c r="F588" s="304">
        <f t="shared" ca="1" si="271"/>
        <v>0.93433319600064846</v>
      </c>
      <c r="G588" s="306">
        <f t="shared" ca="1" si="272"/>
        <v>5.9548231769790245</v>
      </c>
      <c r="H588" s="307">
        <f t="shared" ca="1" si="273"/>
        <v>-96.678711568783456</v>
      </c>
      <c r="I588" s="304">
        <f t="shared" ca="1" si="274"/>
        <v>96.861928484152685</v>
      </c>
      <c r="J588" s="306">
        <f t="shared" ca="1" si="275"/>
        <v>588.9746359926213</v>
      </c>
      <c r="K588" s="307">
        <f t="shared" ca="1" si="276"/>
        <v>-9.3285006612882011</v>
      </c>
      <c r="L588" s="304">
        <f t="shared" ca="1" si="261"/>
        <v>589.0485062940304</v>
      </c>
      <c r="M588" s="306">
        <f t="shared" ca="1" si="277"/>
        <v>-1.509280097641553</v>
      </c>
      <c r="N588" s="304">
        <f t="shared" ca="1" si="278"/>
        <v>-86.475379697953784</v>
      </c>
      <c r="P588" s="310">
        <f t="shared" ca="1" si="279"/>
        <v>23</v>
      </c>
      <c r="Q588" s="304">
        <f t="shared" ca="1" si="280"/>
        <v>0</v>
      </c>
      <c r="R588" s="306">
        <f t="shared" ca="1" si="281"/>
        <v>0</v>
      </c>
      <c r="S588" s="307">
        <f t="shared" ca="1" si="282"/>
        <v>2.5949999999999998</v>
      </c>
      <c r="T588" s="304">
        <f t="shared" ca="1" si="262"/>
        <v>25.456949999999999</v>
      </c>
      <c r="U588" s="311">
        <f t="shared" ca="1" si="263"/>
        <v>0</v>
      </c>
      <c r="V588" s="306">
        <f t="shared" ca="1" si="264"/>
        <v>1.2261432745828931</v>
      </c>
      <c r="W588" s="304">
        <f t="shared" ca="1" si="265"/>
        <v>23.557017938954573</v>
      </c>
      <c r="Y588" s="314" t="str">
        <f t="shared" ca="1" si="283"/>
        <v/>
      </c>
      <c r="Z588" s="315" t="str">
        <f t="shared" ca="1" si="284"/>
        <v/>
      </c>
      <c r="AA588" s="316" t="str">
        <f t="shared" ca="1" si="285"/>
        <v/>
      </c>
      <c r="AC588" s="310" t="e">
        <f t="shared" ca="1" si="286"/>
        <v>#N/A</v>
      </c>
      <c r="AD588" s="323" t="e">
        <f t="shared" ca="1" si="287"/>
        <v>#N/A</v>
      </c>
      <c r="AE588" s="324" t="e">
        <f t="shared" ca="1" si="266"/>
        <v>#N/A</v>
      </c>
      <c r="AG588" s="306">
        <f t="shared" ca="1" si="288"/>
        <v>0.71361698397322648</v>
      </c>
      <c r="AH588" s="304">
        <f t="shared" ca="1" si="289"/>
        <v>-9.0778267644566384</v>
      </c>
    </row>
    <row r="589" spans="1:34" x14ac:dyDescent="0.2">
      <c r="A589" s="347">
        <f t="shared" ca="1" si="267"/>
        <v>1E-4</v>
      </c>
      <c r="B589" s="304">
        <f t="shared" ca="1" si="268"/>
        <v>32.520200000000841</v>
      </c>
      <c r="D589" s="306">
        <f t="shared" ca="1" si="269"/>
        <v>-0.55808289151907708</v>
      </c>
      <c r="E589" s="307">
        <f t="shared" ca="1" si="270"/>
        <v>-0.74932207605572465</v>
      </c>
      <c r="F589" s="304">
        <f t="shared" ca="1" si="271"/>
        <v>0.9343126283374078</v>
      </c>
      <c r="G589" s="306">
        <f t="shared" ca="1" si="272"/>
        <v>5.9547673686898728</v>
      </c>
      <c r="H589" s="307">
        <f t="shared" ca="1" si="273"/>
        <v>-96.678786500991066</v>
      </c>
      <c r="I589" s="304">
        <f t="shared" ca="1" si="274"/>
        <v>96.861999843692189</v>
      </c>
      <c r="J589" s="306">
        <f t="shared" ca="1" si="275"/>
        <v>588.9746359926213</v>
      </c>
      <c r="K589" s="307">
        <f t="shared" ca="1" si="276"/>
        <v>-9.3381685361916897</v>
      </c>
      <c r="L589" s="304">
        <f t="shared" ca="1" si="261"/>
        <v>589.04865947920723</v>
      </c>
      <c r="M589" s="306">
        <f t="shared" ca="1" si="277"/>
        <v>-1.5092807202734055</v>
      </c>
      <c r="N589" s="304">
        <f t="shared" ca="1" si="278"/>
        <v>-86.475415372131124</v>
      </c>
      <c r="P589" s="310">
        <f t="shared" ca="1" si="279"/>
        <v>23</v>
      </c>
      <c r="Q589" s="304">
        <f t="shared" ca="1" si="280"/>
        <v>0</v>
      </c>
      <c r="R589" s="306">
        <f t="shared" ca="1" si="281"/>
        <v>0</v>
      </c>
      <c r="S589" s="307">
        <f t="shared" ca="1" si="282"/>
        <v>2.5949999999999998</v>
      </c>
      <c r="T589" s="304">
        <f t="shared" ca="1" si="262"/>
        <v>25.456949999999999</v>
      </c>
      <c r="U589" s="311">
        <f t="shared" ca="1" si="263"/>
        <v>0</v>
      </c>
      <c r="V589" s="306">
        <f t="shared" ca="1" si="264"/>
        <v>1.2261444600037035</v>
      </c>
      <c r="W589" s="304">
        <f t="shared" ca="1" si="265"/>
        <v>23.557075423217324</v>
      </c>
      <c r="Y589" s="314" t="str">
        <f t="shared" ca="1" si="283"/>
        <v/>
      </c>
      <c r="Z589" s="315" t="str">
        <f t="shared" ca="1" si="284"/>
        <v/>
      </c>
      <c r="AA589" s="316" t="str">
        <f t="shared" ca="1" si="285"/>
        <v/>
      </c>
      <c r="AC589" s="310" t="e">
        <f t="shared" ca="1" si="286"/>
        <v>#N/A</v>
      </c>
      <c r="AD589" s="323" t="e">
        <f t="shared" ca="1" si="287"/>
        <v>#N/A</v>
      </c>
      <c r="AE589" s="324" t="e">
        <f t="shared" ca="1" si="266"/>
        <v>#N/A</v>
      </c>
      <c r="AG589" s="306">
        <f t="shared" ca="1" si="288"/>
        <v>0.7135952071956595</v>
      </c>
      <c r="AH589" s="304">
        <f t="shared" ca="1" si="289"/>
        <v>-9.0778489167455003</v>
      </c>
    </row>
    <row r="590" spans="1:34" x14ac:dyDescent="0.2">
      <c r="A590" s="347">
        <f t="shared" ca="1" si="267"/>
        <v>1E-4</v>
      </c>
      <c r="B590" s="304">
        <f t="shared" ca="1" si="268"/>
        <v>32.520300000000844</v>
      </c>
      <c r="D590" s="306">
        <f t="shared" ca="1" si="269"/>
        <v>-0.55807861188252317</v>
      </c>
      <c r="E590" s="307">
        <f t="shared" ca="1" si="270"/>
        <v>-0.74929961854571836</v>
      </c>
      <c r="F590" s="304">
        <f t="shared" ca="1" si="271"/>
        <v>0.93429206107805651</v>
      </c>
      <c r="G590" s="306">
        <f t="shared" ca="1" si="272"/>
        <v>5.9547115608286845</v>
      </c>
      <c r="H590" s="307">
        <f t="shared" ca="1" si="273"/>
        <v>-96.678861430952921</v>
      </c>
      <c r="I590" s="304">
        <f t="shared" ca="1" si="274"/>
        <v>96.862071201054036</v>
      </c>
      <c r="J590" s="306">
        <f t="shared" ca="1" si="275"/>
        <v>588.9746359926213</v>
      </c>
      <c r="K590" s="307">
        <f t="shared" ca="1" si="276"/>
        <v>-9.3478364185882867</v>
      </c>
      <c r="L590" s="304">
        <f t="shared" ca="1" si="261"/>
        <v>589.04881282313897</v>
      </c>
      <c r="M590" s="306">
        <f t="shared" ca="1" si="277"/>
        <v>-1.5092813428985057</v>
      </c>
      <c r="N590" s="304">
        <f t="shared" ca="1" si="278"/>
        <v>-86.475451045921574</v>
      </c>
      <c r="P590" s="310">
        <f t="shared" ca="1" si="279"/>
        <v>23</v>
      </c>
      <c r="Q590" s="304">
        <f t="shared" ca="1" si="280"/>
        <v>0</v>
      </c>
      <c r="R590" s="306">
        <f t="shared" ca="1" si="281"/>
        <v>0</v>
      </c>
      <c r="S590" s="307">
        <f t="shared" ca="1" si="282"/>
        <v>2.5949999999999998</v>
      </c>
      <c r="T590" s="304">
        <f t="shared" ca="1" si="262"/>
        <v>25.456949999999999</v>
      </c>
      <c r="U590" s="311">
        <f t="shared" ca="1" si="263"/>
        <v>0</v>
      </c>
      <c r="V590" s="306">
        <f t="shared" ca="1" si="264"/>
        <v>1.2261456454265791</v>
      </c>
      <c r="W590" s="304">
        <f t="shared" ca="1" si="265"/>
        <v>23.557132906553203</v>
      </c>
      <c r="Y590" s="314" t="str">
        <f t="shared" ca="1" si="283"/>
        <v/>
      </c>
      <c r="Z590" s="315" t="str">
        <f t="shared" ca="1" si="284"/>
        <v/>
      </c>
      <c r="AA590" s="316" t="str">
        <f t="shared" ca="1" si="285"/>
        <v/>
      </c>
      <c r="AC590" s="310" t="e">
        <f t="shared" ca="1" si="286"/>
        <v>#N/A</v>
      </c>
      <c r="AD590" s="323" t="e">
        <f t="shared" ca="1" si="287"/>
        <v>#N/A</v>
      </c>
      <c r="AE590" s="324" t="e">
        <f t="shared" ca="1" si="266"/>
        <v>#N/A</v>
      </c>
      <c r="AG590" s="306">
        <f t="shared" ca="1" si="288"/>
        <v>0.71357343076738999</v>
      </c>
      <c r="AH590" s="304">
        <f t="shared" ca="1" si="289"/>
        <v>-9.0778710686771973</v>
      </c>
    </row>
    <row r="591" spans="1:34" x14ac:dyDescent="0.2">
      <c r="A591" s="347">
        <f t="shared" ca="1" si="267"/>
        <v>1E-4</v>
      </c>
      <c r="B591" s="304">
        <f t="shared" ca="1" si="268"/>
        <v>32.520400000000848</v>
      </c>
      <c r="D591" s="306">
        <f t="shared" ca="1" si="269"/>
        <v>-0.55807433225744363</v>
      </c>
      <c r="E591" s="307">
        <f t="shared" ca="1" si="270"/>
        <v>-0.74927716139780109</v>
      </c>
      <c r="F591" s="304">
        <f t="shared" ca="1" si="271"/>
        <v>0.93427149422260447</v>
      </c>
      <c r="G591" s="306">
        <f t="shared" ca="1" si="272"/>
        <v>5.9546557533954587</v>
      </c>
      <c r="H591" s="307">
        <f t="shared" ca="1" si="273"/>
        <v>-96.678936358669063</v>
      </c>
      <c r="I591" s="304">
        <f t="shared" ca="1" si="274"/>
        <v>96.862142556238283</v>
      </c>
      <c r="J591" s="306">
        <f t="shared" ca="1" si="275"/>
        <v>588.9746359926213</v>
      </c>
      <c r="K591" s="307">
        <f t="shared" ca="1" si="276"/>
        <v>-9.3575043084777683</v>
      </c>
      <c r="L591" s="304">
        <f t="shared" ca="1" si="261"/>
        <v>589.04896632582586</v>
      </c>
      <c r="M591" s="306">
        <f t="shared" ca="1" si="277"/>
        <v>-1.509281965516853</v>
      </c>
      <c r="N591" s="304">
        <f t="shared" ca="1" si="278"/>
        <v>-86.475486719325133</v>
      </c>
      <c r="P591" s="310">
        <f t="shared" ca="1" si="279"/>
        <v>23</v>
      </c>
      <c r="Q591" s="304">
        <f t="shared" ca="1" si="280"/>
        <v>0</v>
      </c>
      <c r="R591" s="306">
        <f t="shared" ca="1" si="281"/>
        <v>0</v>
      </c>
      <c r="S591" s="307">
        <f t="shared" ca="1" si="282"/>
        <v>2.5949999999999998</v>
      </c>
      <c r="T591" s="304">
        <f t="shared" ca="1" si="262"/>
        <v>25.456949999999999</v>
      </c>
      <c r="U591" s="311">
        <f t="shared" ca="1" si="263"/>
        <v>0</v>
      </c>
      <c r="V591" s="306">
        <f t="shared" ca="1" si="264"/>
        <v>1.2261468308515204</v>
      </c>
      <c r="W591" s="304">
        <f t="shared" ca="1" si="265"/>
        <v>23.557190388962255</v>
      </c>
      <c r="Y591" s="314" t="str">
        <f t="shared" ca="1" si="283"/>
        <v/>
      </c>
      <c r="Z591" s="315" t="str">
        <f t="shared" ca="1" si="284"/>
        <v/>
      </c>
      <c r="AA591" s="316" t="str">
        <f t="shared" ca="1" si="285"/>
        <v/>
      </c>
      <c r="AC591" s="310" t="e">
        <f t="shared" ca="1" si="286"/>
        <v>#N/A</v>
      </c>
      <c r="AD591" s="323" t="e">
        <f t="shared" ca="1" si="287"/>
        <v>#N/A</v>
      </c>
      <c r="AE591" s="324" t="e">
        <f t="shared" ca="1" si="266"/>
        <v>#N/A</v>
      </c>
      <c r="AG591" s="306">
        <f t="shared" ca="1" si="288"/>
        <v>0.7135516546884304</v>
      </c>
      <c r="AH591" s="304">
        <f t="shared" ca="1" si="289"/>
        <v>-9.0778932202517169</v>
      </c>
    </row>
    <row r="592" spans="1:34" x14ac:dyDescent="0.2">
      <c r="A592" s="347">
        <f t="shared" ca="1" si="267"/>
        <v>1E-4</v>
      </c>
      <c r="B592" s="304">
        <f t="shared" ca="1" si="268"/>
        <v>32.520500000000851</v>
      </c>
      <c r="D592" s="306">
        <f t="shared" ca="1" si="269"/>
        <v>-0.55807005264384468</v>
      </c>
      <c r="E592" s="307">
        <f t="shared" ca="1" si="270"/>
        <v>-0.74925470461195154</v>
      </c>
      <c r="F592" s="304">
        <f t="shared" ca="1" si="271"/>
        <v>0.93425092777103858</v>
      </c>
      <c r="G592" s="306">
        <f t="shared" ca="1" si="272"/>
        <v>5.9545999463901946</v>
      </c>
      <c r="H592" s="307">
        <f t="shared" ca="1" si="273"/>
        <v>-96.67901128413952</v>
      </c>
      <c r="I592" s="304">
        <f t="shared" ca="1" si="274"/>
        <v>96.862213909244957</v>
      </c>
      <c r="J592" s="306">
        <f t="shared" ca="1" si="275"/>
        <v>588.9746359926213</v>
      </c>
      <c r="K592" s="307">
        <f t="shared" ca="1" si="276"/>
        <v>-9.3671722058599087</v>
      </c>
      <c r="L592" s="304">
        <f t="shared" ca="1" si="261"/>
        <v>589.04911998726811</v>
      </c>
      <c r="M592" s="306">
        <f t="shared" ca="1" si="277"/>
        <v>-1.509282588128448</v>
      </c>
      <c r="N592" s="304">
        <f t="shared" ca="1" si="278"/>
        <v>-86.475522392341787</v>
      </c>
      <c r="P592" s="310">
        <f t="shared" ca="1" si="279"/>
        <v>23</v>
      </c>
      <c r="Q592" s="304">
        <f t="shared" ca="1" si="280"/>
        <v>0</v>
      </c>
      <c r="R592" s="306">
        <f t="shared" ca="1" si="281"/>
        <v>0</v>
      </c>
      <c r="S592" s="307">
        <f t="shared" ca="1" si="282"/>
        <v>2.5949999999999998</v>
      </c>
      <c r="T592" s="304">
        <f t="shared" ca="1" si="262"/>
        <v>25.456949999999999</v>
      </c>
      <c r="U592" s="311">
        <f t="shared" ca="1" si="263"/>
        <v>0</v>
      </c>
      <c r="V592" s="306">
        <f t="shared" ca="1" si="264"/>
        <v>1.2261480162785268</v>
      </c>
      <c r="W592" s="304">
        <f t="shared" ca="1" si="265"/>
        <v>23.557247870444471</v>
      </c>
      <c r="Y592" s="314" t="str">
        <f t="shared" ca="1" si="283"/>
        <v/>
      </c>
      <c r="Z592" s="315" t="str">
        <f t="shared" ca="1" si="284"/>
        <v/>
      </c>
      <c r="AA592" s="316" t="str">
        <f t="shared" ca="1" si="285"/>
        <v/>
      </c>
      <c r="AC592" s="310" t="e">
        <f t="shared" ca="1" si="286"/>
        <v>#N/A</v>
      </c>
      <c r="AD592" s="323" t="e">
        <f t="shared" ca="1" si="287"/>
        <v>#N/A</v>
      </c>
      <c r="AE592" s="324" t="e">
        <f t="shared" ca="1" si="266"/>
        <v>#N/A</v>
      </c>
      <c r="AG592" s="306">
        <f t="shared" ca="1" si="288"/>
        <v>0.71352987895875941</v>
      </c>
      <c r="AH592" s="304">
        <f t="shared" ca="1" si="289"/>
        <v>-9.0779153714690786</v>
      </c>
    </row>
    <row r="593" spans="1:34" x14ac:dyDescent="0.2">
      <c r="A593" s="347">
        <f t="shared" ca="1" si="267"/>
        <v>1E-4</v>
      </c>
      <c r="B593" s="304">
        <f t="shared" ca="1" si="268"/>
        <v>32.520600000000854</v>
      </c>
      <c r="D593" s="306">
        <f t="shared" ca="1" si="269"/>
        <v>-0.55806577304172322</v>
      </c>
      <c r="E593" s="307">
        <f t="shared" ca="1" si="270"/>
        <v>-0.74923224818817324</v>
      </c>
      <c r="F593" s="304">
        <f t="shared" ca="1" si="271"/>
        <v>0.93423036172336027</v>
      </c>
      <c r="G593" s="306">
        <f t="shared" ca="1" si="272"/>
        <v>5.9545441398128904</v>
      </c>
      <c r="H593" s="307">
        <f t="shared" ca="1" si="273"/>
        <v>-96.679086207364335</v>
      </c>
      <c r="I593" s="304">
        <f t="shared" ca="1" si="274"/>
        <v>96.862285260074088</v>
      </c>
      <c r="J593" s="306">
        <f t="shared" ca="1" si="275"/>
        <v>588.9746359926213</v>
      </c>
      <c r="K593" s="307">
        <f t="shared" ca="1" si="276"/>
        <v>-9.3768401107344843</v>
      </c>
      <c r="L593" s="304">
        <f t="shared" ca="1" si="261"/>
        <v>589.04927380746597</v>
      </c>
      <c r="M593" s="306">
        <f t="shared" ca="1" si="277"/>
        <v>-1.5092832107332907</v>
      </c>
      <c r="N593" s="304">
        <f t="shared" ca="1" si="278"/>
        <v>-86.475558064971594</v>
      </c>
      <c r="P593" s="310">
        <f t="shared" ca="1" si="279"/>
        <v>23</v>
      </c>
      <c r="Q593" s="304">
        <f t="shared" ca="1" si="280"/>
        <v>0</v>
      </c>
      <c r="R593" s="306">
        <f t="shared" ca="1" si="281"/>
        <v>0</v>
      </c>
      <c r="S593" s="307">
        <f t="shared" ca="1" si="282"/>
        <v>2.5949999999999998</v>
      </c>
      <c r="T593" s="304">
        <f t="shared" ca="1" si="262"/>
        <v>25.456949999999999</v>
      </c>
      <c r="U593" s="311">
        <f t="shared" ca="1" si="263"/>
        <v>0</v>
      </c>
      <c r="V593" s="306">
        <f t="shared" ca="1" si="264"/>
        <v>1.2261492017075983</v>
      </c>
      <c r="W593" s="304">
        <f t="shared" ca="1" si="265"/>
        <v>23.557305350999858</v>
      </c>
      <c r="Y593" s="314" t="str">
        <f t="shared" ca="1" si="283"/>
        <v/>
      </c>
      <c r="Z593" s="315" t="str">
        <f t="shared" ca="1" si="284"/>
        <v/>
      </c>
      <c r="AA593" s="316" t="str">
        <f t="shared" ca="1" si="285"/>
        <v/>
      </c>
      <c r="AC593" s="310" t="e">
        <f t="shared" ca="1" si="286"/>
        <v>#N/A</v>
      </c>
      <c r="AD593" s="323" t="e">
        <f t="shared" ca="1" si="287"/>
        <v>#N/A</v>
      </c>
      <c r="AE593" s="324" t="e">
        <f t="shared" ca="1" si="266"/>
        <v>#N/A</v>
      </c>
      <c r="AG593" s="306">
        <f t="shared" ca="1" si="288"/>
        <v>0.71350810357838412</v>
      </c>
      <c r="AH593" s="304">
        <f t="shared" ca="1" si="289"/>
        <v>-9.0779375223292771</v>
      </c>
    </row>
    <row r="594" spans="1:34" x14ac:dyDescent="0.2">
      <c r="A594" s="347">
        <f t="shared" ca="1" si="267"/>
        <v>1E-4</v>
      </c>
      <c r="B594" s="304">
        <f t="shared" ca="1" si="268"/>
        <v>32.520700000000858</v>
      </c>
      <c r="D594" s="306">
        <f t="shared" ca="1" si="269"/>
        <v>-0.55806149345107858</v>
      </c>
      <c r="E594" s="307">
        <f t="shared" ca="1" si="270"/>
        <v>-0.74920979212646444</v>
      </c>
      <c r="F594" s="304">
        <f t="shared" ca="1" si="271"/>
        <v>0.93420979607956811</v>
      </c>
      <c r="G594" s="306">
        <f t="shared" ca="1" si="272"/>
        <v>5.9544883336635452</v>
      </c>
      <c r="H594" s="307">
        <f t="shared" ca="1" si="273"/>
        <v>-96.679161128343551</v>
      </c>
      <c r="I594" s="304">
        <f t="shared" ca="1" si="274"/>
        <v>96.862356608725719</v>
      </c>
      <c r="J594" s="306">
        <f t="shared" ca="1" si="275"/>
        <v>588.9746359926213</v>
      </c>
      <c r="K594" s="307">
        <f t="shared" ca="1" si="276"/>
        <v>-9.3865080231012694</v>
      </c>
      <c r="L594" s="304">
        <f t="shared" ca="1" si="261"/>
        <v>589.04942778641976</v>
      </c>
      <c r="M594" s="306">
        <f t="shared" ca="1" si="277"/>
        <v>-1.5092838333313809</v>
      </c>
      <c r="N594" s="304">
        <f t="shared" ca="1" si="278"/>
        <v>-86.475593737214496</v>
      </c>
      <c r="P594" s="310">
        <f t="shared" ca="1" si="279"/>
        <v>23</v>
      </c>
      <c r="Q594" s="304">
        <f t="shared" ca="1" si="280"/>
        <v>0</v>
      </c>
      <c r="R594" s="306">
        <f t="shared" ca="1" si="281"/>
        <v>0</v>
      </c>
      <c r="S594" s="307">
        <f t="shared" ca="1" si="282"/>
        <v>2.5949999999999998</v>
      </c>
      <c r="T594" s="304">
        <f t="shared" ca="1" si="262"/>
        <v>25.456949999999999</v>
      </c>
      <c r="U594" s="311">
        <f t="shared" ca="1" si="263"/>
        <v>0</v>
      </c>
      <c r="V594" s="306">
        <f t="shared" ca="1" si="264"/>
        <v>1.2261503871387354</v>
      </c>
      <c r="W594" s="304">
        <f t="shared" ca="1" si="265"/>
        <v>23.557362830628456</v>
      </c>
      <c r="Y594" s="314" t="str">
        <f t="shared" ca="1" si="283"/>
        <v/>
      </c>
      <c r="Z594" s="315" t="str">
        <f t="shared" ca="1" si="284"/>
        <v/>
      </c>
      <c r="AA594" s="316" t="str">
        <f t="shared" ca="1" si="285"/>
        <v/>
      </c>
      <c r="AC594" s="310" t="e">
        <f t="shared" ca="1" si="286"/>
        <v>#N/A</v>
      </c>
      <c r="AD594" s="323" t="e">
        <f t="shared" ca="1" si="287"/>
        <v>#N/A</v>
      </c>
      <c r="AE594" s="324" t="e">
        <f t="shared" ca="1" si="266"/>
        <v>#N/A</v>
      </c>
      <c r="AG594" s="306">
        <f t="shared" ca="1" si="288"/>
        <v>0.71348632854730099</v>
      </c>
      <c r="AH594" s="304">
        <f t="shared" ca="1" si="289"/>
        <v>-9.077959672832316</v>
      </c>
    </row>
    <row r="595" spans="1:34" x14ac:dyDescent="0.2">
      <c r="A595" s="347">
        <f t="shared" ca="1" si="267"/>
        <v>1E-4</v>
      </c>
      <c r="B595" s="304">
        <f t="shared" ca="1" si="268"/>
        <v>32.520800000000861</v>
      </c>
      <c r="D595" s="306">
        <f t="shared" ca="1" si="269"/>
        <v>-0.55805721387191676</v>
      </c>
      <c r="E595" s="307">
        <f t="shared" ca="1" si="270"/>
        <v>-0.74918733642680913</v>
      </c>
      <c r="F595" s="304">
        <f t="shared" ca="1" si="271"/>
        <v>0.93418923083965333</v>
      </c>
      <c r="G595" s="306">
        <f t="shared" ca="1" si="272"/>
        <v>5.9544325279421582</v>
      </c>
      <c r="H595" s="307">
        <f t="shared" ca="1" si="273"/>
        <v>-96.679236047077197</v>
      </c>
      <c r="I595" s="304">
        <f t="shared" ca="1" si="274"/>
        <v>96.862427955199877</v>
      </c>
      <c r="J595" s="306">
        <f t="shared" ca="1" si="275"/>
        <v>588.9746359926213</v>
      </c>
      <c r="K595" s="307">
        <f t="shared" ca="1" si="276"/>
        <v>-9.3961759429600402</v>
      </c>
      <c r="L595" s="304">
        <f t="shared" ca="1" si="261"/>
        <v>589.04958192412948</v>
      </c>
      <c r="M595" s="306">
        <f t="shared" ca="1" si="277"/>
        <v>-1.5092844559227192</v>
      </c>
      <c r="N595" s="304">
        <f t="shared" ca="1" si="278"/>
        <v>-86.475629409070535</v>
      </c>
      <c r="P595" s="310">
        <f t="shared" ca="1" si="279"/>
        <v>23</v>
      </c>
      <c r="Q595" s="304">
        <f t="shared" ca="1" si="280"/>
        <v>0</v>
      </c>
      <c r="R595" s="306">
        <f t="shared" ca="1" si="281"/>
        <v>0</v>
      </c>
      <c r="S595" s="307">
        <f t="shared" ca="1" si="282"/>
        <v>2.5949999999999998</v>
      </c>
      <c r="T595" s="304">
        <f t="shared" ca="1" si="262"/>
        <v>25.456949999999999</v>
      </c>
      <c r="U595" s="311">
        <f t="shared" ca="1" si="263"/>
        <v>0</v>
      </c>
      <c r="V595" s="306">
        <f t="shared" ca="1" si="264"/>
        <v>1.2261515725719374</v>
      </c>
      <c r="W595" s="304">
        <f t="shared" ca="1" si="265"/>
        <v>23.557420309330237</v>
      </c>
      <c r="Y595" s="314" t="str">
        <f t="shared" ca="1" si="283"/>
        <v/>
      </c>
      <c r="Z595" s="315" t="str">
        <f t="shared" ca="1" si="284"/>
        <v/>
      </c>
      <c r="AA595" s="316" t="str">
        <f t="shared" ca="1" si="285"/>
        <v/>
      </c>
      <c r="AC595" s="310" t="e">
        <f t="shared" ca="1" si="286"/>
        <v>#N/A</v>
      </c>
      <c r="AD595" s="323" t="e">
        <f t="shared" ca="1" si="287"/>
        <v>#N/A</v>
      </c>
      <c r="AE595" s="324" t="e">
        <f t="shared" ca="1" si="266"/>
        <v>#N/A</v>
      </c>
      <c r="AG595" s="306">
        <f t="shared" ca="1" si="288"/>
        <v>0.71346455386549401</v>
      </c>
      <c r="AH595" s="304">
        <f t="shared" ca="1" si="289"/>
        <v>-9.0779818229782112</v>
      </c>
    </row>
    <row r="596" spans="1:34" x14ac:dyDescent="0.2">
      <c r="A596" s="347">
        <f t="shared" ca="1" si="267"/>
        <v>1E-4</v>
      </c>
      <c r="B596" s="304">
        <f t="shared" ca="1" si="268"/>
        <v>32.520900000000864</v>
      </c>
      <c r="D596" s="306">
        <f t="shared" ca="1" si="269"/>
        <v>-0.55805293430423242</v>
      </c>
      <c r="E596" s="307">
        <f t="shared" ca="1" si="270"/>
        <v>-0.74916488108921619</v>
      </c>
      <c r="F596" s="304">
        <f t="shared" ca="1" si="271"/>
        <v>0.93416866600362025</v>
      </c>
      <c r="G596" s="306">
        <f t="shared" ca="1" si="272"/>
        <v>5.9543767226487274</v>
      </c>
      <c r="H596" s="307">
        <f t="shared" ca="1" si="273"/>
        <v>-96.6793109635653</v>
      </c>
      <c r="I596" s="304">
        <f t="shared" ca="1" si="274"/>
        <v>96.862499299496605</v>
      </c>
      <c r="J596" s="306">
        <f t="shared" ca="1" si="275"/>
        <v>588.9746359926213</v>
      </c>
      <c r="K596" s="307">
        <f t="shared" ca="1" si="276"/>
        <v>-9.4058438703105729</v>
      </c>
      <c r="L596" s="304">
        <f t="shared" ca="1" si="261"/>
        <v>589.04973622059572</v>
      </c>
      <c r="M596" s="306">
        <f t="shared" ca="1" si="277"/>
        <v>-1.5092850785073051</v>
      </c>
      <c r="N596" s="304">
        <f t="shared" ca="1" si="278"/>
        <v>-86.475665080539699</v>
      </c>
      <c r="P596" s="310">
        <f t="shared" ca="1" si="279"/>
        <v>23</v>
      </c>
      <c r="Q596" s="304">
        <f t="shared" ca="1" si="280"/>
        <v>0</v>
      </c>
      <c r="R596" s="306">
        <f t="shared" ca="1" si="281"/>
        <v>0</v>
      </c>
      <c r="S596" s="307">
        <f t="shared" ca="1" si="282"/>
        <v>2.5949999999999998</v>
      </c>
      <c r="T596" s="304">
        <f t="shared" ca="1" si="262"/>
        <v>25.456949999999999</v>
      </c>
      <c r="U596" s="311">
        <f t="shared" ca="1" si="263"/>
        <v>0</v>
      </c>
      <c r="V596" s="306">
        <f t="shared" ca="1" si="264"/>
        <v>1.2261527580072049</v>
      </c>
      <c r="W596" s="304">
        <f t="shared" ca="1" si="265"/>
        <v>23.557477787105242</v>
      </c>
      <c r="Y596" s="314" t="str">
        <f t="shared" ca="1" si="283"/>
        <v/>
      </c>
      <c r="Z596" s="315" t="str">
        <f t="shared" ca="1" si="284"/>
        <v/>
      </c>
      <c r="AA596" s="316" t="str">
        <f t="shared" ca="1" si="285"/>
        <v/>
      </c>
      <c r="AC596" s="310" t="e">
        <f t="shared" ca="1" si="286"/>
        <v>#N/A</v>
      </c>
      <c r="AD596" s="323" t="e">
        <f t="shared" ca="1" si="287"/>
        <v>#N/A</v>
      </c>
      <c r="AE596" s="324" t="e">
        <f t="shared" ca="1" si="266"/>
        <v>#N/A</v>
      </c>
      <c r="AG596" s="306">
        <f t="shared" ca="1" si="288"/>
        <v>0.71344277953297386</v>
      </c>
      <c r="AH596" s="304">
        <f t="shared" ca="1" si="289"/>
        <v>-9.0780039727669521</v>
      </c>
    </row>
    <row r="597" spans="1:34" x14ac:dyDescent="0.2">
      <c r="A597" s="347">
        <f t="shared" ca="1" si="267"/>
        <v>1E-4</v>
      </c>
      <c r="B597" s="304">
        <f t="shared" ca="1" si="268"/>
        <v>32.521000000000868</v>
      </c>
      <c r="D597" s="306">
        <f t="shared" ca="1" si="269"/>
        <v>-0.55804865474803123</v>
      </c>
      <c r="E597" s="307">
        <f t="shared" ca="1" si="270"/>
        <v>-0.74914242611367321</v>
      </c>
      <c r="F597" s="304">
        <f t="shared" ca="1" si="271"/>
        <v>0.93414810157146266</v>
      </c>
      <c r="G597" s="306">
        <f t="shared" ca="1" si="272"/>
        <v>5.954320917783253</v>
      </c>
      <c r="H597" s="307">
        <f t="shared" ca="1" si="273"/>
        <v>-96.679385877807917</v>
      </c>
      <c r="I597" s="304">
        <f t="shared" ca="1" si="274"/>
        <v>96.862570641615932</v>
      </c>
      <c r="J597" s="306">
        <f t="shared" ca="1" si="275"/>
        <v>588.9746359926213</v>
      </c>
      <c r="K597" s="307">
        <f t="shared" ca="1" si="276"/>
        <v>-9.4155118051526419</v>
      </c>
      <c r="L597" s="304">
        <f t="shared" ca="1" si="261"/>
        <v>589.04989067581846</v>
      </c>
      <c r="M597" s="306">
        <f t="shared" ca="1" si="277"/>
        <v>-1.509285701085139</v>
      </c>
      <c r="N597" s="304">
        <f t="shared" ca="1" si="278"/>
        <v>-86.475700751622</v>
      </c>
      <c r="P597" s="310">
        <f t="shared" ca="1" si="279"/>
        <v>23</v>
      </c>
      <c r="Q597" s="304">
        <f t="shared" ca="1" si="280"/>
        <v>0</v>
      </c>
      <c r="R597" s="306">
        <f t="shared" ca="1" si="281"/>
        <v>0</v>
      </c>
      <c r="S597" s="307">
        <f t="shared" ca="1" si="282"/>
        <v>2.5949999999999998</v>
      </c>
      <c r="T597" s="304">
        <f t="shared" ca="1" si="262"/>
        <v>25.456949999999999</v>
      </c>
      <c r="U597" s="311">
        <f t="shared" ca="1" si="263"/>
        <v>0</v>
      </c>
      <c r="V597" s="306">
        <f t="shared" ca="1" si="264"/>
        <v>1.2261539434445377</v>
      </c>
      <c r="W597" s="304">
        <f t="shared" ca="1" si="265"/>
        <v>23.557535263953483</v>
      </c>
      <c r="Y597" s="314" t="str">
        <f t="shared" ca="1" si="283"/>
        <v/>
      </c>
      <c r="Z597" s="315" t="str">
        <f t="shared" ca="1" si="284"/>
        <v/>
      </c>
      <c r="AA597" s="316" t="str">
        <f t="shared" ca="1" si="285"/>
        <v/>
      </c>
      <c r="AC597" s="310" t="e">
        <f t="shared" ca="1" si="286"/>
        <v>#N/A</v>
      </c>
      <c r="AD597" s="323" t="e">
        <f t="shared" ca="1" si="287"/>
        <v>#N/A</v>
      </c>
      <c r="AE597" s="324" t="e">
        <f t="shared" ca="1" si="266"/>
        <v>#N/A</v>
      </c>
      <c r="AG597" s="306">
        <f t="shared" ca="1" si="288"/>
        <v>0.71342100554972632</v>
      </c>
      <c r="AH597" s="304">
        <f t="shared" ca="1" si="289"/>
        <v>-9.078026122198553</v>
      </c>
    </row>
    <row r="598" spans="1:34" x14ac:dyDescent="0.2">
      <c r="A598" s="347">
        <f t="shared" ca="1" si="267"/>
        <v>1E-4</v>
      </c>
      <c r="B598" s="304">
        <f t="shared" ca="1" si="268"/>
        <v>32.521100000000871</v>
      </c>
      <c r="D598" s="306">
        <f t="shared" ca="1" si="269"/>
        <v>-0.55804437520331096</v>
      </c>
      <c r="E598" s="307">
        <f t="shared" ca="1" si="270"/>
        <v>-0.74911997150017484</v>
      </c>
      <c r="F598" s="304">
        <f t="shared" ca="1" si="271"/>
        <v>0.93412753754317546</v>
      </c>
      <c r="G598" s="306">
        <f t="shared" ca="1" si="272"/>
        <v>5.9542651133457323</v>
      </c>
      <c r="H598" s="307">
        <f t="shared" ca="1" si="273"/>
        <v>-96.679460789805063</v>
      </c>
      <c r="I598" s="304">
        <f t="shared" ca="1" si="274"/>
        <v>96.862641981557886</v>
      </c>
      <c r="J598" s="306">
        <f t="shared" ca="1" si="275"/>
        <v>588.9746359926213</v>
      </c>
      <c r="K598" s="307">
        <f t="shared" ca="1" si="276"/>
        <v>-9.4251797474860233</v>
      </c>
      <c r="L598" s="304">
        <f t="shared" ca="1" si="261"/>
        <v>589.05004528979805</v>
      </c>
      <c r="M598" s="306">
        <f t="shared" ca="1" si="277"/>
        <v>-1.5092863236562213</v>
      </c>
      <c r="N598" s="304">
        <f t="shared" ca="1" si="278"/>
        <v>-86.475736422317453</v>
      </c>
      <c r="P598" s="310">
        <f t="shared" ca="1" si="279"/>
        <v>23</v>
      </c>
      <c r="Q598" s="304">
        <f t="shared" ca="1" si="280"/>
        <v>0</v>
      </c>
      <c r="R598" s="306">
        <f t="shared" ca="1" si="281"/>
        <v>0</v>
      </c>
      <c r="S598" s="307">
        <f t="shared" ca="1" si="282"/>
        <v>2.5949999999999998</v>
      </c>
      <c r="T598" s="304">
        <f t="shared" ca="1" si="262"/>
        <v>25.456949999999999</v>
      </c>
      <c r="U598" s="311">
        <f t="shared" ca="1" si="263"/>
        <v>0</v>
      </c>
      <c r="V598" s="306">
        <f t="shared" ca="1" si="264"/>
        <v>1.2261551288839352</v>
      </c>
      <c r="W598" s="304">
        <f t="shared" ca="1" si="265"/>
        <v>23.557592739874949</v>
      </c>
      <c r="Y598" s="314" t="str">
        <f t="shared" ca="1" si="283"/>
        <v/>
      </c>
      <c r="Z598" s="315" t="str">
        <f t="shared" ca="1" si="284"/>
        <v/>
      </c>
      <c r="AA598" s="316" t="str">
        <f t="shared" ca="1" si="285"/>
        <v/>
      </c>
      <c r="AC598" s="310" t="e">
        <f t="shared" ca="1" si="286"/>
        <v>#N/A</v>
      </c>
      <c r="AD598" s="323" t="e">
        <f t="shared" ca="1" si="287"/>
        <v>#N/A</v>
      </c>
      <c r="AE598" s="324" t="e">
        <f t="shared" ca="1" si="266"/>
        <v>#N/A</v>
      </c>
      <c r="AG598" s="306">
        <f t="shared" ca="1" si="288"/>
        <v>0.71339923191574606</v>
      </c>
      <c r="AH598" s="304">
        <f t="shared" ca="1" si="289"/>
        <v>-9.0780482712730191</v>
      </c>
    </row>
    <row r="599" spans="1:34" x14ac:dyDescent="0.2">
      <c r="A599" s="347">
        <f t="shared" ca="1" si="267"/>
        <v>1E-4</v>
      </c>
      <c r="B599" s="304">
        <f t="shared" ca="1" si="268"/>
        <v>32.521200000000874</v>
      </c>
      <c r="D599" s="306">
        <f t="shared" ca="1" si="269"/>
        <v>-0.55804009567007029</v>
      </c>
      <c r="E599" s="307">
        <f t="shared" ca="1" si="270"/>
        <v>-0.74909751724872287</v>
      </c>
      <c r="F599" s="304">
        <f t="shared" ca="1" si="271"/>
        <v>0.93410697391875941</v>
      </c>
      <c r="G599" s="306">
        <f t="shared" ca="1" si="272"/>
        <v>5.9542093093361652</v>
      </c>
      <c r="H599" s="307">
        <f t="shared" ca="1" si="273"/>
        <v>-96.679535699556794</v>
      </c>
      <c r="I599" s="304">
        <f t="shared" ca="1" si="274"/>
        <v>96.862713319322523</v>
      </c>
      <c r="J599" s="306">
        <f t="shared" ca="1" si="275"/>
        <v>588.9746359926213</v>
      </c>
      <c r="K599" s="307">
        <f t="shared" ca="1" si="276"/>
        <v>-9.4348476973104916</v>
      </c>
      <c r="L599" s="304">
        <f t="shared" ca="1" si="261"/>
        <v>589.05020006253471</v>
      </c>
      <c r="M599" s="306">
        <f t="shared" ca="1" si="277"/>
        <v>-1.5092869462205516</v>
      </c>
      <c r="N599" s="304">
        <f t="shared" ca="1" si="278"/>
        <v>-86.475772092626059</v>
      </c>
      <c r="P599" s="310">
        <f t="shared" ca="1" si="279"/>
        <v>23</v>
      </c>
      <c r="Q599" s="304">
        <f t="shared" ca="1" si="280"/>
        <v>0</v>
      </c>
      <c r="R599" s="306">
        <f t="shared" ca="1" si="281"/>
        <v>0</v>
      </c>
      <c r="S599" s="307">
        <f t="shared" ca="1" si="282"/>
        <v>2.5949999999999998</v>
      </c>
      <c r="T599" s="304">
        <f t="shared" ca="1" si="262"/>
        <v>25.456949999999999</v>
      </c>
      <c r="U599" s="311">
        <f t="shared" ca="1" si="263"/>
        <v>0</v>
      </c>
      <c r="V599" s="306">
        <f t="shared" ca="1" si="264"/>
        <v>1.226156314325398</v>
      </c>
      <c r="W599" s="304">
        <f t="shared" ca="1" si="265"/>
        <v>23.557650214869664</v>
      </c>
      <c r="Y599" s="314" t="str">
        <f t="shared" ca="1" si="283"/>
        <v/>
      </c>
      <c r="Z599" s="315" t="str">
        <f t="shared" ca="1" si="284"/>
        <v/>
      </c>
      <c r="AA599" s="316" t="str">
        <f t="shared" ca="1" si="285"/>
        <v/>
      </c>
      <c r="AC599" s="310" t="e">
        <f t="shared" ca="1" si="286"/>
        <v>#N/A</v>
      </c>
      <c r="AD599" s="323" t="e">
        <f t="shared" ca="1" si="287"/>
        <v>#N/A</v>
      </c>
      <c r="AE599" s="324" t="e">
        <f t="shared" ca="1" si="266"/>
        <v>#N/A</v>
      </c>
      <c r="AG599" s="306">
        <f t="shared" ca="1" si="288"/>
        <v>0.71337745863103841</v>
      </c>
      <c r="AH599" s="304">
        <f t="shared" ca="1" si="289"/>
        <v>-9.0780704199903468</v>
      </c>
    </row>
    <row r="600" spans="1:34" x14ac:dyDescent="0.2">
      <c r="A600" s="347">
        <f t="shared" ca="1" si="267"/>
        <v>1E-4</v>
      </c>
      <c r="B600" s="304">
        <f t="shared" ca="1" si="268"/>
        <v>32.521300000000878</v>
      </c>
      <c r="D600" s="306">
        <f t="shared" ca="1" si="269"/>
        <v>-0.55803581614831299</v>
      </c>
      <c r="E600" s="307">
        <f t="shared" ca="1" si="270"/>
        <v>-0.74907506335931018</v>
      </c>
      <c r="F600" s="304">
        <f t="shared" ca="1" si="271"/>
        <v>0.93408641069821174</v>
      </c>
      <c r="G600" s="306">
        <f t="shared" ca="1" si="272"/>
        <v>5.95415350575455</v>
      </c>
      <c r="H600" s="307">
        <f t="shared" ca="1" si="273"/>
        <v>-96.679610607063125</v>
      </c>
      <c r="I600" s="304">
        <f t="shared" ca="1" si="274"/>
        <v>96.862784654909859</v>
      </c>
      <c r="J600" s="306">
        <f t="shared" ca="1" si="275"/>
        <v>588.9746359926213</v>
      </c>
      <c r="K600" s="307">
        <f t="shared" ca="1" si="276"/>
        <v>-9.4445156546258229</v>
      </c>
      <c r="L600" s="304">
        <f t="shared" ca="1" si="261"/>
        <v>589.05035499402868</v>
      </c>
      <c r="M600" s="306">
        <f t="shared" ca="1" si="277"/>
        <v>-1.50928756877813</v>
      </c>
      <c r="N600" s="304">
        <f t="shared" ca="1" si="278"/>
        <v>-86.475807762547802</v>
      </c>
      <c r="P600" s="310">
        <f t="shared" ca="1" si="279"/>
        <v>23</v>
      </c>
      <c r="Q600" s="304">
        <f t="shared" ca="1" si="280"/>
        <v>0</v>
      </c>
      <c r="R600" s="306">
        <f t="shared" ca="1" si="281"/>
        <v>0</v>
      </c>
      <c r="S600" s="307">
        <f t="shared" ca="1" si="282"/>
        <v>2.5949999999999998</v>
      </c>
      <c r="T600" s="304">
        <f t="shared" ca="1" si="262"/>
        <v>25.456949999999999</v>
      </c>
      <c r="U600" s="311">
        <f t="shared" ca="1" si="263"/>
        <v>0</v>
      </c>
      <c r="V600" s="306">
        <f t="shared" ca="1" si="264"/>
        <v>1.226157499768926</v>
      </c>
      <c r="W600" s="304">
        <f t="shared" ca="1" si="265"/>
        <v>23.55770768893764</v>
      </c>
      <c r="Y600" s="314" t="str">
        <f t="shared" ca="1" si="283"/>
        <v/>
      </c>
      <c r="Z600" s="315" t="str">
        <f t="shared" ca="1" si="284"/>
        <v/>
      </c>
      <c r="AA600" s="316" t="str">
        <f t="shared" ca="1" si="285"/>
        <v/>
      </c>
      <c r="AC600" s="310" t="e">
        <f t="shared" ca="1" si="286"/>
        <v>#N/A</v>
      </c>
      <c r="AD600" s="323" t="e">
        <f t="shared" ca="1" si="287"/>
        <v>#N/A</v>
      </c>
      <c r="AE600" s="324" t="e">
        <f t="shared" ca="1" si="266"/>
        <v>#N/A</v>
      </c>
      <c r="AG600" s="306">
        <f t="shared" ca="1" si="288"/>
        <v>0.71335568569559449</v>
      </c>
      <c r="AH600" s="304">
        <f t="shared" ca="1" si="289"/>
        <v>-9.0780925683505451</v>
      </c>
    </row>
    <row r="601" spans="1:34" x14ac:dyDescent="0.2">
      <c r="A601" s="347">
        <f t="shared" ca="1" si="267"/>
        <v>1E-4</v>
      </c>
      <c r="B601" s="304">
        <f t="shared" ca="1" si="268"/>
        <v>32.521400000000881</v>
      </c>
      <c r="D601" s="306">
        <f t="shared" ca="1" si="269"/>
        <v>-0.55803153663804062</v>
      </c>
      <c r="E601" s="307">
        <f t="shared" ca="1" si="270"/>
        <v>-0.74905260983193145</v>
      </c>
      <c r="F601" s="304">
        <f t="shared" ca="1" si="271"/>
        <v>0.93406584788152958</v>
      </c>
      <c r="G601" s="306">
        <f t="shared" ca="1" si="272"/>
        <v>5.9540977026008859</v>
      </c>
      <c r="H601" s="307">
        <f t="shared" ca="1" si="273"/>
        <v>-96.679685512324113</v>
      </c>
      <c r="I601" s="304">
        <f t="shared" ca="1" si="274"/>
        <v>96.862855988319964</v>
      </c>
      <c r="J601" s="306">
        <f t="shared" ca="1" si="275"/>
        <v>588.9746359926213</v>
      </c>
      <c r="K601" s="307">
        <f t="shared" ca="1" si="276"/>
        <v>-9.4541836194317916</v>
      </c>
      <c r="L601" s="304">
        <f t="shared" ca="1" si="261"/>
        <v>589.05051008428018</v>
      </c>
      <c r="M601" s="306">
        <f t="shared" ca="1" si="277"/>
        <v>-1.5092881913289571</v>
      </c>
      <c r="N601" s="304">
        <f t="shared" ca="1" si="278"/>
        <v>-86.475843432082726</v>
      </c>
      <c r="P601" s="310">
        <f t="shared" ca="1" si="279"/>
        <v>23</v>
      </c>
      <c r="Q601" s="304">
        <f t="shared" ca="1" si="280"/>
        <v>0</v>
      </c>
      <c r="R601" s="306">
        <f t="shared" ca="1" si="281"/>
        <v>0</v>
      </c>
      <c r="S601" s="307">
        <f t="shared" ca="1" si="282"/>
        <v>2.5949999999999998</v>
      </c>
      <c r="T601" s="304">
        <f t="shared" ca="1" si="262"/>
        <v>25.456949999999999</v>
      </c>
      <c r="U601" s="311">
        <f t="shared" ca="1" si="263"/>
        <v>0</v>
      </c>
      <c r="V601" s="306">
        <f t="shared" ca="1" si="264"/>
        <v>1.2261586852145194</v>
      </c>
      <c r="W601" s="304">
        <f t="shared" ca="1" si="265"/>
        <v>23.557765162078912</v>
      </c>
      <c r="Y601" s="314" t="str">
        <f t="shared" ca="1" si="283"/>
        <v/>
      </c>
      <c r="Z601" s="315" t="str">
        <f t="shared" ca="1" si="284"/>
        <v/>
      </c>
      <c r="AA601" s="316" t="str">
        <f t="shared" ca="1" si="285"/>
        <v/>
      </c>
      <c r="AC601" s="310" t="e">
        <f t="shared" ca="1" si="286"/>
        <v>#N/A</v>
      </c>
      <c r="AD601" s="323" t="e">
        <f t="shared" ca="1" si="287"/>
        <v>#N/A</v>
      </c>
      <c r="AE601" s="324" t="e">
        <f t="shared" ca="1" si="266"/>
        <v>#N/A</v>
      </c>
      <c r="AG601" s="306">
        <f t="shared" ca="1" si="288"/>
        <v>0.71333391310940542</v>
      </c>
      <c r="AH601" s="304">
        <f t="shared" ca="1" si="289"/>
        <v>-9.0781147163536193</v>
      </c>
    </row>
    <row r="602" spans="1:34" x14ac:dyDescent="0.2">
      <c r="A602" s="347">
        <f t="shared" ca="1" si="267"/>
        <v>1E-4</v>
      </c>
      <c r="B602" s="304">
        <f t="shared" ca="1" si="268"/>
        <v>32.521500000000884</v>
      </c>
      <c r="D602" s="306">
        <f t="shared" ca="1" si="269"/>
        <v>-0.55802725713924872</v>
      </c>
      <c r="E602" s="307">
        <f t="shared" ca="1" si="270"/>
        <v>-0.74903015666657247</v>
      </c>
      <c r="F602" s="304">
        <f t="shared" ca="1" si="271"/>
        <v>0.93404528546869892</v>
      </c>
      <c r="G602" s="306">
        <f t="shared" ca="1" si="272"/>
        <v>5.9540418998751719</v>
      </c>
      <c r="H602" s="307">
        <f t="shared" ca="1" si="273"/>
        <v>-96.679760415339786</v>
      </c>
      <c r="I602" s="304">
        <f t="shared" ca="1" si="274"/>
        <v>96.86292731955281</v>
      </c>
      <c r="J602" s="306">
        <f t="shared" ca="1" si="275"/>
        <v>588.9746359926213</v>
      </c>
      <c r="K602" s="307">
        <f t="shared" ca="1" si="276"/>
        <v>-9.463851591728174</v>
      </c>
      <c r="L602" s="304">
        <f t="shared" ca="1" si="261"/>
        <v>589.05066533328943</v>
      </c>
      <c r="M602" s="306">
        <f t="shared" ca="1" si="277"/>
        <v>-1.5092888138730323</v>
      </c>
      <c r="N602" s="304">
        <f t="shared" ca="1" si="278"/>
        <v>-86.475879101230802</v>
      </c>
      <c r="P602" s="310">
        <f t="shared" ca="1" si="279"/>
        <v>23</v>
      </c>
      <c r="Q602" s="304">
        <f t="shared" ca="1" si="280"/>
        <v>0</v>
      </c>
      <c r="R602" s="306">
        <f t="shared" ca="1" si="281"/>
        <v>0</v>
      </c>
      <c r="S602" s="307">
        <f t="shared" ca="1" si="282"/>
        <v>2.5949999999999998</v>
      </c>
      <c r="T602" s="304">
        <f t="shared" ca="1" si="262"/>
        <v>25.456949999999999</v>
      </c>
      <c r="U602" s="311">
        <f t="shared" ca="1" si="263"/>
        <v>0</v>
      </c>
      <c r="V602" s="306">
        <f t="shared" ca="1" si="264"/>
        <v>1.2261598706621775</v>
      </c>
      <c r="W602" s="304">
        <f t="shared" ca="1" si="265"/>
        <v>23.557822634293437</v>
      </c>
      <c r="Y602" s="314" t="str">
        <f t="shared" ca="1" si="283"/>
        <v/>
      </c>
      <c r="Z602" s="315" t="str">
        <f t="shared" ca="1" si="284"/>
        <v/>
      </c>
      <c r="AA602" s="316" t="str">
        <f t="shared" ca="1" si="285"/>
        <v/>
      </c>
      <c r="AC602" s="310" t="e">
        <f t="shared" ca="1" si="286"/>
        <v>#N/A</v>
      </c>
      <c r="AD602" s="323" t="e">
        <f t="shared" ca="1" si="287"/>
        <v>#N/A</v>
      </c>
      <c r="AE602" s="324" t="e">
        <f t="shared" ca="1" si="266"/>
        <v>#N/A</v>
      </c>
      <c r="AG602" s="306">
        <f t="shared" ca="1" si="288"/>
        <v>0.71331214087246408</v>
      </c>
      <c r="AH602" s="304">
        <f t="shared" ca="1" si="289"/>
        <v>-9.0781368639995819</v>
      </c>
    </row>
    <row r="603" spans="1:34" x14ac:dyDescent="0.2">
      <c r="A603" s="347">
        <f t="shared" ca="1" si="267"/>
        <v>1E-4</v>
      </c>
      <c r="B603" s="304">
        <f t="shared" ca="1" si="268"/>
        <v>32.521600000000888</v>
      </c>
      <c r="D603" s="306">
        <f t="shared" ca="1" si="269"/>
        <v>-0.55802297765194375</v>
      </c>
      <c r="E603" s="307">
        <f t="shared" ca="1" si="270"/>
        <v>-0.74900770386324922</v>
      </c>
      <c r="F603" s="304">
        <f t="shared" ca="1" si="271"/>
        <v>0.93402472345973719</v>
      </c>
      <c r="G603" s="306">
        <f t="shared" ca="1" si="272"/>
        <v>5.953986097577407</v>
      </c>
      <c r="H603" s="307">
        <f t="shared" ca="1" si="273"/>
        <v>-96.679835316110172</v>
      </c>
      <c r="I603" s="304">
        <f t="shared" ca="1" si="274"/>
        <v>96.862998648608482</v>
      </c>
      <c r="J603" s="306">
        <f t="shared" ca="1" si="275"/>
        <v>588.9746359926213</v>
      </c>
      <c r="K603" s="307">
        <f t="shared" ca="1" si="276"/>
        <v>-9.4735195715147462</v>
      </c>
      <c r="L603" s="304">
        <f t="shared" ca="1" si="261"/>
        <v>589.05082074105678</v>
      </c>
      <c r="M603" s="306">
        <f t="shared" ca="1" si="277"/>
        <v>-1.5092894364103562</v>
      </c>
      <c r="N603" s="304">
        <f t="shared" ca="1" si="278"/>
        <v>-86.475914769992045</v>
      </c>
      <c r="P603" s="310">
        <f t="shared" ca="1" si="279"/>
        <v>23</v>
      </c>
      <c r="Q603" s="304">
        <f t="shared" ca="1" si="280"/>
        <v>0</v>
      </c>
      <c r="R603" s="306">
        <f t="shared" ca="1" si="281"/>
        <v>0</v>
      </c>
      <c r="S603" s="307">
        <f t="shared" ca="1" si="282"/>
        <v>2.5949999999999998</v>
      </c>
      <c r="T603" s="304">
        <f t="shared" ca="1" si="262"/>
        <v>25.456949999999999</v>
      </c>
      <c r="U603" s="311">
        <f t="shared" ca="1" si="263"/>
        <v>0</v>
      </c>
      <c r="V603" s="306">
        <f t="shared" ca="1" si="264"/>
        <v>1.2261610561119007</v>
      </c>
      <c r="W603" s="304">
        <f t="shared" ca="1" si="265"/>
        <v>23.557880105581276</v>
      </c>
      <c r="Y603" s="314" t="str">
        <f t="shared" ca="1" si="283"/>
        <v/>
      </c>
      <c r="Z603" s="315" t="str">
        <f t="shared" ca="1" si="284"/>
        <v/>
      </c>
      <c r="AA603" s="316" t="str">
        <f t="shared" ca="1" si="285"/>
        <v/>
      </c>
      <c r="AC603" s="310" t="e">
        <f t="shared" ca="1" si="286"/>
        <v>#N/A</v>
      </c>
      <c r="AD603" s="323" t="e">
        <f t="shared" ca="1" si="287"/>
        <v>#N/A</v>
      </c>
      <c r="AE603" s="324" t="e">
        <f t="shared" ca="1" si="266"/>
        <v>#N/A</v>
      </c>
      <c r="AG603" s="306">
        <f t="shared" ca="1" si="288"/>
        <v>0.71329036898478293</v>
      </c>
      <c r="AH603" s="304">
        <f t="shared" ca="1" si="289"/>
        <v>-9.0781590112884167</v>
      </c>
    </row>
    <row r="604" spans="1:34" x14ac:dyDescent="0.2">
      <c r="A604" s="347">
        <f t="shared" ca="1" si="267"/>
        <v>1E-4</v>
      </c>
      <c r="B604" s="304">
        <f t="shared" ca="1" si="268"/>
        <v>32.521700000000891</v>
      </c>
      <c r="D604" s="306">
        <f t="shared" ca="1" si="269"/>
        <v>-0.55801869817612193</v>
      </c>
      <c r="E604" s="307">
        <f t="shared" ca="1" si="270"/>
        <v>-0.74898525142194217</v>
      </c>
      <c r="F604" s="304">
        <f t="shared" ca="1" si="271"/>
        <v>0.93400416185462676</v>
      </c>
      <c r="G604" s="306">
        <f t="shared" ca="1" si="272"/>
        <v>5.9539302957075897</v>
      </c>
      <c r="H604" s="307">
        <f t="shared" ca="1" si="273"/>
        <v>-96.679910214635314</v>
      </c>
      <c r="I604" s="304">
        <f t="shared" ca="1" si="274"/>
        <v>96.863069975486994</v>
      </c>
      <c r="J604" s="306">
        <f t="shared" ca="1" si="275"/>
        <v>588.9746359926213</v>
      </c>
      <c r="K604" s="307">
        <f t="shared" ca="1" si="276"/>
        <v>-9.4831875587912826</v>
      </c>
      <c r="L604" s="304">
        <f t="shared" ca="1" si="261"/>
        <v>589.05097630758235</v>
      </c>
      <c r="M604" s="306">
        <f t="shared" ca="1" si="277"/>
        <v>-1.5092900589409288</v>
      </c>
      <c r="N604" s="304">
        <f t="shared" ca="1" si="278"/>
        <v>-86.475950438366482</v>
      </c>
      <c r="P604" s="310">
        <f t="shared" ca="1" si="279"/>
        <v>23</v>
      </c>
      <c r="Q604" s="304">
        <f t="shared" ca="1" si="280"/>
        <v>0</v>
      </c>
      <c r="R604" s="306">
        <f t="shared" ca="1" si="281"/>
        <v>0</v>
      </c>
      <c r="S604" s="307">
        <f t="shared" ca="1" si="282"/>
        <v>2.5949999999999998</v>
      </c>
      <c r="T604" s="304">
        <f t="shared" ca="1" si="262"/>
        <v>25.456949999999999</v>
      </c>
      <c r="U604" s="311">
        <f t="shared" ca="1" si="263"/>
        <v>0</v>
      </c>
      <c r="V604" s="306">
        <f t="shared" ca="1" si="264"/>
        <v>1.2261622415636888</v>
      </c>
      <c r="W604" s="304">
        <f t="shared" ca="1" si="265"/>
        <v>23.557937575942407</v>
      </c>
      <c r="Y604" s="314" t="str">
        <f t="shared" ca="1" si="283"/>
        <v/>
      </c>
      <c r="Z604" s="315" t="str">
        <f t="shared" ca="1" si="284"/>
        <v/>
      </c>
      <c r="AA604" s="316" t="str">
        <f t="shared" ca="1" si="285"/>
        <v/>
      </c>
      <c r="AC604" s="310" t="e">
        <f t="shared" ca="1" si="286"/>
        <v>#N/A</v>
      </c>
      <c r="AD604" s="323" t="e">
        <f t="shared" ca="1" si="287"/>
        <v>#N/A</v>
      </c>
      <c r="AE604" s="324" t="e">
        <f t="shared" ca="1" si="266"/>
        <v>#N/A</v>
      </c>
      <c r="AG604" s="306">
        <f t="shared" ca="1" si="288"/>
        <v>0.71326859744634419</v>
      </c>
      <c r="AH604" s="304">
        <f t="shared" ca="1" si="289"/>
        <v>-9.0781811582201453</v>
      </c>
    </row>
    <row r="605" spans="1:34" x14ac:dyDescent="0.2">
      <c r="A605" s="347">
        <f t="shared" ca="1" si="267"/>
        <v>1E-4</v>
      </c>
      <c r="B605" s="304">
        <f t="shared" ca="1" si="268"/>
        <v>32.521800000000894</v>
      </c>
      <c r="D605" s="306">
        <f t="shared" ca="1" si="269"/>
        <v>-0.55801441871178414</v>
      </c>
      <c r="E605" s="307">
        <f t="shared" ca="1" si="270"/>
        <v>-0.74896279934265664</v>
      </c>
      <c r="F605" s="304">
        <f t="shared" ca="1" si="271"/>
        <v>0.93398360065337283</v>
      </c>
      <c r="G605" s="306">
        <f t="shared" ca="1" si="272"/>
        <v>5.9538744942657189</v>
      </c>
      <c r="H605" s="307">
        <f t="shared" ca="1" si="273"/>
        <v>-96.679985110915254</v>
      </c>
      <c r="I605" s="304">
        <f t="shared" ca="1" si="274"/>
        <v>96.863141300188403</v>
      </c>
      <c r="J605" s="306">
        <f t="shared" ca="1" si="275"/>
        <v>588.9746359926213</v>
      </c>
      <c r="K605" s="307">
        <f t="shared" ca="1" si="276"/>
        <v>-9.4928555535575594</v>
      </c>
      <c r="L605" s="304">
        <f t="shared" ca="1" si="261"/>
        <v>589.05113203286646</v>
      </c>
      <c r="M605" s="306">
        <f t="shared" ca="1" si="277"/>
        <v>-1.50929068146475</v>
      </c>
      <c r="N605" s="304">
        <f t="shared" ca="1" si="278"/>
        <v>-86.475986106354085</v>
      </c>
      <c r="P605" s="310">
        <f t="shared" ca="1" si="279"/>
        <v>23</v>
      </c>
      <c r="Q605" s="304">
        <f t="shared" ca="1" si="280"/>
        <v>0</v>
      </c>
      <c r="R605" s="306">
        <f t="shared" ca="1" si="281"/>
        <v>0</v>
      </c>
      <c r="S605" s="307">
        <f t="shared" ca="1" si="282"/>
        <v>2.5949999999999998</v>
      </c>
      <c r="T605" s="304">
        <f t="shared" ca="1" si="262"/>
        <v>25.456949999999999</v>
      </c>
      <c r="U605" s="311">
        <f t="shared" ca="1" si="263"/>
        <v>0</v>
      </c>
      <c r="V605" s="306">
        <f t="shared" ca="1" si="264"/>
        <v>1.2261634270175421</v>
      </c>
      <c r="W605" s="304">
        <f t="shared" ca="1" si="265"/>
        <v>23.55799504537687</v>
      </c>
      <c r="Y605" s="314" t="str">
        <f t="shared" ca="1" si="283"/>
        <v/>
      </c>
      <c r="Z605" s="315" t="str">
        <f t="shared" ca="1" si="284"/>
        <v/>
      </c>
      <c r="AA605" s="316" t="str">
        <f t="shared" ca="1" si="285"/>
        <v/>
      </c>
      <c r="AC605" s="310" t="e">
        <f t="shared" ca="1" si="286"/>
        <v>#N/A</v>
      </c>
      <c r="AD605" s="323" t="e">
        <f t="shared" ca="1" si="287"/>
        <v>#N/A</v>
      </c>
      <c r="AE605" s="324" t="e">
        <f t="shared" ca="1" si="266"/>
        <v>#N/A</v>
      </c>
      <c r="AG605" s="306">
        <f t="shared" ca="1" si="288"/>
        <v>0.71324682625714786</v>
      </c>
      <c r="AH605" s="304">
        <f t="shared" ca="1" si="289"/>
        <v>-9.0782033047947621</v>
      </c>
    </row>
    <row r="606" spans="1:34" x14ac:dyDescent="0.2">
      <c r="A606" s="347">
        <f t="shared" ca="1" si="267"/>
        <v>1E-4</v>
      </c>
      <c r="B606" s="304">
        <f t="shared" ca="1" si="268"/>
        <v>32.521900000000898</v>
      </c>
      <c r="D606" s="306">
        <f t="shared" ca="1" si="269"/>
        <v>-0.55801013925893439</v>
      </c>
      <c r="E606" s="307">
        <f t="shared" ca="1" si="270"/>
        <v>-0.74894034762537487</v>
      </c>
      <c r="F606" s="304">
        <f t="shared" ca="1" si="271"/>
        <v>0.93396303985596385</v>
      </c>
      <c r="G606" s="306">
        <f t="shared" ca="1" si="272"/>
        <v>5.9538186932517929</v>
      </c>
      <c r="H606" s="307">
        <f t="shared" ca="1" si="273"/>
        <v>-96.680060004950022</v>
      </c>
      <c r="I606" s="304">
        <f t="shared" ca="1" si="274"/>
        <v>96.863212622712709</v>
      </c>
      <c r="J606" s="306">
        <f t="shared" ca="1" si="275"/>
        <v>588.9746359926213</v>
      </c>
      <c r="K606" s="307">
        <f t="shared" ca="1" si="276"/>
        <v>-9.5025235558133527</v>
      </c>
      <c r="L606" s="304">
        <f t="shared" ca="1" si="261"/>
        <v>589.05128791690925</v>
      </c>
      <c r="M606" s="306">
        <f t="shared" ca="1" si="277"/>
        <v>-1.5092913039818201</v>
      </c>
      <c r="N606" s="304">
        <f t="shared" ca="1" si="278"/>
        <v>-86.476021773954869</v>
      </c>
      <c r="P606" s="310">
        <f t="shared" ca="1" si="279"/>
        <v>23</v>
      </c>
      <c r="Q606" s="304">
        <f t="shared" ca="1" si="280"/>
        <v>0</v>
      </c>
      <c r="R606" s="306">
        <f t="shared" ca="1" si="281"/>
        <v>0</v>
      </c>
      <c r="S606" s="307">
        <f t="shared" ca="1" si="282"/>
        <v>2.5949999999999998</v>
      </c>
      <c r="T606" s="304">
        <f t="shared" ca="1" si="262"/>
        <v>25.456949999999999</v>
      </c>
      <c r="U606" s="311">
        <f t="shared" ca="1" si="263"/>
        <v>0</v>
      </c>
      <c r="V606" s="306">
        <f t="shared" ca="1" si="264"/>
        <v>1.2261646124734604</v>
      </c>
      <c r="W606" s="304">
        <f t="shared" ca="1" si="265"/>
        <v>23.558052513884647</v>
      </c>
      <c r="Y606" s="314" t="str">
        <f t="shared" ca="1" si="283"/>
        <v/>
      </c>
      <c r="Z606" s="315" t="str">
        <f t="shared" ca="1" si="284"/>
        <v/>
      </c>
      <c r="AA606" s="316" t="str">
        <f t="shared" ca="1" si="285"/>
        <v/>
      </c>
      <c r="AC606" s="310" t="e">
        <f t="shared" ca="1" si="286"/>
        <v>#N/A</v>
      </c>
      <c r="AD606" s="323" t="e">
        <f t="shared" ca="1" si="287"/>
        <v>#N/A</v>
      </c>
      <c r="AE606" s="324" t="e">
        <f t="shared" ca="1" si="266"/>
        <v>#N/A</v>
      </c>
      <c r="AG606" s="306">
        <f t="shared" ca="1" si="288"/>
        <v>0.71322505541718506</v>
      </c>
      <c r="AH606" s="304">
        <f t="shared" ca="1" si="289"/>
        <v>-9.0782254510122815</v>
      </c>
    </row>
    <row r="607" spans="1:34" x14ac:dyDescent="0.2">
      <c r="A607" s="347">
        <f t="shared" ca="1" si="267"/>
        <v>1E-4</v>
      </c>
      <c r="B607" s="304">
        <f t="shared" ca="1" si="268"/>
        <v>32.522000000000901</v>
      </c>
      <c r="D607" s="306">
        <f t="shared" ca="1" si="269"/>
        <v>-0.55800585981756934</v>
      </c>
      <c r="E607" s="307">
        <f t="shared" ca="1" si="270"/>
        <v>-0.74891789627010752</v>
      </c>
      <c r="F607" s="304">
        <f t="shared" ca="1" si="271"/>
        <v>0.93394247946240694</v>
      </c>
      <c r="G607" s="306">
        <f t="shared" ca="1" si="272"/>
        <v>5.9537628926658108</v>
      </c>
      <c r="H607" s="307">
        <f t="shared" ca="1" si="273"/>
        <v>-96.680134896739645</v>
      </c>
      <c r="I607" s="304">
        <f t="shared" ca="1" si="274"/>
        <v>96.863283943059969</v>
      </c>
      <c r="J607" s="306">
        <f t="shared" ca="1" si="275"/>
        <v>588.9746359926213</v>
      </c>
      <c r="K607" s="307">
        <f t="shared" ca="1" si="276"/>
        <v>-9.512191565558437</v>
      </c>
      <c r="L607" s="304">
        <f t="shared" ca="1" si="261"/>
        <v>589.05144395971104</v>
      </c>
      <c r="M607" s="306">
        <f t="shared" ca="1" si="277"/>
        <v>-1.5092919264921392</v>
      </c>
      <c r="N607" s="304">
        <f t="shared" ca="1" si="278"/>
        <v>-86.476057441168862</v>
      </c>
      <c r="P607" s="310">
        <f t="shared" ca="1" si="279"/>
        <v>23</v>
      </c>
      <c r="Q607" s="304">
        <f t="shared" ca="1" si="280"/>
        <v>0</v>
      </c>
      <c r="R607" s="306">
        <f t="shared" ca="1" si="281"/>
        <v>0</v>
      </c>
      <c r="S607" s="307">
        <f t="shared" ca="1" si="282"/>
        <v>2.5949999999999998</v>
      </c>
      <c r="T607" s="304">
        <f t="shared" ca="1" si="262"/>
        <v>25.456949999999999</v>
      </c>
      <c r="U607" s="311">
        <f t="shared" ca="1" si="263"/>
        <v>0</v>
      </c>
      <c r="V607" s="306">
        <f t="shared" ca="1" si="264"/>
        <v>1.2261657979314433</v>
      </c>
      <c r="W607" s="304">
        <f t="shared" ca="1" si="265"/>
        <v>23.558109981465769</v>
      </c>
      <c r="Y607" s="314" t="str">
        <f t="shared" ca="1" si="283"/>
        <v/>
      </c>
      <c r="Z607" s="315" t="str">
        <f t="shared" ca="1" si="284"/>
        <v/>
      </c>
      <c r="AA607" s="316" t="str">
        <f t="shared" ca="1" si="285"/>
        <v/>
      </c>
      <c r="AC607" s="310" t="e">
        <f t="shared" ca="1" si="286"/>
        <v>#N/A</v>
      </c>
      <c r="AD607" s="323" t="e">
        <f t="shared" ca="1" si="287"/>
        <v>#N/A</v>
      </c>
      <c r="AE607" s="324" t="e">
        <f t="shared" ca="1" si="266"/>
        <v>#N/A</v>
      </c>
      <c r="AG607" s="306">
        <f t="shared" ca="1" si="288"/>
        <v>0.7132032849264629</v>
      </c>
      <c r="AH607" s="304">
        <f t="shared" ca="1" si="289"/>
        <v>-9.0782475968726963</v>
      </c>
    </row>
    <row r="608" spans="1:34" x14ac:dyDescent="0.2">
      <c r="A608" s="347">
        <f t="shared" ca="1" si="267"/>
        <v>1E-4</v>
      </c>
      <c r="B608" s="304">
        <f t="shared" ca="1" si="268"/>
        <v>32.522100000000904</v>
      </c>
      <c r="D608" s="306">
        <f t="shared" ca="1" si="269"/>
        <v>-0.55800158038769077</v>
      </c>
      <c r="E608" s="307">
        <f t="shared" ca="1" si="270"/>
        <v>-0.74889544527684038</v>
      </c>
      <c r="F608" s="304">
        <f t="shared" ca="1" si="271"/>
        <v>0.93392191947269199</v>
      </c>
      <c r="G608" s="306">
        <f t="shared" ca="1" si="272"/>
        <v>5.9537070925077717</v>
      </c>
      <c r="H608" s="307">
        <f t="shared" ca="1" si="273"/>
        <v>-96.680209786284166</v>
      </c>
      <c r="I608" s="304">
        <f t="shared" ca="1" si="274"/>
        <v>96.863355261230211</v>
      </c>
      <c r="J608" s="306">
        <f t="shared" ca="1" si="275"/>
        <v>588.9746359926213</v>
      </c>
      <c r="K608" s="307">
        <f t="shared" ca="1" si="276"/>
        <v>-9.5218595827925885</v>
      </c>
      <c r="L608" s="304">
        <f t="shared" ca="1" si="261"/>
        <v>589.05160016127206</v>
      </c>
      <c r="M608" s="306">
        <f t="shared" ca="1" si="277"/>
        <v>-1.5092925489957072</v>
      </c>
      <c r="N608" s="304">
        <f t="shared" ca="1" si="278"/>
        <v>-86.476093107996036</v>
      </c>
      <c r="P608" s="310">
        <f t="shared" ca="1" si="279"/>
        <v>23</v>
      </c>
      <c r="Q608" s="304">
        <f t="shared" ca="1" si="280"/>
        <v>0</v>
      </c>
      <c r="R608" s="306">
        <f t="shared" ca="1" si="281"/>
        <v>0</v>
      </c>
      <c r="S608" s="307">
        <f t="shared" ca="1" si="282"/>
        <v>2.5949999999999998</v>
      </c>
      <c r="T608" s="304">
        <f t="shared" ca="1" si="262"/>
        <v>25.456949999999999</v>
      </c>
      <c r="U608" s="311">
        <f t="shared" ca="1" si="263"/>
        <v>0</v>
      </c>
      <c r="V608" s="306">
        <f t="shared" ca="1" si="264"/>
        <v>1.2261669833914917</v>
      </c>
      <c r="W608" s="304">
        <f t="shared" ca="1" si="265"/>
        <v>23.558167448120248</v>
      </c>
      <c r="Y608" s="314" t="str">
        <f t="shared" ca="1" si="283"/>
        <v/>
      </c>
      <c r="Z608" s="315" t="str">
        <f t="shared" ca="1" si="284"/>
        <v/>
      </c>
      <c r="AA608" s="316" t="str">
        <f t="shared" ca="1" si="285"/>
        <v/>
      </c>
      <c r="AC608" s="310" t="e">
        <f t="shared" ca="1" si="286"/>
        <v>#N/A</v>
      </c>
      <c r="AD608" s="323" t="e">
        <f t="shared" ca="1" si="287"/>
        <v>#N/A</v>
      </c>
      <c r="AE608" s="324" t="e">
        <f t="shared" ca="1" si="266"/>
        <v>#N/A</v>
      </c>
      <c r="AG608" s="306">
        <f t="shared" ca="1" si="288"/>
        <v>0.71318151478496539</v>
      </c>
      <c r="AH608" s="304">
        <f t="shared" ca="1" si="289"/>
        <v>-9.078269742376019</v>
      </c>
    </row>
    <row r="609" spans="1:34" x14ac:dyDescent="0.2">
      <c r="A609" s="347">
        <f t="shared" ca="1" si="267"/>
        <v>1E-4</v>
      </c>
      <c r="B609" s="304">
        <f t="shared" ca="1" si="268"/>
        <v>32.522200000000907</v>
      </c>
      <c r="D609" s="306">
        <f t="shared" ca="1" si="269"/>
        <v>-0.55799730096930034</v>
      </c>
      <c r="E609" s="307">
        <f t="shared" ca="1" si="270"/>
        <v>-0.74887299464556989</v>
      </c>
      <c r="F609" s="304">
        <f t="shared" ca="1" si="271"/>
        <v>0.93390135988681777</v>
      </c>
      <c r="G609" s="306">
        <f t="shared" ca="1" si="272"/>
        <v>5.9536512927776748</v>
      </c>
      <c r="H609" s="307">
        <f t="shared" ca="1" si="273"/>
        <v>-96.680284673583628</v>
      </c>
      <c r="I609" s="304">
        <f t="shared" ca="1" si="274"/>
        <v>96.863426577223464</v>
      </c>
      <c r="J609" s="306">
        <f t="shared" ca="1" si="275"/>
        <v>588.9746359926213</v>
      </c>
      <c r="K609" s="307">
        <f t="shared" ca="1" si="276"/>
        <v>-9.5315276075155815</v>
      </c>
      <c r="L609" s="304">
        <f t="shared" ca="1" si="261"/>
        <v>589.05175652159255</v>
      </c>
      <c r="M609" s="306">
        <f t="shared" ca="1" si="277"/>
        <v>-1.5092931714925242</v>
      </c>
      <c r="N609" s="304">
        <f t="shared" ca="1" si="278"/>
        <v>-86.476128774436418</v>
      </c>
      <c r="P609" s="310">
        <f t="shared" ca="1" si="279"/>
        <v>23</v>
      </c>
      <c r="Q609" s="304">
        <f t="shared" ca="1" si="280"/>
        <v>0</v>
      </c>
      <c r="R609" s="306">
        <f t="shared" ca="1" si="281"/>
        <v>0</v>
      </c>
      <c r="S609" s="307">
        <f t="shared" ca="1" si="282"/>
        <v>2.5949999999999998</v>
      </c>
      <c r="T609" s="304">
        <f t="shared" ca="1" si="262"/>
        <v>25.456949999999999</v>
      </c>
      <c r="U609" s="311">
        <f t="shared" ca="1" si="263"/>
        <v>0</v>
      </c>
      <c r="V609" s="306">
        <f t="shared" ca="1" si="264"/>
        <v>1.2261681688536046</v>
      </c>
      <c r="W609" s="304">
        <f t="shared" ca="1" si="265"/>
        <v>23.558224913848072</v>
      </c>
      <c r="Y609" s="314" t="str">
        <f t="shared" ca="1" si="283"/>
        <v/>
      </c>
      <c r="Z609" s="315" t="str">
        <f t="shared" ca="1" si="284"/>
        <v/>
      </c>
      <c r="AA609" s="316" t="str">
        <f t="shared" ca="1" si="285"/>
        <v/>
      </c>
      <c r="AC609" s="310" t="e">
        <f t="shared" ca="1" si="286"/>
        <v>#N/A</v>
      </c>
      <c r="AD609" s="323" t="e">
        <f t="shared" ca="1" si="287"/>
        <v>#N/A</v>
      </c>
      <c r="AE609" s="324" t="e">
        <f t="shared" ca="1" si="266"/>
        <v>#N/A</v>
      </c>
      <c r="AG609" s="306">
        <f t="shared" ca="1" si="288"/>
        <v>0.71315974499269075</v>
      </c>
      <c r="AH609" s="304">
        <f t="shared" ca="1" si="289"/>
        <v>-9.0782918875222549</v>
      </c>
    </row>
    <row r="610" spans="1:34" x14ac:dyDescent="0.2">
      <c r="A610" s="347">
        <f t="shared" ca="1" si="267"/>
        <v>1E-4</v>
      </c>
      <c r="B610" s="304">
        <f t="shared" ca="1" si="268"/>
        <v>32.522300000000911</v>
      </c>
      <c r="D610" s="306">
        <f t="shared" ca="1" si="269"/>
        <v>-0.55799302156239849</v>
      </c>
      <c r="E610" s="307">
        <f t="shared" ca="1" si="270"/>
        <v>-0.74885054437629961</v>
      </c>
      <c r="F610" s="304">
        <f t="shared" ca="1" si="271"/>
        <v>0.93388080070478774</v>
      </c>
      <c r="G610" s="306">
        <f t="shared" ca="1" si="272"/>
        <v>5.9535954934755182</v>
      </c>
      <c r="H610" s="307">
        <f t="shared" ca="1" si="273"/>
        <v>-96.68035955863806</v>
      </c>
      <c r="I610" s="304">
        <f t="shared" ca="1" si="274"/>
        <v>96.863497891039785</v>
      </c>
      <c r="J610" s="306">
        <f t="shared" ca="1" si="275"/>
        <v>588.9746359926213</v>
      </c>
      <c r="K610" s="307">
        <f t="shared" ca="1" si="276"/>
        <v>-9.5411956397271922</v>
      </c>
      <c r="L610" s="304">
        <f t="shared" ca="1" si="261"/>
        <v>589.05191304067273</v>
      </c>
      <c r="M610" s="306">
        <f t="shared" ca="1" si="277"/>
        <v>-1.5092937939825906</v>
      </c>
      <c r="N610" s="304">
        <f t="shared" ca="1" si="278"/>
        <v>-86.47616444049001</v>
      </c>
      <c r="P610" s="310">
        <f t="shared" ca="1" si="279"/>
        <v>23</v>
      </c>
      <c r="Q610" s="304">
        <f t="shared" ca="1" si="280"/>
        <v>0</v>
      </c>
      <c r="R610" s="306">
        <f t="shared" ca="1" si="281"/>
        <v>0</v>
      </c>
      <c r="S610" s="307">
        <f t="shared" ca="1" si="282"/>
        <v>2.5949999999999998</v>
      </c>
      <c r="T610" s="304">
        <f t="shared" ca="1" si="262"/>
        <v>25.456949999999999</v>
      </c>
      <c r="U610" s="311">
        <f t="shared" ca="1" si="263"/>
        <v>0</v>
      </c>
      <c r="V610" s="306">
        <f t="shared" ca="1" si="264"/>
        <v>1.2261693543177823</v>
      </c>
      <c r="W610" s="304">
        <f t="shared" ca="1" si="265"/>
        <v>23.558282378649281</v>
      </c>
      <c r="Y610" s="314" t="str">
        <f t="shared" ca="1" si="283"/>
        <v/>
      </c>
      <c r="Z610" s="315" t="str">
        <f t="shared" ca="1" si="284"/>
        <v/>
      </c>
      <c r="AA610" s="316" t="str">
        <f t="shared" ca="1" si="285"/>
        <v/>
      </c>
      <c r="AC610" s="310" t="e">
        <f t="shared" ca="1" si="286"/>
        <v>#N/A</v>
      </c>
      <c r="AD610" s="323" t="e">
        <f t="shared" ca="1" si="287"/>
        <v>#N/A</v>
      </c>
      <c r="AE610" s="324" t="e">
        <f t="shared" ca="1" si="266"/>
        <v>#N/A</v>
      </c>
      <c r="AG610" s="306">
        <f t="shared" ca="1" si="288"/>
        <v>0.71313797554964609</v>
      </c>
      <c r="AH610" s="304">
        <f t="shared" ca="1" si="289"/>
        <v>-9.0783140323113969</v>
      </c>
    </row>
    <row r="611" spans="1:34" x14ac:dyDescent="0.2">
      <c r="A611" s="347">
        <f t="shared" ca="1" si="267"/>
        <v>1E-4</v>
      </c>
      <c r="B611" s="304">
        <f t="shared" ca="1" si="268"/>
        <v>32.522400000000914</v>
      </c>
      <c r="D611" s="306">
        <f t="shared" ca="1" si="269"/>
        <v>-0.55798874216698346</v>
      </c>
      <c r="E611" s="307">
        <f t="shared" ca="1" si="270"/>
        <v>-0.7488280944690171</v>
      </c>
      <c r="F611" s="304">
        <f t="shared" ca="1" si="271"/>
        <v>0.93386024192659123</v>
      </c>
      <c r="G611" s="306">
        <f t="shared" ca="1" si="272"/>
        <v>5.9535396946013011</v>
      </c>
      <c r="H611" s="307">
        <f t="shared" ca="1" si="273"/>
        <v>-96.680434441447503</v>
      </c>
      <c r="I611" s="304">
        <f t="shared" ca="1" si="274"/>
        <v>96.863569202679201</v>
      </c>
      <c r="J611" s="306">
        <f t="shared" ca="1" si="275"/>
        <v>588.9746359926213</v>
      </c>
      <c r="K611" s="307">
        <f t="shared" ca="1" si="276"/>
        <v>-9.5508636794271968</v>
      </c>
      <c r="L611" s="304">
        <f t="shared" ca="1" si="261"/>
        <v>589.05206971851283</v>
      </c>
      <c r="M611" s="306">
        <f t="shared" ca="1" si="277"/>
        <v>-1.5092944164659061</v>
      </c>
      <c r="N611" s="304">
        <f t="shared" ca="1" si="278"/>
        <v>-86.47620010615681</v>
      </c>
      <c r="P611" s="310">
        <f t="shared" ca="1" si="279"/>
        <v>23</v>
      </c>
      <c r="Q611" s="304">
        <f t="shared" ca="1" si="280"/>
        <v>0</v>
      </c>
      <c r="R611" s="306">
        <f t="shared" ca="1" si="281"/>
        <v>0</v>
      </c>
      <c r="S611" s="307">
        <f t="shared" ca="1" si="282"/>
        <v>2.5949999999999998</v>
      </c>
      <c r="T611" s="304">
        <f t="shared" ca="1" si="262"/>
        <v>25.456949999999999</v>
      </c>
      <c r="U611" s="311">
        <f t="shared" ca="1" si="263"/>
        <v>0</v>
      </c>
      <c r="V611" s="306">
        <f t="shared" ca="1" si="264"/>
        <v>1.2261705397840252</v>
      </c>
      <c r="W611" s="304">
        <f t="shared" ca="1" si="265"/>
        <v>23.558339842523878</v>
      </c>
      <c r="Y611" s="314" t="str">
        <f t="shared" ca="1" si="283"/>
        <v/>
      </c>
      <c r="Z611" s="315" t="str">
        <f t="shared" ca="1" si="284"/>
        <v/>
      </c>
      <c r="AA611" s="316" t="str">
        <f t="shared" ca="1" si="285"/>
        <v/>
      </c>
      <c r="AC611" s="310" t="e">
        <f t="shared" ca="1" si="286"/>
        <v>#N/A</v>
      </c>
      <c r="AD611" s="323" t="e">
        <f t="shared" ca="1" si="287"/>
        <v>#N/A</v>
      </c>
      <c r="AE611" s="324" t="e">
        <f t="shared" ca="1" si="266"/>
        <v>#N/A</v>
      </c>
      <c r="AG611" s="306">
        <f t="shared" ca="1" si="288"/>
        <v>0.71311620645581364</v>
      </c>
      <c r="AH611" s="304">
        <f t="shared" ca="1" si="289"/>
        <v>-9.0783361767434609</v>
      </c>
    </row>
    <row r="612" spans="1:34" x14ac:dyDescent="0.2">
      <c r="A612" s="347">
        <f t="shared" ca="1" si="267"/>
        <v>1E-4</v>
      </c>
      <c r="B612" s="304">
        <f t="shared" ca="1" si="268"/>
        <v>32.522500000000917</v>
      </c>
      <c r="D612" s="306">
        <f t="shared" ca="1" si="269"/>
        <v>-0.55798446278305847</v>
      </c>
      <c r="E612" s="307">
        <f t="shared" ca="1" si="270"/>
        <v>-0.74880564492371704</v>
      </c>
      <c r="F612" s="304">
        <f t="shared" ca="1" si="271"/>
        <v>0.93383968355222624</v>
      </c>
      <c r="G612" s="306">
        <f t="shared" ca="1" si="272"/>
        <v>5.9534838961550225</v>
      </c>
      <c r="H612" s="307">
        <f t="shared" ca="1" si="273"/>
        <v>-96.680509322012</v>
      </c>
      <c r="I612" s="304">
        <f t="shared" ca="1" si="274"/>
        <v>96.863640512141743</v>
      </c>
      <c r="J612" s="306">
        <f t="shared" ca="1" si="275"/>
        <v>588.9746359926213</v>
      </c>
      <c r="K612" s="307">
        <f t="shared" ca="1" si="276"/>
        <v>-9.5605317266153698</v>
      </c>
      <c r="L612" s="304">
        <f t="shared" ca="1" si="261"/>
        <v>589.05222655511318</v>
      </c>
      <c r="M612" s="306">
        <f t="shared" ca="1" si="277"/>
        <v>-1.5092950389424709</v>
      </c>
      <c r="N612" s="304">
        <f t="shared" ca="1" si="278"/>
        <v>-86.476235771436805</v>
      </c>
      <c r="P612" s="310">
        <f t="shared" ca="1" si="279"/>
        <v>23</v>
      </c>
      <c r="Q612" s="304">
        <f t="shared" ca="1" si="280"/>
        <v>0</v>
      </c>
      <c r="R612" s="306">
        <f t="shared" ca="1" si="281"/>
        <v>0</v>
      </c>
      <c r="S612" s="307">
        <f t="shared" ca="1" si="282"/>
        <v>2.5949999999999998</v>
      </c>
      <c r="T612" s="304">
        <f t="shared" ca="1" si="262"/>
        <v>25.456949999999999</v>
      </c>
      <c r="U612" s="311">
        <f t="shared" ca="1" si="263"/>
        <v>0</v>
      </c>
      <c r="V612" s="306">
        <f t="shared" ca="1" si="264"/>
        <v>1.226171725252333</v>
      </c>
      <c r="W612" s="304">
        <f t="shared" ca="1" si="265"/>
        <v>23.558397305471882</v>
      </c>
      <c r="Y612" s="314" t="str">
        <f t="shared" ca="1" si="283"/>
        <v/>
      </c>
      <c r="Z612" s="315" t="str">
        <f t="shared" ca="1" si="284"/>
        <v/>
      </c>
      <c r="AA612" s="316" t="str">
        <f t="shared" ca="1" si="285"/>
        <v/>
      </c>
      <c r="AC612" s="310" t="e">
        <f t="shared" ca="1" si="286"/>
        <v>#N/A</v>
      </c>
      <c r="AD612" s="323" t="e">
        <f t="shared" ca="1" si="287"/>
        <v>#N/A</v>
      </c>
      <c r="AE612" s="324" t="e">
        <f t="shared" ca="1" si="266"/>
        <v>#N/A</v>
      </c>
      <c r="AG612" s="306">
        <f t="shared" ca="1" si="288"/>
        <v>0.71309443771118985</v>
      </c>
      <c r="AH612" s="304">
        <f t="shared" ca="1" si="289"/>
        <v>-9.0783583208184506</v>
      </c>
    </row>
    <row r="613" spans="1:34" x14ac:dyDescent="0.2">
      <c r="A613" s="347">
        <f t="shared" ca="1" si="267"/>
        <v>1E-4</v>
      </c>
      <c r="B613" s="304">
        <f t="shared" ca="1" si="268"/>
        <v>32.522600000000921</v>
      </c>
      <c r="D613" s="306">
        <f t="shared" ca="1" si="269"/>
        <v>-0.55798018341062516</v>
      </c>
      <c r="E613" s="307">
        <f t="shared" ca="1" si="270"/>
        <v>-0.74878319574039587</v>
      </c>
      <c r="F613" s="304">
        <f t="shared" ca="1" si="271"/>
        <v>0.93381912558169144</v>
      </c>
      <c r="G613" s="306">
        <f t="shared" ca="1" si="272"/>
        <v>5.9534280981366816</v>
      </c>
      <c r="H613" s="307">
        <f t="shared" ca="1" si="273"/>
        <v>-96.68058420033158</v>
      </c>
      <c r="I613" s="304">
        <f t="shared" ca="1" si="274"/>
        <v>96.863711819427451</v>
      </c>
      <c r="J613" s="306">
        <f t="shared" ca="1" si="275"/>
        <v>588.9746359926213</v>
      </c>
      <c r="K613" s="307">
        <f t="shared" ca="1" si="276"/>
        <v>-9.5701997812914872</v>
      </c>
      <c r="L613" s="304">
        <f t="shared" ca="1" si="261"/>
        <v>589.05238355047391</v>
      </c>
      <c r="M613" s="306">
        <f t="shared" ca="1" si="277"/>
        <v>-1.5092956614122854</v>
      </c>
      <c r="N613" s="304">
        <f t="shared" ca="1" si="278"/>
        <v>-86.476271436330052</v>
      </c>
      <c r="P613" s="310">
        <f t="shared" ca="1" si="279"/>
        <v>23</v>
      </c>
      <c r="Q613" s="304">
        <f t="shared" ca="1" si="280"/>
        <v>0</v>
      </c>
      <c r="R613" s="306">
        <f t="shared" ca="1" si="281"/>
        <v>0</v>
      </c>
      <c r="S613" s="307">
        <f t="shared" ca="1" si="282"/>
        <v>2.5949999999999998</v>
      </c>
      <c r="T613" s="304">
        <f t="shared" ca="1" si="262"/>
        <v>25.456949999999999</v>
      </c>
      <c r="U613" s="311">
        <f t="shared" ca="1" si="263"/>
        <v>0</v>
      </c>
      <c r="V613" s="306">
        <f t="shared" ca="1" si="264"/>
        <v>1.2261729107227053</v>
      </c>
      <c r="W613" s="304">
        <f t="shared" ca="1" si="265"/>
        <v>23.558454767493291</v>
      </c>
      <c r="Y613" s="314" t="str">
        <f t="shared" ca="1" si="283"/>
        <v/>
      </c>
      <c r="Z613" s="315" t="str">
        <f t="shared" ca="1" si="284"/>
        <v/>
      </c>
      <c r="AA613" s="316" t="str">
        <f t="shared" ca="1" si="285"/>
        <v/>
      </c>
      <c r="AC613" s="310" t="e">
        <f t="shared" ca="1" si="286"/>
        <v>#N/A</v>
      </c>
      <c r="AD613" s="323" t="e">
        <f t="shared" ca="1" si="287"/>
        <v>#N/A</v>
      </c>
      <c r="AE613" s="324" t="e">
        <f t="shared" ca="1" si="266"/>
        <v>#N/A</v>
      </c>
      <c r="AG613" s="306">
        <f t="shared" ca="1" si="288"/>
        <v>0.71307266931577296</v>
      </c>
      <c r="AH613" s="304">
        <f t="shared" ca="1" si="289"/>
        <v>-9.0783804645363713</v>
      </c>
    </row>
    <row r="614" spans="1:34" x14ac:dyDescent="0.2">
      <c r="A614" s="347">
        <f t="shared" ca="1" si="267"/>
        <v>1E-4</v>
      </c>
      <c r="B614" s="304">
        <f t="shared" ca="1" si="268"/>
        <v>32.522700000000924</v>
      </c>
      <c r="D614" s="306">
        <f t="shared" ca="1" si="269"/>
        <v>-0.55797590404967856</v>
      </c>
      <c r="E614" s="307">
        <f t="shared" ca="1" si="270"/>
        <v>-0.74876074691904826</v>
      </c>
      <c r="F614" s="304">
        <f t="shared" ca="1" si="271"/>
        <v>0.93379856801497996</v>
      </c>
      <c r="G614" s="306">
        <f t="shared" ca="1" si="272"/>
        <v>5.9533723005462766</v>
      </c>
      <c r="H614" s="307">
        <f t="shared" ca="1" si="273"/>
        <v>-96.680659076406272</v>
      </c>
      <c r="I614" s="304">
        <f t="shared" ca="1" si="274"/>
        <v>96.86378312453634</v>
      </c>
      <c r="J614" s="306">
        <f t="shared" ca="1" si="275"/>
        <v>588.9746359926213</v>
      </c>
      <c r="K614" s="307">
        <f t="shared" ca="1" si="276"/>
        <v>-9.5798678434553235</v>
      </c>
      <c r="L614" s="304">
        <f t="shared" ca="1" si="261"/>
        <v>589.05254070459523</v>
      </c>
      <c r="M614" s="306">
        <f t="shared" ca="1" si="277"/>
        <v>-1.5092962838753492</v>
      </c>
      <c r="N614" s="304">
        <f t="shared" ca="1" si="278"/>
        <v>-86.476307100836507</v>
      </c>
      <c r="P614" s="310">
        <f t="shared" ca="1" si="279"/>
        <v>23</v>
      </c>
      <c r="Q614" s="304">
        <f t="shared" ca="1" si="280"/>
        <v>0</v>
      </c>
      <c r="R614" s="306">
        <f t="shared" ca="1" si="281"/>
        <v>0</v>
      </c>
      <c r="S614" s="307">
        <f t="shared" ca="1" si="282"/>
        <v>2.5949999999999998</v>
      </c>
      <c r="T614" s="304">
        <f t="shared" ca="1" si="262"/>
        <v>25.456949999999999</v>
      </c>
      <c r="U614" s="311">
        <f t="shared" ca="1" si="263"/>
        <v>0</v>
      </c>
      <c r="V614" s="306">
        <f t="shared" ca="1" si="264"/>
        <v>1.2261740961951426</v>
      </c>
      <c r="W614" s="304">
        <f t="shared" ca="1" si="265"/>
        <v>23.558512228588114</v>
      </c>
      <c r="Y614" s="314" t="str">
        <f t="shared" ca="1" si="283"/>
        <v/>
      </c>
      <c r="Z614" s="315" t="str">
        <f t="shared" ca="1" si="284"/>
        <v/>
      </c>
      <c r="AA614" s="316" t="str">
        <f t="shared" ca="1" si="285"/>
        <v/>
      </c>
      <c r="AC614" s="310" t="e">
        <f t="shared" ca="1" si="286"/>
        <v>#N/A</v>
      </c>
      <c r="AD614" s="323" t="e">
        <f t="shared" ca="1" si="287"/>
        <v>#N/A</v>
      </c>
      <c r="AE614" s="324" t="e">
        <f t="shared" ca="1" si="266"/>
        <v>#N/A</v>
      </c>
      <c r="AG614" s="306">
        <f t="shared" ca="1" si="288"/>
        <v>0.71305090126956117</v>
      </c>
      <c r="AH614" s="304">
        <f t="shared" ca="1" si="289"/>
        <v>-9.0784026078972229</v>
      </c>
    </row>
    <row r="615" spans="1:34" x14ac:dyDescent="0.2">
      <c r="A615" s="347">
        <f t="shared" ca="1" si="267"/>
        <v>1E-4</v>
      </c>
      <c r="B615" s="304">
        <f t="shared" ca="1" si="268"/>
        <v>32.522800000000927</v>
      </c>
      <c r="D615" s="306">
        <f t="shared" ca="1" si="269"/>
        <v>-0.55797162470022588</v>
      </c>
      <c r="E615" s="307">
        <f t="shared" ca="1" si="270"/>
        <v>-0.74873829845967776</v>
      </c>
      <c r="F615" s="304">
        <f t="shared" ca="1" si="271"/>
        <v>0.93377801085209922</v>
      </c>
      <c r="G615" s="306">
        <f t="shared" ca="1" si="272"/>
        <v>5.9533165033838067</v>
      </c>
      <c r="H615" s="307">
        <f t="shared" ca="1" si="273"/>
        <v>-96.680733950236117</v>
      </c>
      <c r="I615" s="304">
        <f t="shared" ca="1" si="274"/>
        <v>96.863854427468468</v>
      </c>
      <c r="J615" s="306">
        <f t="shared" ca="1" si="275"/>
        <v>588.9746359926213</v>
      </c>
      <c r="K615" s="307">
        <f t="shared" ca="1" si="276"/>
        <v>-9.5895359131066549</v>
      </c>
      <c r="L615" s="304">
        <f t="shared" ca="1" si="261"/>
        <v>589.0526980174775</v>
      </c>
      <c r="M615" s="306">
        <f t="shared" ca="1" si="277"/>
        <v>-1.5092969063316628</v>
      </c>
      <c r="N615" s="304">
        <f t="shared" ca="1" si="278"/>
        <v>-86.476342764956215</v>
      </c>
      <c r="P615" s="310">
        <f t="shared" ca="1" si="279"/>
        <v>23</v>
      </c>
      <c r="Q615" s="304">
        <f t="shared" ca="1" si="280"/>
        <v>0</v>
      </c>
      <c r="R615" s="306">
        <f t="shared" ca="1" si="281"/>
        <v>0</v>
      </c>
      <c r="S615" s="307">
        <f t="shared" ca="1" si="282"/>
        <v>2.5949999999999998</v>
      </c>
      <c r="T615" s="304">
        <f t="shared" ca="1" si="262"/>
        <v>25.456949999999999</v>
      </c>
      <c r="U615" s="311">
        <f t="shared" ca="1" si="263"/>
        <v>0</v>
      </c>
      <c r="V615" s="306">
        <f t="shared" ca="1" si="264"/>
        <v>1.2261752816696445</v>
      </c>
      <c r="W615" s="304">
        <f t="shared" ca="1" si="265"/>
        <v>23.558569688756371</v>
      </c>
      <c r="Y615" s="314" t="str">
        <f t="shared" ca="1" si="283"/>
        <v/>
      </c>
      <c r="Z615" s="315" t="str">
        <f t="shared" ca="1" si="284"/>
        <v/>
      </c>
      <c r="AA615" s="316" t="str">
        <f t="shared" ca="1" si="285"/>
        <v/>
      </c>
      <c r="AC615" s="310" t="e">
        <f t="shared" ca="1" si="286"/>
        <v>#N/A</v>
      </c>
      <c r="AD615" s="323" t="e">
        <f t="shared" ca="1" si="287"/>
        <v>#N/A</v>
      </c>
      <c r="AE615" s="324" t="e">
        <f t="shared" ca="1" si="266"/>
        <v>#N/A</v>
      </c>
      <c r="AG615" s="306">
        <f t="shared" ca="1" si="288"/>
        <v>0.71302913357254916</v>
      </c>
      <c r="AH615" s="304">
        <f t="shared" ca="1" si="289"/>
        <v>-9.078424750901009</v>
      </c>
    </row>
    <row r="616" spans="1:34" x14ac:dyDescent="0.2">
      <c r="A616" s="347">
        <f t="shared" ca="1" si="267"/>
        <v>1E-4</v>
      </c>
      <c r="B616" s="304">
        <f t="shared" ca="1" si="268"/>
        <v>32.522900000000931</v>
      </c>
      <c r="D616" s="306">
        <f t="shared" ca="1" si="269"/>
        <v>-0.55796734536226267</v>
      </c>
      <c r="E616" s="307">
        <f t="shared" ca="1" si="270"/>
        <v>-0.74871585036227373</v>
      </c>
      <c r="F616" s="304">
        <f t="shared" ca="1" si="271"/>
        <v>0.93375745409303867</v>
      </c>
      <c r="G616" s="306">
        <f t="shared" ca="1" si="272"/>
        <v>5.9532607066492709</v>
      </c>
      <c r="H616" s="307">
        <f t="shared" ca="1" si="273"/>
        <v>-96.680808821821159</v>
      </c>
      <c r="I616" s="304">
        <f t="shared" ca="1" si="274"/>
        <v>96.863925728223847</v>
      </c>
      <c r="J616" s="306">
        <f t="shared" ca="1" si="275"/>
        <v>588.9746359926213</v>
      </c>
      <c r="K616" s="307">
        <f t="shared" ca="1" si="276"/>
        <v>-9.5992039902452575</v>
      </c>
      <c r="L616" s="304">
        <f t="shared" ca="1" si="261"/>
        <v>589.05285548912082</v>
      </c>
      <c r="M616" s="306">
        <f t="shared" ca="1" si="277"/>
        <v>-1.5092975287812262</v>
      </c>
      <c r="N616" s="304">
        <f t="shared" ca="1" si="278"/>
        <v>-86.476378428689159</v>
      </c>
      <c r="P616" s="310">
        <f t="shared" ca="1" si="279"/>
        <v>23</v>
      </c>
      <c r="Q616" s="304">
        <f t="shared" ca="1" si="280"/>
        <v>0</v>
      </c>
      <c r="R616" s="306">
        <f t="shared" ca="1" si="281"/>
        <v>0</v>
      </c>
      <c r="S616" s="307">
        <f t="shared" ca="1" si="282"/>
        <v>2.5949999999999998</v>
      </c>
      <c r="T616" s="304">
        <f t="shared" ca="1" si="262"/>
        <v>25.456949999999999</v>
      </c>
      <c r="U616" s="311">
        <f t="shared" ca="1" si="263"/>
        <v>0</v>
      </c>
      <c r="V616" s="306">
        <f t="shared" ca="1" si="264"/>
        <v>1.2261764671462112</v>
      </c>
      <c r="W616" s="304">
        <f t="shared" ca="1" si="265"/>
        <v>23.558627147998063</v>
      </c>
      <c r="Y616" s="314" t="str">
        <f t="shared" ca="1" si="283"/>
        <v/>
      </c>
      <c r="Z616" s="315" t="str">
        <f t="shared" ca="1" si="284"/>
        <v/>
      </c>
      <c r="AA616" s="316" t="str">
        <f t="shared" ca="1" si="285"/>
        <v/>
      </c>
      <c r="AC616" s="310" t="e">
        <f t="shared" ca="1" si="286"/>
        <v>#N/A</v>
      </c>
      <c r="AD616" s="323" t="e">
        <f t="shared" ca="1" si="287"/>
        <v>#N/A</v>
      </c>
      <c r="AE616" s="324" t="e">
        <f t="shared" ca="1" si="266"/>
        <v>#N/A</v>
      </c>
      <c r="AG616" s="306">
        <f t="shared" ca="1" si="288"/>
        <v>0.71300736622473515</v>
      </c>
      <c r="AH616" s="304">
        <f t="shared" ca="1" si="289"/>
        <v>-9.0784468935477349</v>
      </c>
    </row>
    <row r="617" spans="1:34" x14ac:dyDescent="0.2">
      <c r="A617" s="347">
        <f t="shared" ca="1" si="267"/>
        <v>1E-4</v>
      </c>
      <c r="B617" s="304">
        <f t="shared" ca="1" si="268"/>
        <v>32.523000000000934</v>
      </c>
      <c r="D617" s="306">
        <f t="shared" ca="1" si="269"/>
        <v>-0.55796306603579027</v>
      </c>
      <c r="E617" s="307">
        <f t="shared" ca="1" si="270"/>
        <v>-0.74869340262683437</v>
      </c>
      <c r="F617" s="304">
        <f t="shared" ca="1" si="271"/>
        <v>0.93373689773779789</v>
      </c>
      <c r="G617" s="306">
        <f t="shared" ca="1" si="272"/>
        <v>5.9532049103426674</v>
      </c>
      <c r="H617" s="307">
        <f t="shared" ca="1" si="273"/>
        <v>-96.680883691161426</v>
      </c>
      <c r="I617" s="304">
        <f t="shared" ca="1" si="274"/>
        <v>96.863997026802551</v>
      </c>
      <c r="J617" s="306">
        <f t="shared" ca="1" si="275"/>
        <v>588.9746359926213</v>
      </c>
      <c r="K617" s="307">
        <f t="shared" ca="1" si="276"/>
        <v>-9.6088720748709058</v>
      </c>
      <c r="L617" s="304">
        <f t="shared" ca="1" si="261"/>
        <v>589.05301311952564</v>
      </c>
      <c r="M617" s="306">
        <f t="shared" ca="1" si="277"/>
        <v>-1.5092981512240393</v>
      </c>
      <c r="N617" s="304">
        <f t="shared" ca="1" si="278"/>
        <v>-86.476414092035341</v>
      </c>
      <c r="P617" s="310">
        <f t="shared" ca="1" si="279"/>
        <v>23</v>
      </c>
      <c r="Q617" s="304">
        <f t="shared" ca="1" si="280"/>
        <v>0</v>
      </c>
      <c r="R617" s="306">
        <f t="shared" ca="1" si="281"/>
        <v>0</v>
      </c>
      <c r="S617" s="307">
        <f t="shared" ca="1" si="282"/>
        <v>2.5949999999999998</v>
      </c>
      <c r="T617" s="304">
        <f t="shared" ca="1" si="262"/>
        <v>25.456949999999999</v>
      </c>
      <c r="U617" s="311">
        <f t="shared" ca="1" si="263"/>
        <v>0</v>
      </c>
      <c r="V617" s="306">
        <f t="shared" ca="1" si="264"/>
        <v>1.2261776526248427</v>
      </c>
      <c r="W617" s="304">
        <f t="shared" ca="1" si="265"/>
        <v>23.558684606313221</v>
      </c>
      <c r="Y617" s="314" t="str">
        <f t="shared" ca="1" si="283"/>
        <v/>
      </c>
      <c r="Z617" s="315" t="str">
        <f t="shared" ca="1" si="284"/>
        <v/>
      </c>
      <c r="AA617" s="316" t="str">
        <f t="shared" ca="1" si="285"/>
        <v/>
      </c>
      <c r="AC617" s="310" t="e">
        <f t="shared" ca="1" si="286"/>
        <v>#N/A</v>
      </c>
      <c r="AD617" s="323" t="e">
        <f t="shared" ca="1" si="287"/>
        <v>#N/A</v>
      </c>
      <c r="AE617" s="324" t="e">
        <f t="shared" ca="1" si="266"/>
        <v>#N/A</v>
      </c>
      <c r="AG617" s="306">
        <f t="shared" ca="1" si="288"/>
        <v>0.71298559922611204</v>
      </c>
      <c r="AH617" s="304">
        <f t="shared" ca="1" si="289"/>
        <v>-9.0784690358374043</v>
      </c>
    </row>
    <row r="618" spans="1:34" x14ac:dyDescent="0.2">
      <c r="A618" s="347">
        <f t="shared" ca="1" si="267"/>
        <v>1E-4</v>
      </c>
      <c r="B618" s="304">
        <f t="shared" ca="1" si="268"/>
        <v>32.523100000000937</v>
      </c>
      <c r="D618" s="306">
        <f t="shared" ca="1" si="269"/>
        <v>-0.55795878672081245</v>
      </c>
      <c r="E618" s="307">
        <f t="shared" ca="1" si="270"/>
        <v>-0.74867095525334904</v>
      </c>
      <c r="F618" s="304">
        <f t="shared" ca="1" si="271"/>
        <v>0.93371634178637108</v>
      </c>
      <c r="G618" s="306">
        <f t="shared" ca="1" si="272"/>
        <v>5.9531491144639954</v>
      </c>
      <c r="H618" s="307">
        <f t="shared" ca="1" si="273"/>
        <v>-96.680958558256947</v>
      </c>
      <c r="I618" s="304">
        <f t="shared" ca="1" si="274"/>
        <v>96.864068323204563</v>
      </c>
      <c r="J618" s="306">
        <f t="shared" ca="1" si="275"/>
        <v>588.9746359926213</v>
      </c>
      <c r="K618" s="307">
        <f t="shared" ca="1" si="276"/>
        <v>-9.6185401669833759</v>
      </c>
      <c r="L618" s="304">
        <f t="shared" ca="1" si="261"/>
        <v>589.05317090869187</v>
      </c>
      <c r="M618" s="306">
        <f t="shared" ca="1" si="277"/>
        <v>-1.5092987736601025</v>
      </c>
      <c r="N618" s="304">
        <f t="shared" ca="1" si="278"/>
        <v>-86.476449754994775</v>
      </c>
      <c r="P618" s="310">
        <f t="shared" ca="1" si="279"/>
        <v>23</v>
      </c>
      <c r="Q618" s="304">
        <f t="shared" ca="1" si="280"/>
        <v>0</v>
      </c>
      <c r="R618" s="306">
        <f t="shared" ca="1" si="281"/>
        <v>0</v>
      </c>
      <c r="S618" s="307">
        <f t="shared" ca="1" si="282"/>
        <v>2.5949999999999998</v>
      </c>
      <c r="T618" s="304">
        <f t="shared" ca="1" si="262"/>
        <v>25.456949999999999</v>
      </c>
      <c r="U618" s="311">
        <f t="shared" ca="1" si="263"/>
        <v>0</v>
      </c>
      <c r="V618" s="306">
        <f t="shared" ca="1" si="264"/>
        <v>1.226178838105539</v>
      </c>
      <c r="W618" s="304">
        <f t="shared" ca="1" si="265"/>
        <v>23.558742063701835</v>
      </c>
      <c r="Y618" s="314" t="str">
        <f t="shared" ca="1" si="283"/>
        <v/>
      </c>
      <c r="Z618" s="315" t="str">
        <f t="shared" ca="1" si="284"/>
        <v/>
      </c>
      <c r="AA618" s="316" t="str">
        <f t="shared" ca="1" si="285"/>
        <v/>
      </c>
      <c r="AC618" s="310" t="e">
        <f t="shared" ca="1" si="286"/>
        <v>#N/A</v>
      </c>
      <c r="AD618" s="323" t="e">
        <f t="shared" ca="1" si="287"/>
        <v>#N/A</v>
      </c>
      <c r="AE618" s="324" t="e">
        <f t="shared" ca="1" si="266"/>
        <v>#N/A</v>
      </c>
      <c r="AG618" s="306">
        <f t="shared" ca="1" si="288"/>
        <v>0.71296383257667273</v>
      </c>
      <c r="AH618" s="304">
        <f t="shared" ca="1" si="289"/>
        <v>-9.0784911777700277</v>
      </c>
    </row>
    <row r="619" spans="1:34" x14ac:dyDescent="0.2">
      <c r="A619" s="347">
        <f t="shared" ca="1" si="267"/>
        <v>1E-4</v>
      </c>
      <c r="B619" s="304">
        <f t="shared" ca="1" si="268"/>
        <v>32.523200000000941</v>
      </c>
      <c r="D619" s="306">
        <f t="shared" ca="1" si="269"/>
        <v>-0.55795450741732611</v>
      </c>
      <c r="E619" s="307">
        <f t="shared" ca="1" si="270"/>
        <v>-0.74864850824182128</v>
      </c>
      <c r="F619" s="304">
        <f t="shared" ca="1" si="271"/>
        <v>0.93369578623875948</v>
      </c>
      <c r="G619" s="306">
        <f t="shared" ca="1" si="272"/>
        <v>5.953093319013254</v>
      </c>
      <c r="H619" s="307">
        <f t="shared" ca="1" si="273"/>
        <v>-96.681033423107777</v>
      </c>
      <c r="I619" s="304">
        <f t="shared" ca="1" si="274"/>
        <v>96.864139617429956</v>
      </c>
      <c r="J619" s="306">
        <f t="shared" ca="1" si="275"/>
        <v>588.9746359926213</v>
      </c>
      <c r="K619" s="307">
        <f t="shared" ca="1" si="276"/>
        <v>-9.628208266582444</v>
      </c>
      <c r="L619" s="304">
        <f t="shared" ca="1" si="261"/>
        <v>589.05332885662017</v>
      </c>
      <c r="M619" s="306">
        <f t="shared" ca="1" si="277"/>
        <v>-1.5092993960894154</v>
      </c>
      <c r="N619" s="304">
        <f t="shared" ca="1" si="278"/>
        <v>-86.476485417567446</v>
      </c>
      <c r="P619" s="310">
        <f t="shared" ca="1" si="279"/>
        <v>23</v>
      </c>
      <c r="Q619" s="304">
        <f t="shared" ca="1" si="280"/>
        <v>0</v>
      </c>
      <c r="R619" s="306">
        <f t="shared" ca="1" si="281"/>
        <v>0</v>
      </c>
      <c r="S619" s="307">
        <f t="shared" ca="1" si="282"/>
        <v>2.5949999999999998</v>
      </c>
      <c r="T619" s="304">
        <f t="shared" ca="1" si="262"/>
        <v>25.456949999999999</v>
      </c>
      <c r="U619" s="311">
        <f t="shared" ca="1" si="263"/>
        <v>0</v>
      </c>
      <c r="V619" s="306">
        <f t="shared" ca="1" si="264"/>
        <v>1.2261800235882998</v>
      </c>
      <c r="W619" s="304">
        <f t="shared" ca="1" si="265"/>
        <v>23.558799520163934</v>
      </c>
      <c r="Y619" s="314" t="str">
        <f t="shared" ca="1" si="283"/>
        <v/>
      </c>
      <c r="Z619" s="315" t="str">
        <f t="shared" ca="1" si="284"/>
        <v/>
      </c>
      <c r="AA619" s="316" t="str">
        <f t="shared" ca="1" si="285"/>
        <v/>
      </c>
      <c r="AC619" s="310" t="e">
        <f t="shared" ca="1" si="286"/>
        <v>#N/A</v>
      </c>
      <c r="AD619" s="323" t="e">
        <f t="shared" ca="1" si="287"/>
        <v>#N/A</v>
      </c>
      <c r="AE619" s="324" t="e">
        <f t="shared" ca="1" si="266"/>
        <v>#N/A</v>
      </c>
      <c r="AG619" s="306">
        <f t="shared" ca="1" si="288"/>
        <v>0.71294206627641898</v>
      </c>
      <c r="AH619" s="304">
        <f t="shared" ca="1" si="289"/>
        <v>-9.0785133193456016</v>
      </c>
    </row>
    <row r="620" spans="1:34" x14ac:dyDescent="0.2">
      <c r="A620" s="347">
        <f t="shared" ca="1" si="267"/>
        <v>1E-4</v>
      </c>
      <c r="B620" s="304">
        <f t="shared" ca="1" si="268"/>
        <v>32.523300000000944</v>
      </c>
      <c r="D620" s="306">
        <f t="shared" ca="1" si="269"/>
        <v>-0.5579502281253349</v>
      </c>
      <c r="E620" s="307">
        <f t="shared" ca="1" si="270"/>
        <v>-0.74862606159224043</v>
      </c>
      <c r="F620" s="304">
        <f t="shared" ca="1" si="271"/>
        <v>0.93367523109495743</v>
      </c>
      <c r="G620" s="306">
        <f t="shared" ca="1" si="272"/>
        <v>5.9530375239904414</v>
      </c>
      <c r="H620" s="307">
        <f t="shared" ca="1" si="273"/>
        <v>-96.681108285713933</v>
      </c>
      <c r="I620" s="304">
        <f t="shared" ca="1" si="274"/>
        <v>96.864210909478743</v>
      </c>
      <c r="J620" s="306">
        <f t="shared" ca="1" si="275"/>
        <v>588.9746359926213</v>
      </c>
      <c r="K620" s="307">
        <f t="shared" ca="1" si="276"/>
        <v>-9.6378763736678845</v>
      </c>
      <c r="L620" s="304">
        <f t="shared" ca="1" si="261"/>
        <v>589.05348696331043</v>
      </c>
      <c r="M620" s="306">
        <f t="shared" ca="1" si="277"/>
        <v>-1.5093000185119787</v>
      </c>
      <c r="N620" s="304">
        <f t="shared" ca="1" si="278"/>
        <v>-86.476521079753397</v>
      </c>
      <c r="P620" s="310">
        <f t="shared" ca="1" si="279"/>
        <v>23</v>
      </c>
      <c r="Q620" s="304">
        <f t="shared" ca="1" si="280"/>
        <v>0</v>
      </c>
      <c r="R620" s="306">
        <f t="shared" ca="1" si="281"/>
        <v>0</v>
      </c>
      <c r="S620" s="307">
        <f t="shared" ca="1" si="282"/>
        <v>2.5949999999999998</v>
      </c>
      <c r="T620" s="304">
        <f t="shared" ca="1" si="262"/>
        <v>25.456949999999999</v>
      </c>
      <c r="U620" s="311">
        <f t="shared" ca="1" si="263"/>
        <v>0</v>
      </c>
      <c r="V620" s="306">
        <f t="shared" ca="1" si="264"/>
        <v>1.2261812090731254</v>
      </c>
      <c r="W620" s="304">
        <f t="shared" ca="1" si="265"/>
        <v>23.558856975699509</v>
      </c>
      <c r="Y620" s="314" t="str">
        <f t="shared" ca="1" si="283"/>
        <v/>
      </c>
      <c r="Z620" s="315" t="str">
        <f t="shared" ca="1" si="284"/>
        <v/>
      </c>
      <c r="AA620" s="316" t="str">
        <f t="shared" ca="1" si="285"/>
        <v/>
      </c>
      <c r="AC620" s="310" t="e">
        <f t="shared" ca="1" si="286"/>
        <v>#N/A</v>
      </c>
      <c r="AD620" s="323" t="e">
        <f t="shared" ca="1" si="287"/>
        <v>#N/A</v>
      </c>
      <c r="AE620" s="324" t="e">
        <f t="shared" ca="1" si="266"/>
        <v>#N/A</v>
      </c>
      <c r="AG620" s="306">
        <f t="shared" ca="1" si="288"/>
        <v>0.7129203003253437</v>
      </c>
      <c r="AH620" s="304">
        <f t="shared" ca="1" si="289"/>
        <v>-9.0785354605641366</v>
      </c>
    </row>
    <row r="621" spans="1:34" x14ac:dyDescent="0.2">
      <c r="A621" s="347">
        <f t="shared" ca="1" si="267"/>
        <v>1E-4</v>
      </c>
      <c r="B621" s="304">
        <f t="shared" ca="1" si="268"/>
        <v>32.523400000000947</v>
      </c>
      <c r="D621" s="306">
        <f t="shared" ca="1" si="269"/>
        <v>-0.55794594884483595</v>
      </c>
      <c r="E621" s="307">
        <f t="shared" ca="1" si="270"/>
        <v>-0.74860361530460651</v>
      </c>
      <c r="F621" s="304">
        <f t="shared" ca="1" si="271"/>
        <v>0.93365467635496346</v>
      </c>
      <c r="G621" s="306">
        <f t="shared" ca="1" si="272"/>
        <v>5.9529817293955567</v>
      </c>
      <c r="H621" s="307">
        <f t="shared" ca="1" si="273"/>
        <v>-96.681183146075469</v>
      </c>
      <c r="I621" s="304">
        <f t="shared" ca="1" si="274"/>
        <v>96.864282199350981</v>
      </c>
      <c r="J621" s="306">
        <f t="shared" ca="1" si="275"/>
        <v>588.9746359926213</v>
      </c>
      <c r="K621" s="307">
        <f t="shared" ca="1" si="276"/>
        <v>-9.6475444882394736</v>
      </c>
      <c r="L621" s="304">
        <f t="shared" ca="1" si="261"/>
        <v>589.05364522876289</v>
      </c>
      <c r="M621" s="306">
        <f t="shared" ca="1" si="277"/>
        <v>-1.509300640927792</v>
      </c>
      <c r="N621" s="304">
        <f t="shared" ca="1" si="278"/>
        <v>-86.476556741552599</v>
      </c>
      <c r="P621" s="310">
        <f t="shared" ca="1" si="279"/>
        <v>23</v>
      </c>
      <c r="Q621" s="304">
        <f t="shared" ca="1" si="280"/>
        <v>0</v>
      </c>
      <c r="R621" s="306">
        <f t="shared" ca="1" si="281"/>
        <v>0</v>
      </c>
      <c r="S621" s="307">
        <f t="shared" ca="1" si="282"/>
        <v>2.5949999999999998</v>
      </c>
      <c r="T621" s="304">
        <f t="shared" ca="1" si="262"/>
        <v>25.456949999999999</v>
      </c>
      <c r="U621" s="311">
        <f t="shared" ca="1" si="263"/>
        <v>0</v>
      </c>
      <c r="V621" s="306">
        <f t="shared" ca="1" si="264"/>
        <v>1.2261823945600154</v>
      </c>
      <c r="W621" s="304">
        <f t="shared" ca="1" si="265"/>
        <v>23.558914430308597</v>
      </c>
      <c r="Y621" s="314" t="str">
        <f t="shared" ca="1" si="283"/>
        <v/>
      </c>
      <c r="Z621" s="315" t="str">
        <f t="shared" ca="1" si="284"/>
        <v/>
      </c>
      <c r="AA621" s="316" t="str">
        <f t="shared" ca="1" si="285"/>
        <v/>
      </c>
      <c r="AC621" s="310" t="e">
        <f t="shared" ca="1" si="286"/>
        <v>#N/A</v>
      </c>
      <c r="AD621" s="323" t="e">
        <f t="shared" ca="1" si="287"/>
        <v>#N/A</v>
      </c>
      <c r="AE621" s="324" t="e">
        <f t="shared" ca="1" si="266"/>
        <v>#N/A</v>
      </c>
      <c r="AG621" s="306">
        <f t="shared" ca="1" si="288"/>
        <v>0.71289853472344333</v>
      </c>
      <c r="AH621" s="304">
        <f t="shared" ca="1" si="289"/>
        <v>-9.0785576014256311</v>
      </c>
    </row>
    <row r="622" spans="1:34" x14ac:dyDescent="0.2">
      <c r="A622" s="347">
        <f t="shared" ca="1" si="267"/>
        <v>1E-4</v>
      </c>
      <c r="B622" s="304">
        <f t="shared" ca="1" si="268"/>
        <v>32.523500000000951</v>
      </c>
      <c r="D622" s="306">
        <f t="shared" ca="1" si="269"/>
        <v>-0.55794166957583313</v>
      </c>
      <c r="E622" s="307">
        <f t="shared" ca="1" si="270"/>
        <v>-0.74858116937891239</v>
      </c>
      <c r="F622" s="304">
        <f t="shared" ca="1" si="271"/>
        <v>0.9336341220187746</v>
      </c>
      <c r="G622" s="306">
        <f t="shared" ca="1" si="272"/>
        <v>5.952925935228599</v>
      </c>
      <c r="H622" s="307">
        <f t="shared" ca="1" si="273"/>
        <v>-96.681258004192401</v>
      </c>
      <c r="I622" s="304">
        <f t="shared" ca="1" si="274"/>
        <v>96.864353487046685</v>
      </c>
      <c r="J622" s="306">
        <f t="shared" ca="1" si="275"/>
        <v>588.9746359926213</v>
      </c>
      <c r="K622" s="307">
        <f t="shared" ca="1" si="276"/>
        <v>-9.6572126102969875</v>
      </c>
      <c r="L622" s="304">
        <f t="shared" ca="1" si="261"/>
        <v>589.05380365297799</v>
      </c>
      <c r="M622" s="306">
        <f t="shared" ca="1" si="277"/>
        <v>-1.5093012633368559</v>
      </c>
      <c r="N622" s="304">
        <f t="shared" ca="1" si="278"/>
        <v>-86.476592402965096</v>
      </c>
      <c r="P622" s="310">
        <f t="shared" ca="1" si="279"/>
        <v>23</v>
      </c>
      <c r="Q622" s="304">
        <f t="shared" ca="1" si="280"/>
        <v>0</v>
      </c>
      <c r="R622" s="306">
        <f t="shared" ca="1" si="281"/>
        <v>0</v>
      </c>
      <c r="S622" s="307">
        <f t="shared" ca="1" si="282"/>
        <v>2.5949999999999998</v>
      </c>
      <c r="T622" s="304">
        <f t="shared" ca="1" si="262"/>
        <v>25.456949999999999</v>
      </c>
      <c r="U622" s="311">
        <f t="shared" ca="1" si="263"/>
        <v>0</v>
      </c>
      <c r="V622" s="306">
        <f t="shared" ca="1" si="264"/>
        <v>1.2261835800489704</v>
      </c>
      <c r="W622" s="304">
        <f t="shared" ca="1" si="265"/>
        <v>23.558971883991191</v>
      </c>
      <c r="Y622" s="314" t="str">
        <f t="shared" ca="1" si="283"/>
        <v/>
      </c>
      <c r="Z622" s="315" t="str">
        <f t="shared" ca="1" si="284"/>
        <v/>
      </c>
      <c r="AA622" s="316" t="str">
        <f t="shared" ca="1" si="285"/>
        <v/>
      </c>
      <c r="AC622" s="310" t="e">
        <f t="shared" ca="1" si="286"/>
        <v>#N/A</v>
      </c>
      <c r="AD622" s="323" t="e">
        <f t="shared" ca="1" si="287"/>
        <v>#N/A</v>
      </c>
      <c r="AE622" s="324" t="e">
        <f t="shared" ca="1" si="266"/>
        <v>#N/A</v>
      </c>
      <c r="AG622" s="306">
        <f t="shared" ca="1" si="288"/>
        <v>0.71287676947071077</v>
      </c>
      <c r="AH622" s="304">
        <f t="shared" ca="1" si="289"/>
        <v>-9.0785797419300955</v>
      </c>
    </row>
    <row r="623" spans="1:34" x14ac:dyDescent="0.2">
      <c r="A623" s="347">
        <f t="shared" ca="1" si="267"/>
        <v>1E-4</v>
      </c>
      <c r="B623" s="304">
        <f t="shared" ca="1" si="268"/>
        <v>32.523600000000954</v>
      </c>
      <c r="D623" s="306">
        <f t="shared" ca="1" si="269"/>
        <v>-0.55793739031832346</v>
      </c>
      <c r="E623" s="307">
        <f t="shared" ca="1" si="270"/>
        <v>-0.74855872381515276</v>
      </c>
      <c r="F623" s="304">
        <f t="shared" ca="1" si="271"/>
        <v>0.93361356808638518</v>
      </c>
      <c r="G623" s="306">
        <f t="shared" ca="1" si="272"/>
        <v>5.9528701414895675</v>
      </c>
      <c r="H623" s="307">
        <f t="shared" ca="1" si="273"/>
        <v>-96.681332860064785</v>
      </c>
      <c r="I623" s="304">
        <f t="shared" ca="1" si="274"/>
        <v>96.864424772565911</v>
      </c>
      <c r="J623" s="306">
        <f t="shared" ca="1" si="275"/>
        <v>588.9746359926213</v>
      </c>
      <c r="K623" s="307">
        <f t="shared" ca="1" si="276"/>
        <v>-9.6668807398402006</v>
      </c>
      <c r="L623" s="304">
        <f t="shared" ca="1" si="261"/>
        <v>589.05396223595596</v>
      </c>
      <c r="M623" s="306">
        <f t="shared" ca="1" si="277"/>
        <v>-1.5093018857391698</v>
      </c>
      <c r="N623" s="304">
        <f t="shared" ca="1" si="278"/>
        <v>-86.476628063990844</v>
      </c>
      <c r="P623" s="310">
        <f t="shared" ca="1" si="279"/>
        <v>23</v>
      </c>
      <c r="Q623" s="304">
        <f t="shared" ca="1" si="280"/>
        <v>0</v>
      </c>
      <c r="R623" s="306">
        <f t="shared" ca="1" si="281"/>
        <v>0</v>
      </c>
      <c r="S623" s="307">
        <f t="shared" ca="1" si="282"/>
        <v>2.5949999999999998</v>
      </c>
      <c r="T623" s="304">
        <f t="shared" ca="1" si="262"/>
        <v>25.456949999999999</v>
      </c>
      <c r="U623" s="311">
        <f t="shared" ca="1" si="263"/>
        <v>0</v>
      </c>
      <c r="V623" s="306">
        <f t="shared" ca="1" si="264"/>
        <v>1.2261847655399898</v>
      </c>
      <c r="W623" s="304">
        <f t="shared" ca="1" si="265"/>
        <v>23.559029336747304</v>
      </c>
      <c r="Y623" s="314" t="str">
        <f t="shared" ca="1" si="283"/>
        <v/>
      </c>
      <c r="Z623" s="315" t="str">
        <f t="shared" ca="1" si="284"/>
        <v/>
      </c>
      <c r="AA623" s="316" t="str">
        <f t="shared" ca="1" si="285"/>
        <v/>
      </c>
      <c r="AC623" s="310" t="e">
        <f t="shared" ca="1" si="286"/>
        <v>#N/A</v>
      </c>
      <c r="AD623" s="323" t="e">
        <f t="shared" ca="1" si="287"/>
        <v>#N/A</v>
      </c>
      <c r="AE623" s="324" t="e">
        <f t="shared" ca="1" si="266"/>
        <v>#N/A</v>
      </c>
      <c r="AG623" s="306">
        <f t="shared" ca="1" si="288"/>
        <v>0.71285500456714423</v>
      </c>
      <c r="AH623" s="304">
        <f t="shared" ca="1" si="289"/>
        <v>-9.0786018820775318</v>
      </c>
    </row>
    <row r="624" spans="1:34" x14ac:dyDescent="0.2">
      <c r="A624" s="347">
        <f t="shared" ca="1" si="267"/>
        <v>1E-4</v>
      </c>
      <c r="B624" s="304">
        <f t="shared" ca="1" si="268"/>
        <v>32.523700000000957</v>
      </c>
      <c r="D624" s="306">
        <f t="shared" ca="1" si="269"/>
        <v>-0.55793311107231225</v>
      </c>
      <c r="E624" s="307">
        <f t="shared" ca="1" si="270"/>
        <v>-0.74853627861332761</v>
      </c>
      <c r="F624" s="304">
        <f t="shared" ca="1" si="271"/>
        <v>0.93359301455779886</v>
      </c>
      <c r="G624" s="306">
        <f t="shared" ca="1" si="272"/>
        <v>5.9528143481784603</v>
      </c>
      <c r="H624" s="307">
        <f t="shared" ca="1" si="273"/>
        <v>-96.68140771369265</v>
      </c>
      <c r="I624" s="304">
        <f t="shared" ca="1" si="274"/>
        <v>96.864496055908674</v>
      </c>
      <c r="J624" s="306">
        <f t="shared" ca="1" si="275"/>
        <v>588.9746359926213</v>
      </c>
      <c r="K624" s="307">
        <f t="shared" ca="1" si="276"/>
        <v>-9.676548876868889</v>
      </c>
      <c r="L624" s="304">
        <f t="shared" ca="1" si="261"/>
        <v>589.05412097769693</v>
      </c>
      <c r="M624" s="306">
        <f t="shared" ca="1" si="277"/>
        <v>-1.5093025081347344</v>
      </c>
      <c r="N624" s="304">
        <f t="shared" ca="1" si="278"/>
        <v>-86.476663724629887</v>
      </c>
      <c r="P624" s="310">
        <f t="shared" ca="1" si="279"/>
        <v>23</v>
      </c>
      <c r="Q624" s="304">
        <f t="shared" ca="1" si="280"/>
        <v>0</v>
      </c>
      <c r="R624" s="306">
        <f t="shared" ca="1" si="281"/>
        <v>0</v>
      </c>
      <c r="S624" s="307">
        <f t="shared" ca="1" si="282"/>
        <v>2.5949999999999998</v>
      </c>
      <c r="T624" s="304">
        <f t="shared" ca="1" si="262"/>
        <v>25.456949999999999</v>
      </c>
      <c r="U624" s="311">
        <f t="shared" ca="1" si="263"/>
        <v>0</v>
      </c>
      <c r="V624" s="306">
        <f t="shared" ca="1" si="264"/>
        <v>1.2261859510330733</v>
      </c>
      <c r="W624" s="304">
        <f t="shared" ca="1" si="265"/>
        <v>23.559086788576952</v>
      </c>
      <c r="Y624" s="314" t="str">
        <f t="shared" ca="1" si="283"/>
        <v/>
      </c>
      <c r="Z624" s="315" t="str">
        <f t="shared" ca="1" si="284"/>
        <v/>
      </c>
      <c r="AA624" s="316" t="str">
        <f t="shared" ca="1" si="285"/>
        <v/>
      </c>
      <c r="AC624" s="310" t="e">
        <f t="shared" ca="1" si="286"/>
        <v>#N/A</v>
      </c>
      <c r="AD624" s="323" t="e">
        <f t="shared" ca="1" si="287"/>
        <v>#N/A</v>
      </c>
      <c r="AE624" s="324" t="e">
        <f t="shared" ca="1" si="266"/>
        <v>#N/A</v>
      </c>
      <c r="AG624" s="306">
        <f t="shared" ca="1" si="288"/>
        <v>0.71283324001274195</v>
      </c>
      <c r="AH624" s="304">
        <f t="shared" ca="1" si="289"/>
        <v>-9.0786240218679417</v>
      </c>
    </row>
    <row r="625" spans="1:34" x14ac:dyDescent="0.2">
      <c r="A625" s="347">
        <f t="shared" ca="1" si="267"/>
        <v>1E-4</v>
      </c>
      <c r="B625" s="304">
        <f t="shared" ca="1" si="268"/>
        <v>32.523800000000961</v>
      </c>
      <c r="D625" s="306">
        <f t="shared" ca="1" si="269"/>
        <v>-0.55792883183779496</v>
      </c>
      <c r="E625" s="307">
        <f t="shared" ca="1" si="270"/>
        <v>-0.74851383377342984</v>
      </c>
      <c r="F625" s="304">
        <f t="shared" ca="1" si="271"/>
        <v>0.93357246143300754</v>
      </c>
      <c r="G625" s="306">
        <f t="shared" ca="1" si="272"/>
        <v>5.9527585552952766</v>
      </c>
      <c r="H625" s="307">
        <f t="shared" ca="1" si="273"/>
        <v>-96.681482565076024</v>
      </c>
      <c r="I625" s="304">
        <f t="shared" ca="1" si="274"/>
        <v>96.864567337075016</v>
      </c>
      <c r="J625" s="306">
        <f t="shared" ca="1" si="275"/>
        <v>588.9746359926213</v>
      </c>
      <c r="K625" s="307">
        <f t="shared" ca="1" si="276"/>
        <v>-9.6862170213828271</v>
      </c>
      <c r="L625" s="304">
        <f t="shared" ca="1" si="261"/>
        <v>589.0542798782011</v>
      </c>
      <c r="M625" s="306">
        <f t="shared" ca="1" si="277"/>
        <v>-1.5093031305235496</v>
      </c>
      <c r="N625" s="304">
        <f t="shared" ca="1" si="278"/>
        <v>-86.47669938488221</v>
      </c>
      <c r="P625" s="310">
        <f t="shared" ca="1" si="279"/>
        <v>23</v>
      </c>
      <c r="Q625" s="304">
        <f t="shared" ca="1" si="280"/>
        <v>0</v>
      </c>
      <c r="R625" s="306">
        <f t="shared" ca="1" si="281"/>
        <v>0</v>
      </c>
      <c r="S625" s="307">
        <f t="shared" ca="1" si="282"/>
        <v>2.5949999999999998</v>
      </c>
      <c r="T625" s="304">
        <f t="shared" ca="1" si="262"/>
        <v>25.456949999999999</v>
      </c>
      <c r="U625" s="311">
        <f t="shared" ca="1" si="263"/>
        <v>0</v>
      </c>
      <c r="V625" s="306">
        <f t="shared" ca="1" si="264"/>
        <v>1.2261871365282218</v>
      </c>
      <c r="W625" s="304">
        <f t="shared" ca="1" si="265"/>
        <v>23.559144239480148</v>
      </c>
      <c r="Y625" s="314" t="str">
        <f t="shared" ca="1" si="283"/>
        <v/>
      </c>
      <c r="Z625" s="315" t="str">
        <f t="shared" ca="1" si="284"/>
        <v/>
      </c>
      <c r="AA625" s="316" t="str">
        <f t="shared" ca="1" si="285"/>
        <v/>
      </c>
      <c r="AC625" s="310" t="e">
        <f t="shared" ca="1" si="286"/>
        <v>#N/A</v>
      </c>
      <c r="AD625" s="323" t="e">
        <f t="shared" ca="1" si="287"/>
        <v>#N/A</v>
      </c>
      <c r="AE625" s="324" t="e">
        <f t="shared" ca="1" si="266"/>
        <v>#N/A</v>
      </c>
      <c r="AG625" s="306">
        <f t="shared" ca="1" si="288"/>
        <v>0.71281147580749682</v>
      </c>
      <c r="AH625" s="304">
        <f t="shared" ca="1" si="289"/>
        <v>-9.0786461613013305</v>
      </c>
    </row>
    <row r="626" spans="1:34" x14ac:dyDescent="0.2">
      <c r="A626" s="347">
        <f t="shared" ca="1" si="267"/>
        <v>1E-4</v>
      </c>
      <c r="B626" s="304">
        <f t="shared" ca="1" si="268"/>
        <v>32.523900000000964</v>
      </c>
      <c r="D626" s="306">
        <f t="shared" ca="1" si="269"/>
        <v>-0.55792455261477514</v>
      </c>
      <c r="E626" s="307">
        <f t="shared" ca="1" si="270"/>
        <v>-0.74849138929545411</v>
      </c>
      <c r="F626" s="304">
        <f t="shared" ca="1" si="271"/>
        <v>0.93355190871200944</v>
      </c>
      <c r="G626" s="306">
        <f t="shared" ca="1" si="272"/>
        <v>5.9527027628400155</v>
      </c>
      <c r="H626" s="307">
        <f t="shared" ca="1" si="273"/>
        <v>-96.68155741421495</v>
      </c>
      <c r="I626" s="304">
        <f t="shared" ca="1" si="274"/>
        <v>96.864638616064966</v>
      </c>
      <c r="J626" s="306">
        <f t="shared" ca="1" si="275"/>
        <v>588.9746359926213</v>
      </c>
      <c r="K626" s="307">
        <f t="shared" ca="1" si="276"/>
        <v>-9.6958851733817912</v>
      </c>
      <c r="L626" s="304">
        <f t="shared" ca="1" si="261"/>
        <v>589.05443893746883</v>
      </c>
      <c r="M626" s="306">
        <f t="shared" ca="1" si="277"/>
        <v>-1.5093037529056152</v>
      </c>
      <c r="N626" s="304">
        <f t="shared" ca="1" si="278"/>
        <v>-86.476735044747812</v>
      </c>
      <c r="P626" s="310">
        <f t="shared" ca="1" si="279"/>
        <v>23</v>
      </c>
      <c r="Q626" s="304">
        <f t="shared" ca="1" si="280"/>
        <v>0</v>
      </c>
      <c r="R626" s="306">
        <f t="shared" ca="1" si="281"/>
        <v>0</v>
      </c>
      <c r="S626" s="307">
        <f t="shared" ca="1" si="282"/>
        <v>2.5949999999999998</v>
      </c>
      <c r="T626" s="304">
        <f t="shared" ca="1" si="262"/>
        <v>25.456949999999999</v>
      </c>
      <c r="U626" s="311">
        <f t="shared" ca="1" si="263"/>
        <v>0</v>
      </c>
      <c r="V626" s="306">
        <f t="shared" ca="1" si="264"/>
        <v>1.226188322025435</v>
      </c>
      <c r="W626" s="304">
        <f t="shared" ca="1" si="265"/>
        <v>23.559201689456902</v>
      </c>
      <c r="Y626" s="314" t="str">
        <f t="shared" ca="1" si="283"/>
        <v/>
      </c>
      <c r="Z626" s="315" t="str">
        <f t="shared" ca="1" si="284"/>
        <v/>
      </c>
      <c r="AA626" s="316" t="str">
        <f t="shared" ca="1" si="285"/>
        <v/>
      </c>
      <c r="AC626" s="310" t="e">
        <f t="shared" ca="1" si="286"/>
        <v>#N/A</v>
      </c>
      <c r="AD626" s="323" t="e">
        <f t="shared" ca="1" si="287"/>
        <v>#N/A</v>
      </c>
      <c r="AE626" s="324" t="e">
        <f t="shared" ca="1" si="266"/>
        <v>#N/A</v>
      </c>
      <c r="AG626" s="306">
        <f t="shared" ca="1" si="288"/>
        <v>0.7127897119514035</v>
      </c>
      <c r="AH626" s="304">
        <f t="shared" ca="1" si="289"/>
        <v>-9.0786683003777071</v>
      </c>
    </row>
    <row r="627" spans="1:34" x14ac:dyDescent="0.2">
      <c r="A627" s="347">
        <f t="shared" ca="1" si="267"/>
        <v>1E-4</v>
      </c>
      <c r="B627" s="304">
        <f t="shared" ca="1" si="268"/>
        <v>32.524000000000967</v>
      </c>
      <c r="D627" s="306">
        <f t="shared" ca="1" si="269"/>
        <v>-0.55792027340325423</v>
      </c>
      <c r="E627" s="307">
        <f t="shared" ca="1" si="270"/>
        <v>-0.74846894517939333</v>
      </c>
      <c r="F627" s="304">
        <f t="shared" ca="1" si="271"/>
        <v>0.93353135639480034</v>
      </c>
      <c r="G627" s="306">
        <f t="shared" ca="1" si="272"/>
        <v>5.9526469708126752</v>
      </c>
      <c r="H627" s="307">
        <f t="shared" ca="1" si="273"/>
        <v>-96.681632261109471</v>
      </c>
      <c r="I627" s="304">
        <f t="shared" ca="1" si="274"/>
        <v>96.864709892878579</v>
      </c>
      <c r="J627" s="306">
        <f t="shared" ca="1" si="275"/>
        <v>588.9746359926213</v>
      </c>
      <c r="K627" s="307">
        <f t="shared" ca="1" si="276"/>
        <v>-9.7055533328655574</v>
      </c>
      <c r="L627" s="304">
        <f t="shared" ca="1" si="261"/>
        <v>589.05459815550023</v>
      </c>
      <c r="M627" s="306">
        <f t="shared" ca="1" si="277"/>
        <v>-1.5093043752809319</v>
      </c>
      <c r="N627" s="304">
        <f t="shared" ca="1" si="278"/>
        <v>-86.476770704226723</v>
      </c>
      <c r="P627" s="310">
        <f t="shared" ca="1" si="279"/>
        <v>23</v>
      </c>
      <c r="Q627" s="304">
        <f t="shared" ca="1" si="280"/>
        <v>0</v>
      </c>
      <c r="R627" s="306">
        <f t="shared" ca="1" si="281"/>
        <v>0</v>
      </c>
      <c r="S627" s="307">
        <f t="shared" ca="1" si="282"/>
        <v>2.5949999999999998</v>
      </c>
      <c r="T627" s="304">
        <f t="shared" ca="1" si="262"/>
        <v>25.456949999999999</v>
      </c>
      <c r="U627" s="311">
        <f t="shared" ca="1" si="263"/>
        <v>0</v>
      </c>
      <c r="V627" s="306">
        <f t="shared" ca="1" si="264"/>
        <v>1.2261895075247118</v>
      </c>
      <c r="W627" s="304">
        <f t="shared" ca="1" si="265"/>
        <v>23.559259138507208</v>
      </c>
      <c r="Y627" s="314" t="str">
        <f t="shared" ca="1" si="283"/>
        <v/>
      </c>
      <c r="Z627" s="315" t="str">
        <f t="shared" ca="1" si="284"/>
        <v/>
      </c>
      <c r="AA627" s="316" t="str">
        <f t="shared" ca="1" si="285"/>
        <v/>
      </c>
      <c r="AC627" s="310" t="e">
        <f t="shared" ca="1" si="286"/>
        <v>#N/A</v>
      </c>
      <c r="AD627" s="323" t="e">
        <f t="shared" ca="1" si="287"/>
        <v>#N/A</v>
      </c>
      <c r="AE627" s="324" t="e">
        <f t="shared" ca="1" si="266"/>
        <v>#N/A</v>
      </c>
      <c r="AG627" s="306">
        <f t="shared" ca="1" si="288"/>
        <v>0.71276794844446023</v>
      </c>
      <c r="AH627" s="304">
        <f t="shared" ca="1" si="289"/>
        <v>-9.0786904390970733</v>
      </c>
    </row>
    <row r="628" spans="1:34" x14ac:dyDescent="0.2">
      <c r="A628" s="347">
        <f t="shared" ca="1" si="267"/>
        <v>1E-4</v>
      </c>
      <c r="B628" s="304">
        <f t="shared" ca="1" si="268"/>
        <v>32.524100000000971</v>
      </c>
      <c r="D628" s="306">
        <f t="shared" ca="1" si="269"/>
        <v>-0.5579159942032289</v>
      </c>
      <c r="E628" s="307">
        <f t="shared" ca="1" si="270"/>
        <v>-0.74844650142525637</v>
      </c>
      <c r="F628" s="304">
        <f t="shared" ca="1" si="271"/>
        <v>0.93351080448138546</v>
      </c>
      <c r="G628" s="306">
        <f t="shared" ca="1" si="272"/>
        <v>5.9525911792132549</v>
      </c>
      <c r="H628" s="307">
        <f t="shared" ca="1" si="273"/>
        <v>-96.681707105759614</v>
      </c>
      <c r="I628" s="304">
        <f t="shared" ca="1" si="274"/>
        <v>96.864781167515872</v>
      </c>
      <c r="J628" s="306">
        <f t="shared" ca="1" si="275"/>
        <v>588.9746359926213</v>
      </c>
      <c r="K628" s="307">
        <f t="shared" ca="1" si="276"/>
        <v>-9.7152214998339002</v>
      </c>
      <c r="L628" s="304">
        <f t="shared" ca="1" si="261"/>
        <v>589.05475753229564</v>
      </c>
      <c r="M628" s="306">
        <f t="shared" ca="1" si="277"/>
        <v>-1.5093049976494992</v>
      </c>
      <c r="N628" s="304">
        <f t="shared" ca="1" si="278"/>
        <v>-86.476806363318943</v>
      </c>
      <c r="P628" s="310">
        <f t="shared" ca="1" si="279"/>
        <v>23</v>
      </c>
      <c r="Q628" s="304">
        <f t="shared" ca="1" si="280"/>
        <v>0</v>
      </c>
      <c r="R628" s="306">
        <f t="shared" ca="1" si="281"/>
        <v>0</v>
      </c>
      <c r="S628" s="307">
        <f t="shared" ca="1" si="282"/>
        <v>2.5949999999999998</v>
      </c>
      <c r="T628" s="304">
        <f t="shared" ca="1" si="262"/>
        <v>25.456949999999999</v>
      </c>
      <c r="U628" s="311">
        <f t="shared" ca="1" si="263"/>
        <v>0</v>
      </c>
      <c r="V628" s="306">
        <f t="shared" ca="1" si="264"/>
        <v>1.2261906930260542</v>
      </c>
      <c r="W628" s="304">
        <f t="shared" ca="1" si="265"/>
        <v>23.559316586631116</v>
      </c>
      <c r="Y628" s="314" t="str">
        <f t="shared" ca="1" si="283"/>
        <v/>
      </c>
      <c r="Z628" s="315" t="str">
        <f t="shared" ca="1" si="284"/>
        <v/>
      </c>
      <c r="AA628" s="316" t="str">
        <f t="shared" ca="1" si="285"/>
        <v/>
      </c>
      <c r="AC628" s="310" t="e">
        <f t="shared" ca="1" si="286"/>
        <v>#N/A</v>
      </c>
      <c r="AD628" s="323" t="e">
        <f t="shared" ca="1" si="287"/>
        <v>#N/A</v>
      </c>
      <c r="AE628" s="324" t="e">
        <f t="shared" ca="1" si="266"/>
        <v>#N/A</v>
      </c>
      <c r="AG628" s="306">
        <f t="shared" ca="1" si="288"/>
        <v>0.71274618528666522</v>
      </c>
      <c r="AH628" s="304">
        <f t="shared" ca="1" si="289"/>
        <v>-9.0787125774594255</v>
      </c>
    </row>
    <row r="629" spans="1:34" x14ac:dyDescent="0.2">
      <c r="A629" s="347">
        <f t="shared" ca="1" si="267"/>
        <v>1E-4</v>
      </c>
      <c r="B629" s="304">
        <f t="shared" ca="1" si="268"/>
        <v>32.524200000000974</v>
      </c>
      <c r="D629" s="306">
        <f t="shared" ca="1" si="269"/>
        <v>-0.55791171501470382</v>
      </c>
      <c r="E629" s="307">
        <f t="shared" ca="1" si="270"/>
        <v>-0.74842405803301837</v>
      </c>
      <c r="F629" s="304">
        <f t="shared" ca="1" si="271"/>
        <v>0.93349025297174848</v>
      </c>
      <c r="G629" s="306">
        <f t="shared" ca="1" si="272"/>
        <v>5.9525353880417535</v>
      </c>
      <c r="H629" s="307">
        <f t="shared" ca="1" si="273"/>
        <v>-96.681781948165423</v>
      </c>
      <c r="I629" s="304">
        <f t="shared" ca="1" si="274"/>
        <v>96.864852439976872</v>
      </c>
      <c r="J629" s="306">
        <f t="shared" ca="1" si="275"/>
        <v>588.9746359926213</v>
      </c>
      <c r="K629" s="307">
        <f t="shared" ca="1" si="276"/>
        <v>-9.7248896742865956</v>
      </c>
      <c r="L629" s="304">
        <f t="shared" ca="1" si="261"/>
        <v>589.05491706785517</v>
      </c>
      <c r="M629" s="306">
        <f t="shared" ca="1" si="277"/>
        <v>-1.5093056200113173</v>
      </c>
      <c r="N629" s="304">
        <f t="shared" ca="1" si="278"/>
        <v>-86.476842022024442</v>
      </c>
      <c r="P629" s="310">
        <f t="shared" ca="1" si="279"/>
        <v>23</v>
      </c>
      <c r="Q629" s="304">
        <f t="shared" ca="1" si="280"/>
        <v>0</v>
      </c>
      <c r="R629" s="306">
        <f t="shared" ca="1" si="281"/>
        <v>0</v>
      </c>
      <c r="S629" s="307">
        <f t="shared" ca="1" si="282"/>
        <v>2.5949999999999998</v>
      </c>
      <c r="T629" s="304">
        <f t="shared" ca="1" si="262"/>
        <v>25.456949999999999</v>
      </c>
      <c r="U629" s="311">
        <f t="shared" ca="1" si="263"/>
        <v>0</v>
      </c>
      <c r="V629" s="306">
        <f t="shared" ca="1" si="264"/>
        <v>1.2261918785294603</v>
      </c>
      <c r="W629" s="304">
        <f t="shared" ca="1" si="265"/>
        <v>23.5593740338286</v>
      </c>
      <c r="Y629" s="314" t="str">
        <f t="shared" ca="1" si="283"/>
        <v/>
      </c>
      <c r="Z629" s="315" t="str">
        <f t="shared" ca="1" si="284"/>
        <v/>
      </c>
      <c r="AA629" s="316" t="str">
        <f t="shared" ca="1" si="285"/>
        <v/>
      </c>
      <c r="AC629" s="310" t="e">
        <f t="shared" ca="1" si="286"/>
        <v>#N/A</v>
      </c>
      <c r="AD629" s="323" t="e">
        <f t="shared" ca="1" si="287"/>
        <v>#N/A</v>
      </c>
      <c r="AE629" s="324" t="e">
        <f t="shared" ca="1" si="266"/>
        <v>#N/A</v>
      </c>
      <c r="AG629" s="306">
        <f t="shared" ca="1" si="288"/>
        <v>0.71272442247800605</v>
      </c>
      <c r="AH629" s="304">
        <f t="shared" ca="1" si="289"/>
        <v>-9.0787347154647851</v>
      </c>
    </row>
    <row r="630" spans="1:34" x14ac:dyDescent="0.2">
      <c r="A630" s="347">
        <f t="shared" ca="1" si="267"/>
        <v>1E-4</v>
      </c>
      <c r="B630" s="304">
        <f t="shared" ca="1" si="268"/>
        <v>32.524300000000977</v>
      </c>
      <c r="D630" s="306">
        <f t="shared" ca="1" si="269"/>
        <v>-0.55790743583767921</v>
      </c>
      <c r="E630" s="307">
        <f t="shared" ca="1" si="270"/>
        <v>-0.74840161500268998</v>
      </c>
      <c r="F630" s="304">
        <f t="shared" ca="1" si="271"/>
        <v>0.93346970186589817</v>
      </c>
      <c r="G630" s="306">
        <f t="shared" ca="1" si="272"/>
        <v>5.9524795972981694</v>
      </c>
      <c r="H630" s="307">
        <f t="shared" ca="1" si="273"/>
        <v>-96.681856788326925</v>
      </c>
      <c r="I630" s="304">
        <f t="shared" ca="1" si="274"/>
        <v>96.864923710261635</v>
      </c>
      <c r="J630" s="306">
        <f t="shared" ca="1" si="275"/>
        <v>588.9746359926213</v>
      </c>
      <c r="K630" s="307">
        <f t="shared" ca="1" si="276"/>
        <v>-9.7345578562234198</v>
      </c>
      <c r="L630" s="304">
        <f t="shared" ca="1" si="261"/>
        <v>589.05507676217928</v>
      </c>
      <c r="M630" s="306">
        <f t="shared" ca="1" si="277"/>
        <v>-1.5093062423663868</v>
      </c>
      <c r="N630" s="304">
        <f t="shared" ca="1" si="278"/>
        <v>-86.476877680343293</v>
      </c>
      <c r="P630" s="310">
        <f t="shared" ca="1" si="279"/>
        <v>23</v>
      </c>
      <c r="Q630" s="304">
        <f t="shared" ca="1" si="280"/>
        <v>0</v>
      </c>
      <c r="R630" s="306">
        <f t="shared" ca="1" si="281"/>
        <v>0</v>
      </c>
      <c r="S630" s="307">
        <f t="shared" ca="1" si="282"/>
        <v>2.5949999999999998</v>
      </c>
      <c r="T630" s="304">
        <f t="shared" ca="1" si="262"/>
        <v>25.456949999999999</v>
      </c>
      <c r="U630" s="311">
        <f t="shared" ca="1" si="263"/>
        <v>0</v>
      </c>
      <c r="V630" s="306">
        <f t="shared" ca="1" si="264"/>
        <v>1.2261930640349312</v>
      </c>
      <c r="W630" s="304">
        <f t="shared" ca="1" si="265"/>
        <v>23.559431480099693</v>
      </c>
      <c r="Y630" s="314" t="str">
        <f t="shared" ca="1" si="283"/>
        <v/>
      </c>
      <c r="Z630" s="315" t="str">
        <f t="shared" ca="1" si="284"/>
        <v/>
      </c>
      <c r="AA630" s="316" t="str">
        <f t="shared" ca="1" si="285"/>
        <v/>
      </c>
      <c r="AC630" s="310" t="e">
        <f t="shared" ca="1" si="286"/>
        <v>#N/A</v>
      </c>
      <c r="AD630" s="323" t="e">
        <f t="shared" ca="1" si="287"/>
        <v>#N/A</v>
      </c>
      <c r="AE630" s="324" t="e">
        <f t="shared" ca="1" si="266"/>
        <v>#N/A</v>
      </c>
      <c r="AG630" s="306">
        <f t="shared" ca="1" si="288"/>
        <v>0.71270266001848626</v>
      </c>
      <c r="AH630" s="304">
        <f t="shared" ca="1" si="289"/>
        <v>-9.0787568531131413</v>
      </c>
    </row>
    <row r="631" spans="1:34" x14ac:dyDescent="0.2">
      <c r="A631" s="347">
        <f t="shared" ca="1" si="267"/>
        <v>1E-4</v>
      </c>
      <c r="B631" s="304">
        <f t="shared" ca="1" si="268"/>
        <v>32.524400000000981</v>
      </c>
      <c r="D631" s="306">
        <f t="shared" ca="1" si="269"/>
        <v>-0.55790315667215096</v>
      </c>
      <c r="E631" s="307">
        <f t="shared" ca="1" si="270"/>
        <v>-0.74837917233426055</v>
      </c>
      <c r="F631" s="304">
        <f t="shared" ca="1" si="271"/>
        <v>0.93344915116382399</v>
      </c>
      <c r="G631" s="306">
        <f t="shared" ca="1" si="272"/>
        <v>5.9524238069825026</v>
      </c>
      <c r="H631" s="307">
        <f t="shared" ca="1" si="273"/>
        <v>-96.681931626244165</v>
      </c>
      <c r="I631" s="304">
        <f t="shared" ca="1" si="274"/>
        <v>96.864994978370206</v>
      </c>
      <c r="J631" s="306">
        <f t="shared" ca="1" si="275"/>
        <v>588.9746359926213</v>
      </c>
      <c r="K631" s="307">
        <f t="shared" ca="1" si="276"/>
        <v>-9.7442260456441492</v>
      </c>
      <c r="L631" s="304">
        <f t="shared" ca="1" si="261"/>
        <v>589.05523661526797</v>
      </c>
      <c r="M631" s="306">
        <f t="shared" ca="1" si="277"/>
        <v>-1.5093068647147072</v>
      </c>
      <c r="N631" s="304">
        <f t="shared" ca="1" si="278"/>
        <v>-86.476913338275438</v>
      </c>
      <c r="P631" s="310">
        <f t="shared" ca="1" si="279"/>
        <v>23</v>
      </c>
      <c r="Q631" s="304">
        <f t="shared" ca="1" si="280"/>
        <v>0</v>
      </c>
      <c r="R631" s="306">
        <f t="shared" ca="1" si="281"/>
        <v>0</v>
      </c>
      <c r="S631" s="307">
        <f t="shared" ca="1" si="282"/>
        <v>2.5949999999999998</v>
      </c>
      <c r="T631" s="304">
        <f t="shared" ca="1" si="262"/>
        <v>25.456949999999999</v>
      </c>
      <c r="U631" s="311">
        <f t="shared" ca="1" si="263"/>
        <v>0</v>
      </c>
      <c r="V631" s="306">
        <f t="shared" ca="1" si="264"/>
        <v>1.2261942495424665</v>
      </c>
      <c r="W631" s="304">
        <f t="shared" ca="1" si="265"/>
        <v>23.559488925444409</v>
      </c>
      <c r="Y631" s="314" t="str">
        <f t="shared" ca="1" si="283"/>
        <v/>
      </c>
      <c r="Z631" s="315" t="str">
        <f t="shared" ca="1" si="284"/>
        <v/>
      </c>
      <c r="AA631" s="316" t="str">
        <f t="shared" ca="1" si="285"/>
        <v/>
      </c>
      <c r="AC631" s="310" t="e">
        <f t="shared" ca="1" si="286"/>
        <v>#N/A</v>
      </c>
      <c r="AD631" s="323" t="e">
        <f t="shared" ca="1" si="287"/>
        <v>#N/A</v>
      </c>
      <c r="AE631" s="324" t="e">
        <f t="shared" ca="1" si="266"/>
        <v>#N/A</v>
      </c>
      <c r="AG631" s="306">
        <f t="shared" ca="1" si="288"/>
        <v>0.71268089790809519</v>
      </c>
      <c r="AH631" s="304">
        <f t="shared" ca="1" si="289"/>
        <v>-9.0787789904045066</v>
      </c>
    </row>
    <row r="632" spans="1:34" x14ac:dyDescent="0.2">
      <c r="A632" s="347">
        <f t="shared" ca="1" si="267"/>
        <v>1E-4</v>
      </c>
      <c r="B632" s="304">
        <f t="shared" ca="1" si="268"/>
        <v>32.524500000000984</v>
      </c>
      <c r="D632" s="306">
        <f t="shared" ca="1" si="269"/>
        <v>-0.55789887751812484</v>
      </c>
      <c r="E632" s="307">
        <f t="shared" ca="1" si="270"/>
        <v>-0.74835673002772474</v>
      </c>
      <c r="F632" s="304">
        <f t="shared" ca="1" si="271"/>
        <v>0.93342860086552548</v>
      </c>
      <c r="G632" s="306">
        <f t="shared" ca="1" si="272"/>
        <v>5.9523680170947504</v>
      </c>
      <c r="H632" s="307">
        <f t="shared" ca="1" si="273"/>
        <v>-96.682006461917169</v>
      </c>
      <c r="I632" s="304">
        <f t="shared" ca="1" si="274"/>
        <v>96.865066244302568</v>
      </c>
      <c r="J632" s="306">
        <f t="shared" ca="1" si="275"/>
        <v>588.9746359926213</v>
      </c>
      <c r="K632" s="307">
        <f t="shared" ca="1" si="276"/>
        <v>-9.753894242548558</v>
      </c>
      <c r="L632" s="304">
        <f t="shared" ca="1" si="261"/>
        <v>589.05539662712158</v>
      </c>
      <c r="M632" s="306">
        <f t="shared" ca="1" si="277"/>
        <v>-1.5093074870562788</v>
      </c>
      <c r="N632" s="304">
        <f t="shared" ca="1" si="278"/>
        <v>-86.476948995820905</v>
      </c>
      <c r="P632" s="310">
        <f t="shared" ca="1" si="279"/>
        <v>23</v>
      </c>
      <c r="Q632" s="304">
        <f t="shared" ca="1" si="280"/>
        <v>0</v>
      </c>
      <c r="R632" s="306">
        <f t="shared" ca="1" si="281"/>
        <v>0</v>
      </c>
      <c r="S632" s="307">
        <f t="shared" ca="1" si="282"/>
        <v>2.5949999999999998</v>
      </c>
      <c r="T632" s="304">
        <f t="shared" ca="1" si="262"/>
        <v>25.456949999999999</v>
      </c>
      <c r="U632" s="311">
        <f t="shared" ca="1" si="263"/>
        <v>0</v>
      </c>
      <c r="V632" s="306">
        <f t="shared" ca="1" si="264"/>
        <v>1.2261954350520659</v>
      </c>
      <c r="W632" s="304">
        <f t="shared" ca="1" si="265"/>
        <v>23.559546369862726</v>
      </c>
      <c r="Y632" s="314" t="str">
        <f t="shared" ca="1" si="283"/>
        <v/>
      </c>
      <c r="Z632" s="315" t="str">
        <f t="shared" ca="1" si="284"/>
        <v/>
      </c>
      <c r="AA632" s="316" t="str">
        <f t="shared" ca="1" si="285"/>
        <v/>
      </c>
      <c r="AC632" s="310" t="e">
        <f t="shared" ca="1" si="286"/>
        <v>#N/A</v>
      </c>
      <c r="AD632" s="323" t="e">
        <f t="shared" ca="1" si="287"/>
        <v>#N/A</v>
      </c>
      <c r="AE632" s="324" t="e">
        <f t="shared" ca="1" si="266"/>
        <v>#N/A</v>
      </c>
      <c r="AG632" s="306">
        <f t="shared" ca="1" si="288"/>
        <v>0.71265913614683107</v>
      </c>
      <c r="AH632" s="304">
        <f t="shared" ca="1" si="289"/>
        <v>-9.0788011273388864</v>
      </c>
    </row>
    <row r="633" spans="1:34" x14ac:dyDescent="0.2">
      <c r="A633" s="347">
        <f t="shared" ca="1" si="267"/>
        <v>1E-4</v>
      </c>
      <c r="B633" s="304">
        <f t="shared" ca="1" si="268"/>
        <v>32.524600000000987</v>
      </c>
      <c r="D633" s="306">
        <f t="shared" ca="1" si="269"/>
        <v>-0.55789459837559907</v>
      </c>
      <c r="E633" s="307">
        <f t="shared" ca="1" si="270"/>
        <v>-0.74833428808308611</v>
      </c>
      <c r="F633" s="304">
        <f t="shared" ca="1" si="271"/>
        <v>0.93340805097100499</v>
      </c>
      <c r="G633" s="306">
        <f t="shared" ca="1" si="272"/>
        <v>5.9523122276349127</v>
      </c>
      <c r="H633" s="307">
        <f t="shared" ca="1" si="273"/>
        <v>-96.682081295345981</v>
      </c>
      <c r="I633" s="304">
        <f t="shared" ca="1" si="274"/>
        <v>96.865137508058808</v>
      </c>
      <c r="J633" s="306">
        <f t="shared" ca="1" si="275"/>
        <v>588.9746359926213</v>
      </c>
      <c r="K633" s="307">
        <f t="shared" ca="1" si="276"/>
        <v>-9.7635624469364206</v>
      </c>
      <c r="L633" s="304">
        <f t="shared" ca="1" si="261"/>
        <v>589.05555679774045</v>
      </c>
      <c r="M633" s="306">
        <f t="shared" ca="1" si="277"/>
        <v>-1.5093081093911018</v>
      </c>
      <c r="N633" s="304">
        <f t="shared" ca="1" si="278"/>
        <v>-86.476984652979709</v>
      </c>
      <c r="P633" s="310">
        <f t="shared" ca="1" si="279"/>
        <v>23</v>
      </c>
      <c r="Q633" s="304">
        <f t="shared" ca="1" si="280"/>
        <v>0</v>
      </c>
      <c r="R633" s="306">
        <f t="shared" ca="1" si="281"/>
        <v>0</v>
      </c>
      <c r="S633" s="307">
        <f t="shared" ca="1" si="282"/>
        <v>2.5949999999999998</v>
      </c>
      <c r="T633" s="304">
        <f t="shared" ca="1" si="262"/>
        <v>25.456949999999999</v>
      </c>
      <c r="U633" s="311">
        <f t="shared" ca="1" si="263"/>
        <v>0</v>
      </c>
      <c r="V633" s="306">
        <f t="shared" ca="1" si="264"/>
        <v>1.2261966205637298</v>
      </c>
      <c r="W633" s="304">
        <f t="shared" ca="1" si="265"/>
        <v>23.559603813354698</v>
      </c>
      <c r="Y633" s="314" t="str">
        <f t="shared" ca="1" si="283"/>
        <v/>
      </c>
      <c r="Z633" s="315" t="str">
        <f t="shared" ca="1" si="284"/>
        <v/>
      </c>
      <c r="AA633" s="316" t="str">
        <f t="shared" ca="1" si="285"/>
        <v/>
      </c>
      <c r="AC633" s="310" t="e">
        <f t="shared" ca="1" si="286"/>
        <v>#N/A</v>
      </c>
      <c r="AD633" s="323" t="e">
        <f t="shared" ca="1" si="287"/>
        <v>#N/A</v>
      </c>
      <c r="AE633" s="324" t="e">
        <f t="shared" ca="1" si="266"/>
        <v>#N/A</v>
      </c>
      <c r="AG633" s="306">
        <f t="shared" ca="1" si="288"/>
        <v>0.71263737473469746</v>
      </c>
      <c r="AH633" s="304">
        <f t="shared" ca="1" si="289"/>
        <v>-9.0788232639162736</v>
      </c>
    </row>
    <row r="634" spans="1:34" x14ac:dyDescent="0.2">
      <c r="A634" s="347">
        <f t="shared" ca="1" si="267"/>
        <v>1E-4</v>
      </c>
      <c r="B634" s="304">
        <f t="shared" ca="1" si="268"/>
        <v>32.52470000000099</v>
      </c>
      <c r="D634" s="306">
        <f t="shared" ca="1" si="269"/>
        <v>-0.55789031924457422</v>
      </c>
      <c r="E634" s="307">
        <f t="shared" ca="1" si="270"/>
        <v>-0.74831184650033045</v>
      </c>
      <c r="F634" s="304">
        <f t="shared" ca="1" si="271"/>
        <v>0.93338750148025174</v>
      </c>
      <c r="G634" s="306">
        <f t="shared" ca="1" si="272"/>
        <v>5.9522564386029879</v>
      </c>
      <c r="H634" s="307">
        <f t="shared" ca="1" si="273"/>
        <v>-96.682156126530629</v>
      </c>
      <c r="I634" s="304">
        <f t="shared" ca="1" si="274"/>
        <v>96.86520876963894</v>
      </c>
      <c r="J634" s="306">
        <f t="shared" ca="1" si="275"/>
        <v>588.9746359926213</v>
      </c>
      <c r="K634" s="307">
        <f t="shared" ca="1" si="276"/>
        <v>-9.7732306588075151</v>
      </c>
      <c r="L634" s="304">
        <f t="shared" ca="1" si="261"/>
        <v>589.05571712712458</v>
      </c>
      <c r="M634" s="306">
        <f t="shared" ca="1" si="277"/>
        <v>-1.509308731719176</v>
      </c>
      <c r="N634" s="304">
        <f t="shared" ca="1" si="278"/>
        <v>-86.477020309751822</v>
      </c>
      <c r="P634" s="310">
        <f t="shared" ca="1" si="279"/>
        <v>23</v>
      </c>
      <c r="Q634" s="304">
        <f t="shared" ca="1" si="280"/>
        <v>0</v>
      </c>
      <c r="R634" s="306">
        <f t="shared" ca="1" si="281"/>
        <v>0</v>
      </c>
      <c r="S634" s="307">
        <f t="shared" ca="1" si="282"/>
        <v>2.5949999999999998</v>
      </c>
      <c r="T634" s="304">
        <f t="shared" ca="1" si="262"/>
        <v>25.456949999999999</v>
      </c>
      <c r="U634" s="311">
        <f t="shared" ca="1" si="263"/>
        <v>0</v>
      </c>
      <c r="V634" s="306">
        <f t="shared" ca="1" si="264"/>
        <v>1.2261978060774581</v>
      </c>
      <c r="W634" s="304">
        <f t="shared" ca="1" si="265"/>
        <v>23.559661255920314</v>
      </c>
      <c r="Y634" s="314" t="str">
        <f t="shared" ca="1" si="283"/>
        <v/>
      </c>
      <c r="Z634" s="315" t="str">
        <f t="shared" ca="1" si="284"/>
        <v/>
      </c>
      <c r="AA634" s="316" t="str">
        <f t="shared" ca="1" si="285"/>
        <v/>
      </c>
      <c r="AC634" s="310" t="e">
        <f t="shared" ca="1" si="286"/>
        <v>#N/A</v>
      </c>
      <c r="AD634" s="323" t="e">
        <f t="shared" ca="1" si="287"/>
        <v>#N/A</v>
      </c>
      <c r="AE634" s="324" t="e">
        <f t="shared" ca="1" si="266"/>
        <v>#N/A</v>
      </c>
      <c r="AG634" s="306">
        <f t="shared" ca="1" si="288"/>
        <v>0.71261561367167836</v>
      </c>
      <c r="AH634" s="304">
        <f t="shared" ca="1" si="289"/>
        <v>-9.0788454001366858</v>
      </c>
    </row>
    <row r="635" spans="1:34" x14ac:dyDescent="0.2">
      <c r="A635" s="347">
        <f t="shared" ca="1" si="267"/>
        <v>1E-4</v>
      </c>
      <c r="B635" s="304">
        <f t="shared" ca="1" si="268"/>
        <v>32.524800000000994</v>
      </c>
      <c r="D635" s="306">
        <f t="shared" ca="1" si="269"/>
        <v>-0.55788604012505305</v>
      </c>
      <c r="E635" s="307">
        <f t="shared" ca="1" si="270"/>
        <v>-0.74828940527945953</v>
      </c>
      <c r="F635" s="304">
        <f t="shared" ca="1" si="271"/>
        <v>0.93336695239326939</v>
      </c>
      <c r="G635" s="306">
        <f t="shared" ca="1" si="272"/>
        <v>5.952200649998975</v>
      </c>
      <c r="H635" s="307">
        <f t="shared" ca="1" si="273"/>
        <v>-96.682230955471155</v>
      </c>
      <c r="I635" s="304">
        <f t="shared" ca="1" si="274"/>
        <v>96.865280029042992</v>
      </c>
      <c r="J635" s="306">
        <f t="shared" ca="1" si="275"/>
        <v>588.9746359926213</v>
      </c>
      <c r="K635" s="307">
        <f t="shared" ca="1" si="276"/>
        <v>-9.7828988781616157</v>
      </c>
      <c r="L635" s="304">
        <f t="shared" ca="1" si="261"/>
        <v>589.05587761527431</v>
      </c>
      <c r="M635" s="306">
        <f t="shared" ca="1" si="277"/>
        <v>-1.5093093540405018</v>
      </c>
      <c r="N635" s="304">
        <f t="shared" ca="1" si="278"/>
        <v>-86.4770559661373</v>
      </c>
      <c r="P635" s="310">
        <f t="shared" ca="1" si="279"/>
        <v>23</v>
      </c>
      <c r="Q635" s="304">
        <f t="shared" ca="1" si="280"/>
        <v>0</v>
      </c>
      <c r="R635" s="306">
        <f t="shared" ca="1" si="281"/>
        <v>0</v>
      </c>
      <c r="S635" s="307">
        <f t="shared" ca="1" si="282"/>
        <v>2.5949999999999998</v>
      </c>
      <c r="T635" s="304">
        <f t="shared" ca="1" si="262"/>
        <v>25.456949999999999</v>
      </c>
      <c r="U635" s="311">
        <f t="shared" ca="1" si="263"/>
        <v>0</v>
      </c>
      <c r="V635" s="306">
        <f t="shared" ca="1" si="264"/>
        <v>1.2261989915932505</v>
      </c>
      <c r="W635" s="304">
        <f t="shared" ca="1" si="265"/>
        <v>23.559718697559585</v>
      </c>
      <c r="Y635" s="314" t="str">
        <f t="shared" ca="1" si="283"/>
        <v/>
      </c>
      <c r="Z635" s="315" t="str">
        <f t="shared" ca="1" si="284"/>
        <v/>
      </c>
      <c r="AA635" s="316" t="str">
        <f t="shared" ca="1" si="285"/>
        <v/>
      </c>
      <c r="AC635" s="310" t="e">
        <f t="shared" ca="1" si="286"/>
        <v>#N/A</v>
      </c>
      <c r="AD635" s="323" t="e">
        <f t="shared" ca="1" si="287"/>
        <v>#N/A</v>
      </c>
      <c r="AE635" s="324" t="e">
        <f t="shared" ca="1" si="266"/>
        <v>#N/A</v>
      </c>
      <c r="AG635" s="306">
        <f t="shared" ca="1" si="288"/>
        <v>0.71259385295777733</v>
      </c>
      <c r="AH635" s="304">
        <f t="shared" ca="1" si="289"/>
        <v>-9.0788675360001214</v>
      </c>
    </row>
    <row r="636" spans="1:34" x14ac:dyDescent="0.2">
      <c r="A636" s="347">
        <f t="shared" ca="1" si="267"/>
        <v>1E-4</v>
      </c>
      <c r="B636" s="304">
        <f t="shared" ca="1" si="268"/>
        <v>32.524900000000997</v>
      </c>
      <c r="D636" s="306">
        <f t="shared" ca="1" si="269"/>
        <v>-0.55788176101703313</v>
      </c>
      <c r="E636" s="307">
        <f t="shared" ca="1" si="270"/>
        <v>-0.74826696442046625</v>
      </c>
      <c r="F636" s="304">
        <f t="shared" ca="1" si="271"/>
        <v>0.93334640371005095</v>
      </c>
      <c r="G636" s="306">
        <f t="shared" ca="1" si="272"/>
        <v>5.9521448618228732</v>
      </c>
      <c r="H636" s="307">
        <f t="shared" ca="1" si="273"/>
        <v>-96.682305782167603</v>
      </c>
      <c r="I636" s="304">
        <f t="shared" ca="1" si="274"/>
        <v>96.865351286271007</v>
      </c>
      <c r="J636" s="306">
        <f t="shared" ca="1" si="275"/>
        <v>588.9746359926213</v>
      </c>
      <c r="K636" s="307">
        <f t="shared" ca="1" si="276"/>
        <v>-9.792567104998497</v>
      </c>
      <c r="L636" s="304">
        <f t="shared" ca="1" si="261"/>
        <v>589.05603826218999</v>
      </c>
      <c r="M636" s="306">
        <f t="shared" ca="1" si="277"/>
        <v>-1.5093099763550792</v>
      </c>
      <c r="N636" s="304">
        <f t="shared" ca="1" si="278"/>
        <v>-86.477091622136115</v>
      </c>
      <c r="P636" s="310">
        <f t="shared" ca="1" si="279"/>
        <v>23</v>
      </c>
      <c r="Q636" s="304">
        <f t="shared" ca="1" si="280"/>
        <v>0</v>
      </c>
      <c r="R636" s="306">
        <f t="shared" ca="1" si="281"/>
        <v>0</v>
      </c>
      <c r="S636" s="307">
        <f t="shared" ca="1" si="282"/>
        <v>2.5949999999999998</v>
      </c>
      <c r="T636" s="304">
        <f t="shared" ca="1" si="262"/>
        <v>25.456949999999999</v>
      </c>
      <c r="U636" s="311">
        <f t="shared" ca="1" si="263"/>
        <v>0</v>
      </c>
      <c r="V636" s="306">
        <f t="shared" ca="1" si="264"/>
        <v>1.2262001771111073</v>
      </c>
      <c r="W636" s="304">
        <f t="shared" ca="1" si="265"/>
        <v>23.559776138272525</v>
      </c>
      <c r="Y636" s="314" t="str">
        <f t="shared" ca="1" si="283"/>
        <v/>
      </c>
      <c r="Z636" s="315" t="str">
        <f t="shared" ca="1" si="284"/>
        <v/>
      </c>
      <c r="AA636" s="316" t="str">
        <f t="shared" ca="1" si="285"/>
        <v/>
      </c>
      <c r="AC636" s="310" t="e">
        <f t="shared" ca="1" si="286"/>
        <v>#N/A</v>
      </c>
      <c r="AD636" s="323" t="e">
        <f t="shared" ca="1" si="287"/>
        <v>#N/A</v>
      </c>
      <c r="AE636" s="324" t="e">
        <f t="shared" ca="1" si="266"/>
        <v>#N/A</v>
      </c>
      <c r="AG636" s="306">
        <f t="shared" ca="1" si="288"/>
        <v>0.71257209259298548</v>
      </c>
      <c r="AH636" s="304">
        <f t="shared" ca="1" si="289"/>
        <v>-9.0788896715065857</v>
      </c>
    </row>
    <row r="637" spans="1:34" x14ac:dyDescent="0.2">
      <c r="A637" s="347">
        <f t="shared" ca="1" si="267"/>
        <v>1E-4</v>
      </c>
      <c r="B637" s="304">
        <f t="shared" ca="1" si="268"/>
        <v>32.525000000001</v>
      </c>
      <c r="D637" s="306">
        <f t="shared" ca="1" si="269"/>
        <v>-0.55787748192051567</v>
      </c>
      <c r="E637" s="307">
        <f t="shared" ca="1" si="270"/>
        <v>-0.74824452392334706</v>
      </c>
      <c r="F637" s="304">
        <f t="shared" ca="1" si="271"/>
        <v>0.93332585543059476</v>
      </c>
      <c r="G637" s="306">
        <f t="shared" ca="1" si="272"/>
        <v>5.9520890740746815</v>
      </c>
      <c r="H637" s="307">
        <f t="shared" ca="1" si="273"/>
        <v>-96.682380606620001</v>
      </c>
      <c r="I637" s="304">
        <f t="shared" ca="1" si="274"/>
        <v>96.865422541323028</v>
      </c>
      <c r="J637" s="306">
        <f t="shared" ca="1" si="275"/>
        <v>588.9746359926213</v>
      </c>
      <c r="K637" s="307">
        <f t="shared" ca="1" si="276"/>
        <v>-9.8022353393179369</v>
      </c>
      <c r="L637" s="304">
        <f t="shared" ca="1" si="261"/>
        <v>589.05619906787172</v>
      </c>
      <c r="M637" s="306">
        <f t="shared" ca="1" si="277"/>
        <v>-1.5093105986629083</v>
      </c>
      <c r="N637" s="304">
        <f t="shared" ca="1" si="278"/>
        <v>-86.477127277748281</v>
      </c>
      <c r="P637" s="310">
        <f t="shared" ca="1" si="279"/>
        <v>23</v>
      </c>
      <c r="Q637" s="304">
        <f t="shared" ca="1" si="280"/>
        <v>0</v>
      </c>
      <c r="R637" s="306">
        <f t="shared" ca="1" si="281"/>
        <v>0</v>
      </c>
      <c r="S637" s="307">
        <f t="shared" ca="1" si="282"/>
        <v>2.5949999999999998</v>
      </c>
      <c r="T637" s="304">
        <f t="shared" ca="1" si="262"/>
        <v>25.456949999999999</v>
      </c>
      <c r="U637" s="311">
        <f t="shared" ca="1" si="263"/>
        <v>0</v>
      </c>
      <c r="V637" s="306">
        <f t="shared" ca="1" si="264"/>
        <v>1.2262013626310282</v>
      </c>
      <c r="W637" s="304">
        <f t="shared" ca="1" si="265"/>
        <v>23.559833578059145</v>
      </c>
      <c r="Y637" s="314" t="str">
        <f t="shared" ca="1" si="283"/>
        <v/>
      </c>
      <c r="Z637" s="315" t="str">
        <f t="shared" ca="1" si="284"/>
        <v/>
      </c>
      <c r="AA637" s="316" t="str">
        <f t="shared" ca="1" si="285"/>
        <v/>
      </c>
      <c r="AC637" s="310" t="e">
        <f t="shared" ca="1" si="286"/>
        <v>#N/A</v>
      </c>
      <c r="AD637" s="323" t="e">
        <f t="shared" ca="1" si="287"/>
        <v>#N/A</v>
      </c>
      <c r="AE637" s="324" t="e">
        <f t="shared" ca="1" si="266"/>
        <v>#N/A</v>
      </c>
      <c r="AG637" s="306">
        <f t="shared" ca="1" si="288"/>
        <v>0.7125503325773046</v>
      </c>
      <c r="AH637" s="304">
        <f t="shared" ca="1" si="289"/>
        <v>-9.0789118066560803</v>
      </c>
    </row>
    <row r="638" spans="1:34" x14ac:dyDescent="0.2">
      <c r="A638" s="347">
        <f t="shared" ca="1" si="267"/>
        <v>1E-4</v>
      </c>
      <c r="B638" s="304">
        <f t="shared" ca="1" si="268"/>
        <v>32.525100000001004</v>
      </c>
      <c r="D638" s="306">
        <f t="shared" ca="1" si="269"/>
        <v>-0.55787320283550212</v>
      </c>
      <c r="E638" s="307">
        <f t="shared" ca="1" si="270"/>
        <v>-0.74822208378810195</v>
      </c>
      <c r="F638" s="304">
        <f t="shared" ca="1" si="271"/>
        <v>0.93330530755490226</v>
      </c>
      <c r="G638" s="306">
        <f t="shared" ca="1" si="272"/>
        <v>5.9520332867543981</v>
      </c>
      <c r="H638" s="307">
        <f t="shared" ca="1" si="273"/>
        <v>-96.682455428828376</v>
      </c>
      <c r="I638" s="304">
        <f t="shared" ca="1" si="274"/>
        <v>96.865493794199068</v>
      </c>
      <c r="J638" s="306">
        <f t="shared" ca="1" si="275"/>
        <v>588.9746359926213</v>
      </c>
      <c r="K638" s="307">
        <f t="shared" ca="1" si="276"/>
        <v>-9.8119035811197097</v>
      </c>
      <c r="L638" s="304">
        <f t="shared" ca="1" si="261"/>
        <v>589.05636003231973</v>
      </c>
      <c r="M638" s="306">
        <f t="shared" ca="1" si="277"/>
        <v>-1.5093112209639892</v>
      </c>
      <c r="N638" s="304">
        <f t="shared" ca="1" si="278"/>
        <v>-86.477162932973798</v>
      </c>
      <c r="P638" s="310">
        <f t="shared" ca="1" si="279"/>
        <v>23</v>
      </c>
      <c r="Q638" s="304">
        <f t="shared" ca="1" si="280"/>
        <v>0</v>
      </c>
      <c r="R638" s="306">
        <f t="shared" ca="1" si="281"/>
        <v>0</v>
      </c>
      <c r="S638" s="307">
        <f t="shared" ca="1" si="282"/>
        <v>2.5949999999999998</v>
      </c>
      <c r="T638" s="304">
        <f t="shared" ca="1" si="262"/>
        <v>25.456949999999999</v>
      </c>
      <c r="U638" s="311">
        <f t="shared" ca="1" si="263"/>
        <v>0</v>
      </c>
      <c r="V638" s="306">
        <f t="shared" ca="1" si="264"/>
        <v>1.2262025481530139</v>
      </c>
      <c r="W638" s="304">
        <f t="shared" ca="1" si="265"/>
        <v>23.559891016919469</v>
      </c>
      <c r="Y638" s="314" t="str">
        <f t="shared" ca="1" si="283"/>
        <v/>
      </c>
      <c r="Z638" s="315" t="str">
        <f t="shared" ca="1" si="284"/>
        <v/>
      </c>
      <c r="AA638" s="316" t="str">
        <f t="shared" ca="1" si="285"/>
        <v/>
      </c>
      <c r="AC638" s="310" t="e">
        <f t="shared" ca="1" si="286"/>
        <v>#N/A</v>
      </c>
      <c r="AD638" s="323" t="e">
        <f t="shared" ca="1" si="287"/>
        <v>#N/A</v>
      </c>
      <c r="AE638" s="324" t="e">
        <f t="shared" ca="1" si="266"/>
        <v>#N/A</v>
      </c>
      <c r="AG638" s="306">
        <f t="shared" ca="1" si="288"/>
        <v>0.71252857291072402</v>
      </c>
      <c r="AH638" s="304">
        <f t="shared" ca="1" si="289"/>
        <v>-9.0789339414486108</v>
      </c>
    </row>
    <row r="639" spans="1:34" x14ac:dyDescent="0.2">
      <c r="A639" s="347">
        <f t="shared" ca="1" si="267"/>
        <v>1E-4</v>
      </c>
      <c r="B639" s="304">
        <f t="shared" ca="1" si="268"/>
        <v>32.525200000001007</v>
      </c>
      <c r="D639" s="306">
        <f t="shared" ca="1" si="269"/>
        <v>-0.55786892376199226</v>
      </c>
      <c r="E639" s="307">
        <f t="shared" ca="1" si="270"/>
        <v>-0.74819964401471317</v>
      </c>
      <c r="F639" s="304">
        <f t="shared" ca="1" si="271"/>
        <v>0.93328476008295935</v>
      </c>
      <c r="G639" s="306">
        <f t="shared" ca="1" si="272"/>
        <v>5.9519774998620223</v>
      </c>
      <c r="H639" s="307">
        <f t="shared" ca="1" si="273"/>
        <v>-96.682530248792773</v>
      </c>
      <c r="I639" s="304">
        <f t="shared" ca="1" si="274"/>
        <v>96.865565044899185</v>
      </c>
      <c r="J639" s="306">
        <f t="shared" ca="1" si="275"/>
        <v>588.9746359926213</v>
      </c>
      <c r="K639" s="307">
        <f t="shared" ca="1" si="276"/>
        <v>-9.8215718304035899</v>
      </c>
      <c r="L639" s="304">
        <f t="shared" ca="1" si="261"/>
        <v>589.05652115553437</v>
      </c>
      <c r="M639" s="306">
        <f t="shared" ca="1" si="277"/>
        <v>-1.5093118432583219</v>
      </c>
      <c r="N639" s="304">
        <f t="shared" ca="1" si="278"/>
        <v>-86.47719858781268</v>
      </c>
      <c r="P639" s="310">
        <f t="shared" ca="1" si="279"/>
        <v>23</v>
      </c>
      <c r="Q639" s="304">
        <f t="shared" ca="1" si="280"/>
        <v>0</v>
      </c>
      <c r="R639" s="306">
        <f t="shared" ca="1" si="281"/>
        <v>0</v>
      </c>
      <c r="S639" s="307">
        <f t="shared" ca="1" si="282"/>
        <v>2.5949999999999998</v>
      </c>
      <c r="T639" s="304">
        <f t="shared" ca="1" si="262"/>
        <v>25.456949999999999</v>
      </c>
      <c r="U639" s="311">
        <f t="shared" ca="1" si="263"/>
        <v>0</v>
      </c>
      <c r="V639" s="306">
        <f t="shared" ca="1" si="264"/>
        <v>1.226203733677063</v>
      </c>
      <c r="W639" s="304">
        <f t="shared" ca="1" si="265"/>
        <v>23.559948454853476</v>
      </c>
      <c r="Y639" s="314" t="str">
        <f t="shared" ca="1" si="283"/>
        <v/>
      </c>
      <c r="Z639" s="315" t="str">
        <f t="shared" ca="1" si="284"/>
        <v/>
      </c>
      <c r="AA639" s="316" t="str">
        <f t="shared" ca="1" si="285"/>
        <v/>
      </c>
      <c r="AC639" s="310" t="e">
        <f t="shared" ca="1" si="286"/>
        <v>#N/A</v>
      </c>
      <c r="AD639" s="323" t="e">
        <f t="shared" ca="1" si="287"/>
        <v>#N/A</v>
      </c>
      <c r="AE639" s="324" t="e">
        <f t="shared" ca="1" si="266"/>
        <v>#N/A</v>
      </c>
      <c r="AG639" s="306">
        <f t="shared" ca="1" si="288"/>
        <v>0.7125068135932402</v>
      </c>
      <c r="AH639" s="304">
        <f t="shared" ca="1" si="289"/>
        <v>-9.0789560758841894</v>
      </c>
    </row>
    <row r="640" spans="1:34" x14ac:dyDescent="0.2">
      <c r="A640" s="347">
        <f t="shared" ca="1" si="267"/>
        <v>1E-4</v>
      </c>
      <c r="B640" s="304">
        <f t="shared" ca="1" si="268"/>
        <v>32.52530000000101</v>
      </c>
      <c r="D640" s="306">
        <f t="shared" ca="1" si="269"/>
        <v>-0.55786464469998676</v>
      </c>
      <c r="E640" s="307">
        <f t="shared" ca="1" si="270"/>
        <v>-0.74817720460319492</v>
      </c>
      <c r="F640" s="304">
        <f t="shared" ca="1" si="271"/>
        <v>0.93326421301477824</v>
      </c>
      <c r="G640" s="306">
        <f t="shared" ca="1" si="272"/>
        <v>5.9519217133975522</v>
      </c>
      <c r="H640" s="307">
        <f t="shared" ca="1" si="273"/>
        <v>-96.682605066513233</v>
      </c>
      <c r="I640" s="304">
        <f t="shared" ca="1" si="274"/>
        <v>96.865636293423393</v>
      </c>
      <c r="J640" s="306">
        <f t="shared" ca="1" si="275"/>
        <v>588.9746359926213</v>
      </c>
      <c r="K640" s="307">
        <f t="shared" ca="1" si="276"/>
        <v>-9.8312400871693555</v>
      </c>
      <c r="L640" s="304">
        <f t="shared" ca="1" si="261"/>
        <v>589.05668243751575</v>
      </c>
      <c r="M640" s="306">
        <f t="shared" ca="1" si="277"/>
        <v>-1.5093124655459065</v>
      </c>
      <c r="N640" s="304">
        <f t="shared" ca="1" si="278"/>
        <v>-86.477234242264913</v>
      </c>
      <c r="P640" s="310">
        <f t="shared" ca="1" si="279"/>
        <v>23</v>
      </c>
      <c r="Q640" s="304">
        <f t="shared" ca="1" si="280"/>
        <v>0</v>
      </c>
      <c r="R640" s="306">
        <f t="shared" ca="1" si="281"/>
        <v>0</v>
      </c>
      <c r="S640" s="307">
        <f t="shared" ca="1" si="282"/>
        <v>2.5949999999999998</v>
      </c>
      <c r="T640" s="304">
        <f t="shared" ca="1" si="262"/>
        <v>25.456949999999999</v>
      </c>
      <c r="U640" s="311">
        <f t="shared" ca="1" si="263"/>
        <v>0</v>
      </c>
      <c r="V640" s="306">
        <f t="shared" ca="1" si="264"/>
        <v>1.226204919203177</v>
      </c>
      <c r="W640" s="304">
        <f t="shared" ca="1" si="265"/>
        <v>23.56000589186122</v>
      </c>
      <c r="Y640" s="314" t="str">
        <f t="shared" ca="1" si="283"/>
        <v/>
      </c>
      <c r="Z640" s="315" t="str">
        <f t="shared" ca="1" si="284"/>
        <v/>
      </c>
      <c r="AA640" s="316" t="str">
        <f t="shared" ca="1" si="285"/>
        <v/>
      </c>
      <c r="AC640" s="310" t="e">
        <f t="shared" ca="1" si="286"/>
        <v>#N/A</v>
      </c>
      <c r="AD640" s="323" t="e">
        <f t="shared" ca="1" si="287"/>
        <v>#N/A</v>
      </c>
      <c r="AE640" s="324" t="e">
        <f t="shared" ca="1" si="266"/>
        <v>#N/A</v>
      </c>
      <c r="AG640" s="306">
        <f t="shared" ca="1" si="288"/>
        <v>0.71248505462485845</v>
      </c>
      <c r="AH640" s="304">
        <f t="shared" ca="1" si="289"/>
        <v>-9.0789782099628056</v>
      </c>
    </row>
    <row r="641" spans="1:34" x14ac:dyDescent="0.2">
      <c r="A641" s="347">
        <f t="shared" ca="1" si="267"/>
        <v>1E-4</v>
      </c>
      <c r="B641" s="304">
        <f t="shared" ca="1" si="268"/>
        <v>32.525400000001014</v>
      </c>
      <c r="D641" s="306">
        <f t="shared" ca="1" si="269"/>
        <v>-0.55786036564948771</v>
      </c>
      <c r="E641" s="307">
        <f t="shared" ca="1" si="270"/>
        <v>-0.74815476555352411</v>
      </c>
      <c r="F641" s="304">
        <f t="shared" ca="1" si="271"/>
        <v>0.93324366635034217</v>
      </c>
      <c r="G641" s="306">
        <f t="shared" ca="1" si="272"/>
        <v>5.9518659273609869</v>
      </c>
      <c r="H641" s="307">
        <f t="shared" ca="1" si="273"/>
        <v>-96.682679881989785</v>
      </c>
      <c r="I641" s="304">
        <f t="shared" ca="1" si="274"/>
        <v>96.865707539771748</v>
      </c>
      <c r="J641" s="306">
        <f t="shared" ca="1" si="275"/>
        <v>588.9746359926213</v>
      </c>
      <c r="K641" s="307">
        <f t="shared" ca="1" si="276"/>
        <v>-9.8409083514167808</v>
      </c>
      <c r="L641" s="304">
        <f t="shared" ca="1" si="261"/>
        <v>589.0568438782642</v>
      </c>
      <c r="M641" s="306">
        <f t="shared" ca="1" si="277"/>
        <v>-1.5093130878267431</v>
      </c>
      <c r="N641" s="304">
        <f t="shared" ca="1" si="278"/>
        <v>-86.477269896330526</v>
      </c>
      <c r="P641" s="310">
        <f t="shared" ca="1" si="279"/>
        <v>23</v>
      </c>
      <c r="Q641" s="304">
        <f t="shared" ca="1" si="280"/>
        <v>0</v>
      </c>
      <c r="R641" s="306">
        <f t="shared" ca="1" si="281"/>
        <v>0</v>
      </c>
      <c r="S641" s="307">
        <f t="shared" ca="1" si="282"/>
        <v>2.5949999999999998</v>
      </c>
      <c r="T641" s="304">
        <f t="shared" ca="1" si="262"/>
        <v>25.456949999999999</v>
      </c>
      <c r="U641" s="311">
        <f t="shared" ca="1" si="263"/>
        <v>0</v>
      </c>
      <c r="V641" s="306">
        <f t="shared" ca="1" si="264"/>
        <v>1.2262061047313548</v>
      </c>
      <c r="W641" s="304">
        <f t="shared" ca="1" si="265"/>
        <v>23.560063327942679</v>
      </c>
      <c r="Y641" s="314" t="str">
        <f t="shared" ca="1" si="283"/>
        <v/>
      </c>
      <c r="Z641" s="315" t="str">
        <f t="shared" ca="1" si="284"/>
        <v/>
      </c>
      <c r="AA641" s="316" t="str">
        <f t="shared" ca="1" si="285"/>
        <v/>
      </c>
      <c r="AC641" s="310" t="e">
        <f t="shared" ca="1" si="286"/>
        <v>#N/A</v>
      </c>
      <c r="AD641" s="323" t="e">
        <f t="shared" ca="1" si="287"/>
        <v>#N/A</v>
      </c>
      <c r="AE641" s="324" t="e">
        <f t="shared" ca="1" si="266"/>
        <v>#N/A</v>
      </c>
      <c r="AG641" s="306">
        <f t="shared" ca="1" si="288"/>
        <v>0.71246329600555924</v>
      </c>
      <c r="AH641" s="304">
        <f t="shared" ca="1" si="289"/>
        <v>-9.0790003436844788</v>
      </c>
    </row>
    <row r="642" spans="1:34" x14ac:dyDescent="0.2">
      <c r="A642" s="347">
        <f t="shared" ca="1" si="267"/>
        <v>1E-4</v>
      </c>
      <c r="B642" s="304">
        <f t="shared" ca="1" si="268"/>
        <v>32.525500000001017</v>
      </c>
      <c r="D642" s="306">
        <f t="shared" ca="1" si="269"/>
        <v>-0.55785608661049402</v>
      </c>
      <c r="E642" s="307">
        <f t="shared" ca="1" si="270"/>
        <v>-0.74813232686571141</v>
      </c>
      <c r="F642" s="304">
        <f t="shared" ca="1" si="271"/>
        <v>0.93322312008965924</v>
      </c>
      <c r="G642" s="306">
        <f t="shared" ca="1" si="272"/>
        <v>5.9518101417523255</v>
      </c>
      <c r="H642" s="307">
        <f t="shared" ca="1" si="273"/>
        <v>-96.682754695222471</v>
      </c>
      <c r="I642" s="304">
        <f t="shared" ca="1" si="274"/>
        <v>96.865778783944279</v>
      </c>
      <c r="J642" s="306">
        <f t="shared" ca="1" si="275"/>
        <v>588.9746359926213</v>
      </c>
      <c r="K642" s="307">
        <f t="shared" ca="1" si="276"/>
        <v>-9.850576623145642</v>
      </c>
      <c r="L642" s="304">
        <f t="shared" ca="1" si="261"/>
        <v>589.05700547777985</v>
      </c>
      <c r="M642" s="306">
        <f t="shared" ca="1" si="277"/>
        <v>-1.5093137101008318</v>
      </c>
      <c r="N642" s="304">
        <f t="shared" ca="1" si="278"/>
        <v>-86.477305550009518</v>
      </c>
      <c r="P642" s="310">
        <f t="shared" ca="1" si="279"/>
        <v>23</v>
      </c>
      <c r="Q642" s="304">
        <f t="shared" ca="1" si="280"/>
        <v>0</v>
      </c>
      <c r="R642" s="306">
        <f t="shared" ca="1" si="281"/>
        <v>0</v>
      </c>
      <c r="S642" s="307">
        <f t="shared" ca="1" si="282"/>
        <v>2.5949999999999998</v>
      </c>
      <c r="T642" s="304">
        <f t="shared" ca="1" si="262"/>
        <v>25.456949999999999</v>
      </c>
      <c r="U642" s="311">
        <f t="shared" ca="1" si="263"/>
        <v>0</v>
      </c>
      <c r="V642" s="306">
        <f t="shared" ca="1" si="264"/>
        <v>1.226207290261597</v>
      </c>
      <c r="W642" s="304">
        <f t="shared" ca="1" si="265"/>
        <v>23.560120763097885</v>
      </c>
      <c r="Y642" s="314" t="str">
        <f t="shared" ca="1" si="283"/>
        <v/>
      </c>
      <c r="Z642" s="315" t="str">
        <f t="shared" ca="1" si="284"/>
        <v/>
      </c>
      <c r="AA642" s="316" t="str">
        <f t="shared" ca="1" si="285"/>
        <v/>
      </c>
      <c r="AC642" s="310" t="e">
        <f t="shared" ca="1" si="286"/>
        <v>#N/A</v>
      </c>
      <c r="AD642" s="323" t="e">
        <f t="shared" ca="1" si="287"/>
        <v>#N/A</v>
      </c>
      <c r="AE642" s="324" t="e">
        <f t="shared" ca="1" si="266"/>
        <v>#N/A</v>
      </c>
      <c r="AG642" s="306">
        <f t="shared" ca="1" si="288"/>
        <v>0.71244153773534968</v>
      </c>
      <c r="AH642" s="304">
        <f t="shared" ca="1" si="289"/>
        <v>-9.0790224770492021</v>
      </c>
    </row>
    <row r="643" spans="1:34" x14ac:dyDescent="0.2">
      <c r="A643" s="347">
        <f t="shared" ca="1" si="267"/>
        <v>1E-4</v>
      </c>
      <c r="B643" s="304">
        <f t="shared" ca="1" si="268"/>
        <v>32.52560000000102</v>
      </c>
      <c r="D643" s="306">
        <f t="shared" ca="1" si="269"/>
        <v>-0.55785180758300745</v>
      </c>
      <c r="E643" s="307">
        <f t="shared" ca="1" si="270"/>
        <v>-0.74810988853974081</v>
      </c>
      <c r="F643" s="304">
        <f t="shared" ca="1" si="271"/>
        <v>0.93320257423271835</v>
      </c>
      <c r="G643" s="306">
        <f t="shared" ca="1" si="272"/>
        <v>5.9517543565715672</v>
      </c>
      <c r="H643" s="307">
        <f t="shared" ca="1" si="273"/>
        <v>-96.68282950621132</v>
      </c>
      <c r="I643" s="304">
        <f t="shared" ca="1" si="274"/>
        <v>96.865850025941</v>
      </c>
      <c r="J643" s="306">
        <f t="shared" ca="1" si="275"/>
        <v>588.9746359926213</v>
      </c>
      <c r="K643" s="307">
        <f t="shared" ca="1" si="276"/>
        <v>-9.8602449023557135</v>
      </c>
      <c r="L643" s="304">
        <f t="shared" ca="1" si="261"/>
        <v>589.05716723606304</v>
      </c>
      <c r="M643" s="306">
        <f t="shared" ca="1" si="277"/>
        <v>-1.5093143323681728</v>
      </c>
      <c r="N643" s="304">
        <f t="shared" ca="1" si="278"/>
        <v>-86.477341203301876</v>
      </c>
      <c r="P643" s="310">
        <f t="shared" ca="1" si="279"/>
        <v>23</v>
      </c>
      <c r="Q643" s="304">
        <f t="shared" ca="1" si="280"/>
        <v>0</v>
      </c>
      <c r="R643" s="306">
        <f t="shared" ca="1" si="281"/>
        <v>0</v>
      </c>
      <c r="S643" s="307">
        <f t="shared" ca="1" si="282"/>
        <v>2.5949999999999998</v>
      </c>
      <c r="T643" s="304">
        <f t="shared" ca="1" si="262"/>
        <v>25.456949999999999</v>
      </c>
      <c r="U643" s="311">
        <f t="shared" ca="1" si="263"/>
        <v>0</v>
      </c>
      <c r="V643" s="306">
        <f t="shared" ca="1" si="264"/>
        <v>1.2262084757939029</v>
      </c>
      <c r="W643" s="304">
        <f t="shared" ca="1" si="265"/>
        <v>23.560178197326824</v>
      </c>
      <c r="Y643" s="314" t="str">
        <f t="shared" ca="1" si="283"/>
        <v/>
      </c>
      <c r="Z643" s="315" t="str">
        <f t="shared" ca="1" si="284"/>
        <v/>
      </c>
      <c r="AA643" s="316" t="str">
        <f t="shared" ca="1" si="285"/>
        <v/>
      </c>
      <c r="AC643" s="310" t="e">
        <f t="shared" ca="1" si="286"/>
        <v>#N/A</v>
      </c>
      <c r="AD643" s="323" t="e">
        <f t="shared" ca="1" si="287"/>
        <v>#N/A</v>
      </c>
      <c r="AE643" s="324" t="e">
        <f t="shared" ca="1" si="266"/>
        <v>#N/A</v>
      </c>
      <c r="AG643" s="306">
        <f t="shared" ca="1" si="288"/>
        <v>0.71241977981421911</v>
      </c>
      <c r="AH643" s="304">
        <f t="shared" ca="1" si="289"/>
        <v>-9.0790446100569895</v>
      </c>
    </row>
    <row r="644" spans="1:34" x14ac:dyDescent="0.2">
      <c r="A644" s="347">
        <f t="shared" ca="1" si="267"/>
        <v>1E-4</v>
      </c>
      <c r="B644" s="304">
        <f t="shared" ca="1" si="268"/>
        <v>32.525700000001024</v>
      </c>
      <c r="D644" s="306">
        <f t="shared" ca="1" si="269"/>
        <v>-0.55784752856702657</v>
      </c>
      <c r="E644" s="307">
        <f t="shared" ca="1" si="270"/>
        <v>-0.74808745057561943</v>
      </c>
      <c r="F644" s="304">
        <f t="shared" ca="1" si="271"/>
        <v>0.9331820287795245</v>
      </c>
      <c r="G644" s="306">
        <f t="shared" ca="1" si="272"/>
        <v>5.9516985718187101</v>
      </c>
      <c r="H644" s="307">
        <f t="shared" ca="1" si="273"/>
        <v>-96.682904314956374</v>
      </c>
      <c r="I644" s="304">
        <f t="shared" ca="1" si="274"/>
        <v>96.865921265761969</v>
      </c>
      <c r="J644" s="306">
        <f t="shared" ca="1" si="275"/>
        <v>588.9746359926213</v>
      </c>
      <c r="K644" s="307">
        <f t="shared" ca="1" si="276"/>
        <v>-9.8699131890467715</v>
      </c>
      <c r="L644" s="304">
        <f t="shared" ref="L644:L707" ca="1" si="290">SQRT(pos_x^2+pos_z^2)</f>
        <v>589.05732915311398</v>
      </c>
      <c r="M644" s="306">
        <f t="shared" ca="1" si="277"/>
        <v>-1.5093149546287663</v>
      </c>
      <c r="N644" s="304">
        <f t="shared" ca="1" si="278"/>
        <v>-86.477376856207641</v>
      </c>
      <c r="P644" s="310">
        <f t="shared" ca="1" si="279"/>
        <v>23</v>
      </c>
      <c r="Q644" s="304">
        <f t="shared" ca="1" si="280"/>
        <v>0</v>
      </c>
      <c r="R644" s="306">
        <f t="shared" ca="1" si="281"/>
        <v>0</v>
      </c>
      <c r="S644" s="307">
        <f t="shared" ca="1" si="282"/>
        <v>2.5949999999999998</v>
      </c>
      <c r="T644" s="304">
        <f t="shared" ref="T644:T707" ca="1" si="291">m*g</f>
        <v>25.456949999999999</v>
      </c>
      <c r="U644" s="311">
        <f t="shared" ref="U644:U707" ca="1" si="292">IF(pos_xz&lt;L_rampe,Poids*COS(Beta),0)</f>
        <v>0</v>
      </c>
      <c r="V644" s="306">
        <f t="shared" ref="V644:V707" ca="1" si="293">Rho_moyen*(20000-Alt_rampe-pos_z)/(20000+Alt_rampe+pos_z)</f>
        <v>1.2262096613282731</v>
      </c>
      <c r="W644" s="304">
        <f t="shared" ref="W644:W707" ca="1" si="294">1/2*Rho*Sref*Cx*vit_xz^2</f>
        <v>23.560235630629535</v>
      </c>
      <c r="Y644" s="314" t="str">
        <f t="shared" ca="1" si="283"/>
        <v/>
      </c>
      <c r="Z644" s="315" t="str">
        <f t="shared" ca="1" si="284"/>
        <v/>
      </c>
      <c r="AA644" s="316" t="str">
        <f t="shared" ca="1" si="285"/>
        <v/>
      </c>
      <c r="AC644" s="310" t="e">
        <f t="shared" ca="1" si="286"/>
        <v>#N/A</v>
      </c>
      <c r="AD644" s="323" t="e">
        <f t="shared" ca="1" si="287"/>
        <v>#N/A</v>
      </c>
      <c r="AE644" s="324" t="e">
        <f t="shared" ref="AE644:AE707" ca="1" si="295">IF(t&lt;T_para, pos_z, NA())</f>
        <v>#N/A</v>
      </c>
      <c r="AG644" s="306">
        <f t="shared" ca="1" si="288"/>
        <v>0.71239802224217641</v>
      </c>
      <c r="AH644" s="304">
        <f t="shared" ca="1" si="289"/>
        <v>-9.0790667427078322</v>
      </c>
    </row>
    <row r="645" spans="1:34" x14ac:dyDescent="0.2">
      <c r="A645" s="347">
        <f t="shared" ref="A645:A708" ca="1" si="296">IF(B644+0.01&lt;=T_ini+ROUNDUP(Temps_fin_propu,0), 0.01, IF(K644&gt;0, 0.1, 0.0001))</f>
        <v>1E-4</v>
      </c>
      <c r="B645" s="304">
        <f t="shared" ref="B645:B708" ca="1" si="297">B644+pas</f>
        <v>32.525800000001027</v>
      </c>
      <c r="D645" s="306">
        <f t="shared" ref="D645:D708" ca="1" si="298">IF(AND(L644&lt;L_rampe,Poussee&lt;Poids*SIN(M644)),0,(-W644+Poussee)/m*COS(M644)-U644/m*SIN(M644))</f>
        <v>-0.55784324956255171</v>
      </c>
      <c r="E645" s="307">
        <f t="shared" ref="E645:E708" ca="1" si="299">IF(AND(L644&lt;L_rampe,Poussee&lt;Poids*SIN(M644)),0,(-W644+Poussee)/m*SIN(M644)+U644/m*COS(M644)-Poids/m)</f>
        <v>-0.74806501297333305</v>
      </c>
      <c r="F645" s="304">
        <f t="shared" ref="F645:F708" ca="1" si="300">SQRT(acc_x^2+acc_z^2)</f>
        <v>0.93316148373006713</v>
      </c>
      <c r="G645" s="306">
        <f t="shared" ref="G645:G708" ca="1" si="301">G644+acc_x*pas</f>
        <v>5.9516427874937534</v>
      </c>
      <c r="H645" s="307">
        <f t="shared" ref="H645:H708" ca="1" si="302">H644+acc_z*pas</f>
        <v>-96.682979121457677</v>
      </c>
      <c r="I645" s="304">
        <f t="shared" ref="I645:I708" ca="1" si="303">SQRT(vit_x^2+vit_z^2)</f>
        <v>96.865992503407227</v>
      </c>
      <c r="J645" s="306">
        <f t="shared" ref="J645:J708" ca="1" si="304">J644+0.5*(vit_x+G644)*pas*(K644&gt;=0)</f>
        <v>588.9746359926213</v>
      </c>
      <c r="K645" s="307">
        <f t="shared" ref="K645:K708" ca="1" si="305">K644+0.5*(vit_z+H644)*pas</f>
        <v>-9.8795814832185922</v>
      </c>
      <c r="L645" s="304">
        <f t="shared" ca="1" si="290"/>
        <v>589.0574912289328</v>
      </c>
      <c r="M645" s="306">
        <f t="shared" ref="M645:M708" ca="1" si="306">IF(AND(L644&gt;L_rampe,G645&gt;0),ATAN2(G645,H645),$M$4)</f>
        <v>-1.5093155768826119</v>
      </c>
      <c r="N645" s="304">
        <f t="shared" ref="N645:N708" ca="1" si="307">DEGREES(Beta)</f>
        <v>-86.477412508726786</v>
      </c>
      <c r="P645" s="310">
        <f t="shared" ref="P645:P708" ca="1" si="308">MATCH(t-pas/2-T_ini,CdP_t)</f>
        <v>23</v>
      </c>
      <c r="Q645" s="304">
        <f t="shared" ref="Q645:Q708" ca="1" si="309">(INDEX(CdP,2,i_P+1)-INDEX(CdP,2,i_P+0))/(INDEX(CdP,1,i_P+1)-INDEX(CdP,1,i_P+0))*(t-pas/2-T_ini-INDEX(CdP,1,i_P+0))+INDEX(CdP,2,i_P+0)</f>
        <v>0</v>
      </c>
      <c r="R645" s="306">
        <f t="shared" ref="R645:R708" ca="1" si="310">Poussee/(g*ISP)</f>
        <v>0</v>
      </c>
      <c r="S645" s="307">
        <f t="shared" ref="S645:S708" ca="1" si="311">S644-Débit*pas</f>
        <v>2.5949999999999998</v>
      </c>
      <c r="T645" s="304">
        <f t="shared" ca="1" si="291"/>
        <v>25.456949999999999</v>
      </c>
      <c r="U645" s="311">
        <f t="shared" ca="1" si="292"/>
        <v>0</v>
      </c>
      <c r="V645" s="306">
        <f t="shared" ca="1" si="293"/>
        <v>1.2262108468647075</v>
      </c>
      <c r="W645" s="304">
        <f t="shared" ca="1" si="294"/>
        <v>23.560293063006018</v>
      </c>
      <c r="Y645" s="314" t="str">
        <f t="shared" ref="Y645:Y708" ca="1" si="312">IF(AND(pos_z&lt;=0,K644&gt;0),"Impact balistique","") &amp; IF(AND(H646&lt;0,vit_z&gt;=0),"Apogée","") &amp; IF(AND(Poussee=0,Q644&gt;0),"Fin de propulsion","") &amp; IF(AND(L646&gt;L_rampe,pos_xz&lt;=L_rampe),"Sortie de rampe","")</f>
        <v/>
      </c>
      <c r="Z645" s="315" t="str">
        <f t="shared" ref="Z645:Z708" ca="1" si="313">IF(ABS(t-T_para)&lt;pas/2,"Para","")</f>
        <v/>
      </c>
      <c r="AA645" s="316" t="str">
        <f t="shared" ref="AA645:AA708" ca="1" si="314">IF(ABS(t-T_satellite)&lt;pas/2,"Satellite","")</f>
        <v/>
      </c>
      <c r="AC645" s="310" t="e">
        <f t="shared" ref="AC645:AC708" ca="1" si="315">IF(ABS(t-ROUND(t,0))&lt;0.001,t,NA())</f>
        <v>#N/A</v>
      </c>
      <c r="AD645" s="323" t="e">
        <f t="shared" ref="AD645:AD708" ca="1" si="316">IF(ABS(t-ROUND(t,0))&lt;0.001,pos_x,NA())</f>
        <v>#N/A</v>
      </c>
      <c r="AE645" s="324" t="e">
        <f t="shared" ca="1" si="295"/>
        <v>#N/A</v>
      </c>
      <c r="AG645" s="306">
        <f t="shared" ref="AG645:AG708" ca="1" si="317">IF(AND(L644&lt;L_rampe,Poussee&lt;Poids*SIN(M644)),0,(-W644+Poussee)/m-Poids*SIN(M644)/m)</f>
        <v>0.71237626501919848</v>
      </c>
      <c r="AH645" s="304">
        <f t="shared" ref="AH645:AH708" ca="1" si="318">IF(AND(L644&lt;L_rampe,Poussee&lt;Poids*SIN(M644)), g*SIN(M644), (-W644+Poussee)/m)</f>
        <v>-9.079088875001748</v>
      </c>
    </row>
    <row r="646" spans="1:34" x14ac:dyDescent="0.2">
      <c r="A646" s="347">
        <f t="shared" ca="1" si="296"/>
        <v>1E-4</v>
      </c>
      <c r="B646" s="304">
        <f t="shared" ca="1" si="297"/>
        <v>32.52590000000103</v>
      </c>
      <c r="D646" s="306">
        <f t="shared" ca="1" si="298"/>
        <v>-0.55783897056958809</v>
      </c>
      <c r="E646" s="307">
        <f t="shared" ca="1" si="299"/>
        <v>-0.74804257573287991</v>
      </c>
      <c r="F646" s="304">
        <f t="shared" ca="1" si="300"/>
        <v>0.93314093908434814</v>
      </c>
      <c r="G646" s="306">
        <f t="shared" ca="1" si="301"/>
        <v>5.9515870035966962</v>
      </c>
      <c r="H646" s="307">
        <f t="shared" ca="1" si="302"/>
        <v>-96.683053925715257</v>
      </c>
      <c r="I646" s="304">
        <f t="shared" ca="1" si="303"/>
        <v>96.866063738876818</v>
      </c>
      <c r="J646" s="306">
        <f t="shared" ca="1" si="304"/>
        <v>588.9746359926213</v>
      </c>
      <c r="K646" s="307">
        <f t="shared" ca="1" si="305"/>
        <v>-9.88924978487095</v>
      </c>
      <c r="L646" s="304">
        <f t="shared" ca="1" si="290"/>
        <v>589.05765346351996</v>
      </c>
      <c r="M646" s="306">
        <f t="shared" ca="1" si="306"/>
        <v>-1.5093161991297102</v>
      </c>
      <c r="N646" s="304">
        <f t="shared" ca="1" si="307"/>
        <v>-86.477448160859325</v>
      </c>
      <c r="P646" s="310">
        <f t="shared" ca="1" si="308"/>
        <v>23</v>
      </c>
      <c r="Q646" s="304">
        <f t="shared" ca="1" si="309"/>
        <v>0</v>
      </c>
      <c r="R646" s="306">
        <f t="shared" ca="1" si="310"/>
        <v>0</v>
      </c>
      <c r="S646" s="307">
        <f t="shared" ca="1" si="311"/>
        <v>2.5949999999999998</v>
      </c>
      <c r="T646" s="304">
        <f t="shared" ca="1" si="291"/>
        <v>25.456949999999999</v>
      </c>
      <c r="U646" s="311">
        <f t="shared" ca="1" si="292"/>
        <v>0</v>
      </c>
      <c r="V646" s="306">
        <f t="shared" ca="1" si="293"/>
        <v>1.2262120324032062</v>
      </c>
      <c r="W646" s="304">
        <f t="shared" ca="1" si="294"/>
        <v>23.560350494456308</v>
      </c>
      <c r="Y646" s="314" t="str">
        <f t="shared" ca="1" si="312"/>
        <v/>
      </c>
      <c r="Z646" s="315" t="str">
        <f t="shared" ca="1" si="313"/>
        <v/>
      </c>
      <c r="AA646" s="316" t="str">
        <f t="shared" ca="1" si="314"/>
        <v/>
      </c>
      <c r="AC646" s="310" t="e">
        <f t="shared" ca="1" si="315"/>
        <v>#N/A</v>
      </c>
      <c r="AD646" s="323" t="e">
        <f t="shared" ca="1" si="316"/>
        <v>#N/A</v>
      </c>
      <c r="AE646" s="324" t="e">
        <f t="shared" ca="1" si="295"/>
        <v>#N/A</v>
      </c>
      <c r="AG646" s="306">
        <f t="shared" ca="1" si="317"/>
        <v>0.71235450814528889</v>
      </c>
      <c r="AH646" s="304">
        <f t="shared" ca="1" si="318"/>
        <v>-9.0791110069387368</v>
      </c>
    </row>
    <row r="647" spans="1:34" x14ac:dyDescent="0.2">
      <c r="A647" s="347">
        <f t="shared" ca="1" si="296"/>
        <v>1E-4</v>
      </c>
      <c r="B647" s="304">
        <f t="shared" ca="1" si="297"/>
        <v>32.526000000001034</v>
      </c>
      <c r="D647" s="306">
        <f t="shared" ca="1" si="298"/>
        <v>-0.55783469158813126</v>
      </c>
      <c r="E647" s="307">
        <f t="shared" ca="1" si="299"/>
        <v>-0.74802013885424756</v>
      </c>
      <c r="F647" s="304">
        <f t="shared" ca="1" si="300"/>
        <v>0.93312039484235543</v>
      </c>
      <c r="G647" s="306">
        <f t="shared" ca="1" si="301"/>
        <v>5.9515312201275377</v>
      </c>
      <c r="H647" s="307">
        <f t="shared" ca="1" si="302"/>
        <v>-96.683128727729141</v>
      </c>
      <c r="I647" s="304">
        <f t="shared" ca="1" si="303"/>
        <v>96.866134972170727</v>
      </c>
      <c r="J647" s="306">
        <f t="shared" ca="1" si="304"/>
        <v>588.9746359926213</v>
      </c>
      <c r="K647" s="307">
        <f t="shared" ca="1" si="305"/>
        <v>-9.8989180940036228</v>
      </c>
      <c r="L647" s="304">
        <f t="shared" ca="1" si="290"/>
        <v>589.05781585687544</v>
      </c>
      <c r="M647" s="306">
        <f t="shared" ca="1" si="306"/>
        <v>-1.509316821370061</v>
      </c>
      <c r="N647" s="304">
        <f t="shared" ca="1" si="307"/>
        <v>-86.477483812605271</v>
      </c>
      <c r="P647" s="310">
        <f t="shared" ca="1" si="308"/>
        <v>23</v>
      </c>
      <c r="Q647" s="304">
        <f t="shared" ca="1" si="309"/>
        <v>0</v>
      </c>
      <c r="R647" s="306">
        <f t="shared" ca="1" si="310"/>
        <v>0</v>
      </c>
      <c r="S647" s="307">
        <f t="shared" ca="1" si="311"/>
        <v>2.5949999999999998</v>
      </c>
      <c r="T647" s="304">
        <f t="shared" ca="1" si="291"/>
        <v>25.456949999999999</v>
      </c>
      <c r="U647" s="311">
        <f t="shared" ca="1" si="292"/>
        <v>0</v>
      </c>
      <c r="V647" s="306">
        <f t="shared" ca="1" si="293"/>
        <v>1.2262132179437684</v>
      </c>
      <c r="W647" s="304">
        <f t="shared" ca="1" si="294"/>
        <v>23.560407924980364</v>
      </c>
      <c r="Y647" s="314" t="str">
        <f t="shared" ca="1" si="312"/>
        <v/>
      </c>
      <c r="Z647" s="315" t="str">
        <f t="shared" ca="1" si="313"/>
        <v/>
      </c>
      <c r="AA647" s="316" t="str">
        <f t="shared" ca="1" si="314"/>
        <v/>
      </c>
      <c r="AC647" s="310" t="e">
        <f t="shared" ca="1" si="315"/>
        <v>#N/A</v>
      </c>
      <c r="AD647" s="323" t="e">
        <f t="shared" ca="1" si="316"/>
        <v>#N/A</v>
      </c>
      <c r="AE647" s="324" t="e">
        <f t="shared" ca="1" si="295"/>
        <v>#N/A</v>
      </c>
      <c r="AG647" s="306">
        <f t="shared" ca="1" si="317"/>
        <v>0.71233275162044052</v>
      </c>
      <c r="AH647" s="304">
        <f t="shared" ca="1" si="318"/>
        <v>-9.0791331385188094</v>
      </c>
    </row>
    <row r="648" spans="1:34" x14ac:dyDescent="0.2">
      <c r="A648" s="347">
        <f t="shared" ca="1" si="296"/>
        <v>1E-4</v>
      </c>
      <c r="B648" s="304">
        <f t="shared" ca="1" si="297"/>
        <v>32.526100000001037</v>
      </c>
      <c r="D648" s="306">
        <f t="shared" ca="1" si="298"/>
        <v>-0.55783041261818356</v>
      </c>
      <c r="E648" s="307">
        <f t="shared" ca="1" si="299"/>
        <v>-0.74799770233745377</v>
      </c>
      <c r="F648" s="304">
        <f t="shared" ca="1" si="300"/>
        <v>0.93309985100410509</v>
      </c>
      <c r="G648" s="306">
        <f t="shared" ca="1" si="301"/>
        <v>5.9514754370862759</v>
      </c>
      <c r="H648" s="307">
        <f t="shared" ca="1" si="302"/>
        <v>-96.683203527499373</v>
      </c>
      <c r="I648" s="304">
        <f t="shared" ca="1" si="303"/>
        <v>96.866206203289025</v>
      </c>
      <c r="J648" s="306">
        <f t="shared" ca="1" si="304"/>
        <v>588.9746359926213</v>
      </c>
      <c r="K648" s="307">
        <f t="shared" ca="1" si="305"/>
        <v>-9.908586410616385</v>
      </c>
      <c r="L648" s="304">
        <f t="shared" ca="1" si="290"/>
        <v>589.05797840899959</v>
      </c>
      <c r="M648" s="306">
        <f t="shared" ca="1" si="306"/>
        <v>-1.5093174436036645</v>
      </c>
      <c r="N648" s="304">
        <f t="shared" ca="1" si="307"/>
        <v>-86.477519463964626</v>
      </c>
      <c r="P648" s="310">
        <f t="shared" ca="1" si="308"/>
        <v>23</v>
      </c>
      <c r="Q648" s="304">
        <f t="shared" ca="1" si="309"/>
        <v>0</v>
      </c>
      <c r="R648" s="306">
        <f t="shared" ca="1" si="310"/>
        <v>0</v>
      </c>
      <c r="S648" s="307">
        <f t="shared" ca="1" si="311"/>
        <v>2.5949999999999998</v>
      </c>
      <c r="T648" s="304">
        <f t="shared" ca="1" si="291"/>
        <v>25.456949999999999</v>
      </c>
      <c r="U648" s="311">
        <f t="shared" ca="1" si="292"/>
        <v>0</v>
      </c>
      <c r="V648" s="306">
        <f t="shared" ca="1" si="293"/>
        <v>1.2262144034863947</v>
      </c>
      <c r="W648" s="304">
        <f t="shared" ca="1" si="294"/>
        <v>23.560465354578238</v>
      </c>
      <c r="Y648" s="314" t="str">
        <f t="shared" ca="1" si="312"/>
        <v/>
      </c>
      <c r="Z648" s="315" t="str">
        <f t="shared" ca="1" si="313"/>
        <v/>
      </c>
      <c r="AA648" s="316" t="str">
        <f t="shared" ca="1" si="314"/>
        <v/>
      </c>
      <c r="AC648" s="310" t="e">
        <f t="shared" ca="1" si="315"/>
        <v>#N/A</v>
      </c>
      <c r="AD648" s="323" t="e">
        <f t="shared" ca="1" si="316"/>
        <v>#N/A</v>
      </c>
      <c r="AE648" s="324" t="e">
        <f t="shared" ca="1" si="295"/>
        <v>#N/A</v>
      </c>
      <c r="AG648" s="306">
        <f t="shared" ca="1" si="317"/>
        <v>0.71231099544466225</v>
      </c>
      <c r="AH648" s="304">
        <f t="shared" ca="1" si="318"/>
        <v>-9.0791552697419515</v>
      </c>
    </row>
    <row r="649" spans="1:34" x14ac:dyDescent="0.2">
      <c r="A649" s="347">
        <f t="shared" ca="1" si="296"/>
        <v>1E-4</v>
      </c>
      <c r="B649" s="304">
        <f t="shared" ca="1" si="297"/>
        <v>32.52620000000104</v>
      </c>
      <c r="D649" s="306">
        <f t="shared" ca="1" si="298"/>
        <v>-0.55782613365974532</v>
      </c>
      <c r="E649" s="307">
        <f t="shared" ca="1" si="299"/>
        <v>-0.74797526618247545</v>
      </c>
      <c r="F649" s="304">
        <f t="shared" ca="1" si="300"/>
        <v>0.93307930756957902</v>
      </c>
      <c r="G649" s="306">
        <f t="shared" ca="1" si="301"/>
        <v>5.9514196544729101</v>
      </c>
      <c r="H649" s="307">
        <f t="shared" ca="1" si="302"/>
        <v>-96.683278325025995</v>
      </c>
      <c r="I649" s="304">
        <f t="shared" ca="1" si="303"/>
        <v>96.866277432231726</v>
      </c>
      <c r="J649" s="306">
        <f t="shared" ca="1" si="304"/>
        <v>588.9746359926213</v>
      </c>
      <c r="K649" s="307">
        <f t="shared" ca="1" si="305"/>
        <v>-9.9182547347090111</v>
      </c>
      <c r="L649" s="304">
        <f t="shared" ca="1" si="290"/>
        <v>589.05814111989264</v>
      </c>
      <c r="M649" s="306">
        <f t="shared" ca="1" si="306"/>
        <v>-1.5093180658305207</v>
      </c>
      <c r="N649" s="304">
        <f t="shared" ca="1" si="307"/>
        <v>-86.477555114937388</v>
      </c>
      <c r="P649" s="310">
        <f t="shared" ca="1" si="308"/>
        <v>23</v>
      </c>
      <c r="Q649" s="304">
        <f t="shared" ca="1" si="309"/>
        <v>0</v>
      </c>
      <c r="R649" s="306">
        <f t="shared" ca="1" si="310"/>
        <v>0</v>
      </c>
      <c r="S649" s="307">
        <f t="shared" ca="1" si="311"/>
        <v>2.5949999999999998</v>
      </c>
      <c r="T649" s="304">
        <f t="shared" ca="1" si="291"/>
        <v>25.456949999999999</v>
      </c>
      <c r="U649" s="311">
        <f t="shared" ca="1" si="292"/>
        <v>0</v>
      </c>
      <c r="V649" s="306">
        <f t="shared" ca="1" si="293"/>
        <v>1.2262155890310851</v>
      </c>
      <c r="W649" s="304">
        <f t="shared" ca="1" si="294"/>
        <v>23.560522783249926</v>
      </c>
      <c r="Y649" s="314" t="str">
        <f t="shared" ca="1" si="312"/>
        <v/>
      </c>
      <c r="Z649" s="315" t="str">
        <f t="shared" ca="1" si="313"/>
        <v/>
      </c>
      <c r="AA649" s="316" t="str">
        <f t="shared" ca="1" si="314"/>
        <v/>
      </c>
      <c r="AC649" s="310" t="e">
        <f t="shared" ca="1" si="315"/>
        <v>#N/A</v>
      </c>
      <c r="AD649" s="323" t="e">
        <f t="shared" ca="1" si="316"/>
        <v>#N/A</v>
      </c>
      <c r="AE649" s="324" t="e">
        <f t="shared" ca="1" si="295"/>
        <v>#N/A</v>
      </c>
      <c r="AG649" s="306">
        <f t="shared" ca="1" si="317"/>
        <v>0.71228923961793456</v>
      </c>
      <c r="AH649" s="304">
        <f t="shared" ca="1" si="318"/>
        <v>-9.0791774006081845</v>
      </c>
    </row>
    <row r="650" spans="1:34" x14ac:dyDescent="0.2">
      <c r="A650" s="347">
        <f t="shared" ca="1" si="296"/>
        <v>1E-4</v>
      </c>
      <c r="B650" s="304">
        <f t="shared" ca="1" si="297"/>
        <v>32.526300000001044</v>
      </c>
      <c r="D650" s="306">
        <f t="shared" ca="1" si="298"/>
        <v>-0.55782185471281776</v>
      </c>
      <c r="E650" s="307">
        <f t="shared" ca="1" si="299"/>
        <v>-0.74795283038931082</v>
      </c>
      <c r="F650" s="304">
        <f t="shared" ca="1" si="300"/>
        <v>0.93305876453877712</v>
      </c>
      <c r="G650" s="306">
        <f t="shared" ca="1" si="301"/>
        <v>5.9513638722874385</v>
      </c>
      <c r="H650" s="307">
        <f t="shared" ca="1" si="302"/>
        <v>-96.683353120309036</v>
      </c>
      <c r="I650" s="304">
        <f t="shared" ca="1" si="303"/>
        <v>96.866348658998916</v>
      </c>
      <c r="J650" s="306">
        <f t="shared" ca="1" si="304"/>
        <v>588.9746359926213</v>
      </c>
      <c r="K650" s="307">
        <f t="shared" ca="1" si="305"/>
        <v>-9.9279230662812772</v>
      </c>
      <c r="L650" s="304">
        <f t="shared" ca="1" si="290"/>
        <v>589.05830398955482</v>
      </c>
      <c r="M650" s="306">
        <f t="shared" ca="1" si="306"/>
        <v>-1.5093186880506297</v>
      </c>
      <c r="N650" s="304">
        <f t="shared" ca="1" si="307"/>
        <v>-86.477590765523559</v>
      </c>
      <c r="P650" s="310">
        <f t="shared" ca="1" si="308"/>
        <v>23</v>
      </c>
      <c r="Q650" s="304">
        <f t="shared" ca="1" si="309"/>
        <v>0</v>
      </c>
      <c r="R650" s="306">
        <f t="shared" ca="1" si="310"/>
        <v>0</v>
      </c>
      <c r="S650" s="307">
        <f t="shared" ca="1" si="311"/>
        <v>2.5949999999999998</v>
      </c>
      <c r="T650" s="304">
        <f t="shared" ca="1" si="291"/>
        <v>25.456949999999999</v>
      </c>
      <c r="U650" s="311">
        <f t="shared" ca="1" si="292"/>
        <v>0</v>
      </c>
      <c r="V650" s="306">
        <f t="shared" ca="1" si="293"/>
        <v>1.2262167745778392</v>
      </c>
      <c r="W650" s="304">
        <f t="shared" ca="1" si="294"/>
        <v>23.560580210995454</v>
      </c>
      <c r="Y650" s="314" t="str">
        <f t="shared" ca="1" si="312"/>
        <v/>
      </c>
      <c r="Z650" s="315" t="str">
        <f t="shared" ca="1" si="313"/>
        <v/>
      </c>
      <c r="AA650" s="316" t="str">
        <f t="shared" ca="1" si="314"/>
        <v/>
      </c>
      <c r="AC650" s="310" t="e">
        <f t="shared" ca="1" si="315"/>
        <v>#N/A</v>
      </c>
      <c r="AD650" s="323" t="e">
        <f t="shared" ca="1" si="316"/>
        <v>#N/A</v>
      </c>
      <c r="AE650" s="324" t="e">
        <f t="shared" ca="1" si="295"/>
        <v>#N/A</v>
      </c>
      <c r="AG650" s="306">
        <f t="shared" ca="1" si="317"/>
        <v>0.71226748414026275</v>
      </c>
      <c r="AH650" s="304">
        <f t="shared" ca="1" si="318"/>
        <v>-9.0791995311175064</v>
      </c>
    </row>
    <row r="651" spans="1:34" x14ac:dyDescent="0.2">
      <c r="A651" s="347">
        <f t="shared" ca="1" si="296"/>
        <v>1E-4</v>
      </c>
      <c r="B651" s="304">
        <f t="shared" ca="1" si="297"/>
        <v>32.526400000001047</v>
      </c>
      <c r="D651" s="306">
        <f t="shared" ca="1" si="298"/>
        <v>-0.55781757577740221</v>
      </c>
      <c r="E651" s="307">
        <f t="shared" ca="1" si="299"/>
        <v>-0.7479303949579581</v>
      </c>
      <c r="F651" s="304">
        <f t="shared" ca="1" si="300"/>
        <v>0.93303822191169905</v>
      </c>
      <c r="G651" s="306">
        <f t="shared" ca="1" si="301"/>
        <v>5.951308090529861</v>
      </c>
      <c r="H651" s="307">
        <f t="shared" ca="1" si="302"/>
        <v>-96.683427913348538</v>
      </c>
      <c r="I651" s="304">
        <f t="shared" ca="1" si="303"/>
        <v>96.866419883590567</v>
      </c>
      <c r="J651" s="306">
        <f t="shared" ca="1" si="304"/>
        <v>588.9746359926213</v>
      </c>
      <c r="K651" s="307">
        <f t="shared" ca="1" si="305"/>
        <v>-9.9375914053329595</v>
      </c>
      <c r="L651" s="304">
        <f t="shared" ca="1" si="290"/>
        <v>589.05846701798635</v>
      </c>
      <c r="M651" s="306">
        <f t="shared" ca="1" si="306"/>
        <v>-1.5093193102639919</v>
      </c>
      <c r="N651" s="304">
        <f t="shared" ca="1" si="307"/>
        <v>-86.477626415723165</v>
      </c>
      <c r="P651" s="310">
        <f t="shared" ca="1" si="308"/>
        <v>23</v>
      </c>
      <c r="Q651" s="304">
        <f t="shared" ca="1" si="309"/>
        <v>0</v>
      </c>
      <c r="R651" s="306">
        <f t="shared" ca="1" si="310"/>
        <v>0</v>
      </c>
      <c r="S651" s="307">
        <f t="shared" ca="1" si="311"/>
        <v>2.5949999999999998</v>
      </c>
      <c r="T651" s="304">
        <f t="shared" ca="1" si="291"/>
        <v>25.456949999999999</v>
      </c>
      <c r="U651" s="311">
        <f t="shared" ca="1" si="292"/>
        <v>0</v>
      </c>
      <c r="V651" s="306">
        <f t="shared" ca="1" si="293"/>
        <v>1.2262179601266578</v>
      </c>
      <c r="W651" s="304">
        <f t="shared" ca="1" si="294"/>
        <v>23.560637637814818</v>
      </c>
      <c r="Y651" s="314" t="str">
        <f t="shared" ca="1" si="312"/>
        <v/>
      </c>
      <c r="Z651" s="315" t="str">
        <f t="shared" ca="1" si="313"/>
        <v/>
      </c>
      <c r="AA651" s="316" t="str">
        <f t="shared" ca="1" si="314"/>
        <v/>
      </c>
      <c r="AC651" s="310" t="e">
        <f t="shared" ca="1" si="315"/>
        <v>#N/A</v>
      </c>
      <c r="AD651" s="323" t="e">
        <f t="shared" ca="1" si="316"/>
        <v>#N/A</v>
      </c>
      <c r="AE651" s="324" t="e">
        <f t="shared" ca="1" si="295"/>
        <v>#N/A</v>
      </c>
      <c r="AG651" s="306">
        <f t="shared" ca="1" si="317"/>
        <v>0.71224572901163619</v>
      </c>
      <c r="AH651" s="304">
        <f t="shared" ca="1" si="318"/>
        <v>-9.0792216612699246</v>
      </c>
    </row>
    <row r="652" spans="1:34" x14ac:dyDescent="0.2">
      <c r="A652" s="347">
        <f t="shared" ca="1" si="296"/>
        <v>1E-4</v>
      </c>
      <c r="B652" s="304">
        <f t="shared" ca="1" si="297"/>
        <v>32.52650000000105</v>
      </c>
      <c r="D652" s="306">
        <f t="shared" ca="1" si="298"/>
        <v>-0.5578132968534959</v>
      </c>
      <c r="E652" s="307">
        <f t="shared" ca="1" si="299"/>
        <v>-0.74790795988841197</v>
      </c>
      <c r="F652" s="304">
        <f t="shared" ca="1" si="300"/>
        <v>0.93301767968833949</v>
      </c>
      <c r="G652" s="306">
        <f t="shared" ca="1" si="301"/>
        <v>5.9512523092001759</v>
      </c>
      <c r="H652" s="307">
        <f t="shared" ca="1" si="302"/>
        <v>-96.68350270414453</v>
      </c>
      <c r="I652" s="304">
        <f t="shared" ca="1" si="303"/>
        <v>96.866491106006748</v>
      </c>
      <c r="J652" s="306">
        <f t="shared" ca="1" si="304"/>
        <v>588.9746359926213</v>
      </c>
      <c r="K652" s="307">
        <f t="shared" ca="1" si="305"/>
        <v>-9.9472597518638342</v>
      </c>
      <c r="L652" s="304">
        <f t="shared" ca="1" si="290"/>
        <v>589.05863020518746</v>
      </c>
      <c r="M652" s="306">
        <f t="shared" ca="1" si="306"/>
        <v>-1.509319932470607</v>
      </c>
      <c r="N652" s="304">
        <f t="shared" ca="1" si="307"/>
        <v>-86.477662065536208</v>
      </c>
      <c r="P652" s="310">
        <f t="shared" ca="1" si="308"/>
        <v>23</v>
      </c>
      <c r="Q652" s="304">
        <f t="shared" ca="1" si="309"/>
        <v>0</v>
      </c>
      <c r="R652" s="306">
        <f t="shared" ca="1" si="310"/>
        <v>0</v>
      </c>
      <c r="S652" s="307">
        <f t="shared" ca="1" si="311"/>
        <v>2.5949999999999998</v>
      </c>
      <c r="T652" s="304">
        <f t="shared" ca="1" si="291"/>
        <v>25.456949999999999</v>
      </c>
      <c r="U652" s="311">
        <f t="shared" ca="1" si="292"/>
        <v>0</v>
      </c>
      <c r="V652" s="306">
        <f t="shared" ca="1" si="293"/>
        <v>1.22621914567754</v>
      </c>
      <c r="W652" s="304">
        <f t="shared" ca="1" si="294"/>
        <v>23.560695063708035</v>
      </c>
      <c r="Y652" s="314" t="str">
        <f t="shared" ca="1" si="312"/>
        <v/>
      </c>
      <c r="Z652" s="315" t="str">
        <f t="shared" ca="1" si="313"/>
        <v/>
      </c>
      <c r="AA652" s="316" t="str">
        <f t="shared" ca="1" si="314"/>
        <v/>
      </c>
      <c r="AC652" s="310" t="e">
        <f t="shared" ca="1" si="315"/>
        <v>#N/A</v>
      </c>
      <c r="AD652" s="323" t="e">
        <f t="shared" ca="1" si="316"/>
        <v>#N/A</v>
      </c>
      <c r="AE652" s="324" t="e">
        <f t="shared" ca="1" si="295"/>
        <v>#N/A</v>
      </c>
      <c r="AG652" s="306">
        <f t="shared" ca="1" si="317"/>
        <v>0.71222397423205308</v>
      </c>
      <c r="AH652" s="304">
        <f t="shared" ca="1" si="318"/>
        <v>-9.0792437910654407</v>
      </c>
    </row>
    <row r="653" spans="1:34" x14ac:dyDescent="0.2">
      <c r="A653" s="347">
        <f t="shared" ca="1" si="296"/>
        <v>1E-4</v>
      </c>
      <c r="B653" s="304">
        <f t="shared" ca="1" si="297"/>
        <v>32.526600000001054</v>
      </c>
      <c r="D653" s="306">
        <f t="shared" ca="1" si="298"/>
        <v>-0.55780901794110249</v>
      </c>
      <c r="E653" s="307">
        <f t="shared" ca="1" si="299"/>
        <v>-0.74788552518067064</v>
      </c>
      <c r="F653" s="304">
        <f t="shared" ca="1" si="300"/>
        <v>0.93299713786869931</v>
      </c>
      <c r="G653" s="306">
        <f t="shared" ca="1" si="301"/>
        <v>5.9511965282983814</v>
      </c>
      <c r="H653" s="307">
        <f t="shared" ca="1" si="302"/>
        <v>-96.683577492697054</v>
      </c>
      <c r="I653" s="304">
        <f t="shared" ca="1" si="303"/>
        <v>96.866562326247475</v>
      </c>
      <c r="J653" s="306">
        <f t="shared" ca="1" si="304"/>
        <v>588.9746359926213</v>
      </c>
      <c r="K653" s="307">
        <f t="shared" ca="1" si="305"/>
        <v>-9.9569281058736756</v>
      </c>
      <c r="L653" s="304">
        <f t="shared" ca="1" si="290"/>
        <v>589.05879355115837</v>
      </c>
      <c r="M653" s="306">
        <f t="shared" ca="1" si="306"/>
        <v>-1.5093205546704751</v>
      </c>
      <c r="N653" s="304">
        <f t="shared" ca="1" si="307"/>
        <v>-86.477697714962659</v>
      </c>
      <c r="P653" s="310">
        <f t="shared" ca="1" si="308"/>
        <v>23</v>
      </c>
      <c r="Q653" s="304">
        <f t="shared" ca="1" si="309"/>
        <v>0</v>
      </c>
      <c r="R653" s="306">
        <f t="shared" ca="1" si="310"/>
        <v>0</v>
      </c>
      <c r="S653" s="307">
        <f t="shared" ca="1" si="311"/>
        <v>2.5949999999999998</v>
      </c>
      <c r="T653" s="304">
        <f t="shared" ca="1" si="291"/>
        <v>25.456949999999999</v>
      </c>
      <c r="U653" s="311">
        <f t="shared" ca="1" si="292"/>
        <v>0</v>
      </c>
      <c r="V653" s="306">
        <f t="shared" ca="1" si="293"/>
        <v>1.2262203312304858</v>
      </c>
      <c r="W653" s="304">
        <f t="shared" ca="1" si="294"/>
        <v>23.56075248867511</v>
      </c>
      <c r="Y653" s="314" t="str">
        <f t="shared" ca="1" si="312"/>
        <v/>
      </c>
      <c r="Z653" s="315" t="str">
        <f t="shared" ca="1" si="313"/>
        <v/>
      </c>
      <c r="AA653" s="316" t="str">
        <f t="shared" ca="1" si="314"/>
        <v/>
      </c>
      <c r="AC653" s="310" t="e">
        <f t="shared" ca="1" si="315"/>
        <v>#N/A</v>
      </c>
      <c r="AD653" s="323" t="e">
        <f t="shared" ca="1" si="316"/>
        <v>#N/A</v>
      </c>
      <c r="AE653" s="324" t="e">
        <f t="shared" ca="1" si="295"/>
        <v>#N/A</v>
      </c>
      <c r="AG653" s="306">
        <f t="shared" ca="1" si="317"/>
        <v>0.71220221980150988</v>
      </c>
      <c r="AH653" s="304">
        <f t="shared" ca="1" si="318"/>
        <v>-9.07926592050406</v>
      </c>
    </row>
    <row r="654" spans="1:34" x14ac:dyDescent="0.2">
      <c r="A654" s="347">
        <f t="shared" ca="1" si="296"/>
        <v>1E-4</v>
      </c>
      <c r="B654" s="304">
        <f t="shared" ca="1" si="297"/>
        <v>32.526700000001057</v>
      </c>
      <c r="D654" s="306">
        <f t="shared" ca="1" si="298"/>
        <v>-0.5578047390402231</v>
      </c>
      <c r="E654" s="307">
        <f t="shared" ca="1" si="299"/>
        <v>-0.74786309083472879</v>
      </c>
      <c r="F654" s="304">
        <f t="shared" ca="1" si="300"/>
        <v>0.93297659645277553</v>
      </c>
      <c r="G654" s="306">
        <f t="shared" ca="1" si="301"/>
        <v>5.9511407478244776</v>
      </c>
      <c r="H654" s="307">
        <f t="shared" ca="1" si="302"/>
        <v>-96.683652279006139</v>
      </c>
      <c r="I654" s="304">
        <f t="shared" ca="1" si="303"/>
        <v>96.866633544312805</v>
      </c>
      <c r="J654" s="306">
        <f t="shared" ca="1" si="304"/>
        <v>588.9746359926213</v>
      </c>
      <c r="K654" s="307">
        <f t="shared" ca="1" si="305"/>
        <v>-9.96659646736226</v>
      </c>
      <c r="L654" s="304">
        <f t="shared" ca="1" si="290"/>
        <v>589.05895705589944</v>
      </c>
      <c r="M654" s="306">
        <f t="shared" ca="1" si="306"/>
        <v>-1.5093211768635966</v>
      </c>
      <c r="N654" s="304">
        <f t="shared" ca="1" si="307"/>
        <v>-86.47773336400256</v>
      </c>
      <c r="P654" s="310">
        <f t="shared" ca="1" si="308"/>
        <v>23</v>
      </c>
      <c r="Q654" s="304">
        <f t="shared" ca="1" si="309"/>
        <v>0</v>
      </c>
      <c r="R654" s="306">
        <f t="shared" ca="1" si="310"/>
        <v>0</v>
      </c>
      <c r="S654" s="307">
        <f t="shared" ca="1" si="311"/>
        <v>2.5949999999999998</v>
      </c>
      <c r="T654" s="304">
        <f t="shared" ca="1" si="291"/>
        <v>25.456949999999999</v>
      </c>
      <c r="U654" s="311">
        <f t="shared" ca="1" si="292"/>
        <v>0</v>
      </c>
      <c r="V654" s="306">
        <f t="shared" ca="1" si="293"/>
        <v>1.226221516785496</v>
      </c>
      <c r="W654" s="304">
        <f t="shared" ca="1" si="294"/>
        <v>23.560809912716071</v>
      </c>
      <c r="Y654" s="314" t="str">
        <f t="shared" ca="1" si="312"/>
        <v/>
      </c>
      <c r="Z654" s="315" t="str">
        <f t="shared" ca="1" si="313"/>
        <v/>
      </c>
      <c r="AA654" s="316" t="str">
        <f t="shared" ca="1" si="314"/>
        <v/>
      </c>
      <c r="AC654" s="310" t="e">
        <f t="shared" ca="1" si="315"/>
        <v>#N/A</v>
      </c>
      <c r="AD654" s="323" t="e">
        <f t="shared" ca="1" si="316"/>
        <v>#N/A</v>
      </c>
      <c r="AE654" s="324" t="e">
        <f t="shared" ca="1" si="295"/>
        <v>#N/A</v>
      </c>
      <c r="AG654" s="306">
        <f t="shared" ca="1" si="317"/>
        <v>0.71218046572000659</v>
      </c>
      <c r="AH654" s="304">
        <f t="shared" ca="1" si="318"/>
        <v>-9.0792880495857844</v>
      </c>
    </row>
    <row r="655" spans="1:34" x14ac:dyDescent="0.2">
      <c r="A655" s="347">
        <f t="shared" ca="1" si="296"/>
        <v>1E-4</v>
      </c>
      <c r="B655" s="304">
        <f t="shared" ca="1" si="297"/>
        <v>32.52680000000106</v>
      </c>
      <c r="D655" s="306">
        <f t="shared" ca="1" si="298"/>
        <v>-0.55780046015085538</v>
      </c>
      <c r="E655" s="307">
        <f t="shared" ca="1" si="299"/>
        <v>-0.74784065685057399</v>
      </c>
      <c r="F655" s="304">
        <f t="shared" ca="1" si="300"/>
        <v>0.93295605544055715</v>
      </c>
      <c r="G655" s="306">
        <f t="shared" ca="1" si="301"/>
        <v>5.9510849677784625</v>
      </c>
      <c r="H655" s="307">
        <f t="shared" ca="1" si="302"/>
        <v>-96.683727063071828</v>
      </c>
      <c r="I655" s="304">
        <f t="shared" ca="1" si="303"/>
        <v>96.866704760202751</v>
      </c>
      <c r="J655" s="306">
        <f t="shared" ca="1" si="304"/>
        <v>588.9746359926213</v>
      </c>
      <c r="K655" s="307">
        <f t="shared" ca="1" si="305"/>
        <v>-9.9762648363293636</v>
      </c>
      <c r="L655" s="304">
        <f t="shared" ca="1" si="290"/>
        <v>589.05912071941077</v>
      </c>
      <c r="M655" s="306">
        <f t="shared" ca="1" si="306"/>
        <v>-1.5093217990499714</v>
      </c>
      <c r="N655" s="304">
        <f t="shared" ca="1" si="307"/>
        <v>-86.477769012655912</v>
      </c>
      <c r="P655" s="310">
        <f t="shared" ca="1" si="308"/>
        <v>23</v>
      </c>
      <c r="Q655" s="304">
        <f t="shared" ca="1" si="309"/>
        <v>0</v>
      </c>
      <c r="R655" s="306">
        <f t="shared" ca="1" si="310"/>
        <v>0</v>
      </c>
      <c r="S655" s="307">
        <f t="shared" ca="1" si="311"/>
        <v>2.5949999999999998</v>
      </c>
      <c r="T655" s="304">
        <f t="shared" ca="1" si="291"/>
        <v>25.456949999999999</v>
      </c>
      <c r="U655" s="311">
        <f t="shared" ca="1" si="292"/>
        <v>0</v>
      </c>
      <c r="V655" s="306">
        <f t="shared" ca="1" si="293"/>
        <v>1.2262227023425696</v>
      </c>
      <c r="W655" s="304">
        <f t="shared" ca="1" si="294"/>
        <v>23.560867335830903</v>
      </c>
      <c r="Y655" s="314" t="str">
        <f t="shared" ca="1" si="312"/>
        <v/>
      </c>
      <c r="Z655" s="315" t="str">
        <f t="shared" ca="1" si="313"/>
        <v/>
      </c>
      <c r="AA655" s="316" t="str">
        <f t="shared" ca="1" si="314"/>
        <v/>
      </c>
      <c r="AC655" s="310" t="e">
        <f t="shared" ca="1" si="315"/>
        <v>#N/A</v>
      </c>
      <c r="AD655" s="323" t="e">
        <f t="shared" ca="1" si="316"/>
        <v>#N/A</v>
      </c>
      <c r="AE655" s="324" t="e">
        <f t="shared" ca="1" si="295"/>
        <v>#N/A</v>
      </c>
      <c r="AG655" s="306">
        <f t="shared" ca="1" si="317"/>
        <v>0.71215871198752545</v>
      </c>
      <c r="AH655" s="304">
        <f t="shared" ca="1" si="318"/>
        <v>-9.0793101783106263</v>
      </c>
    </row>
    <row r="656" spans="1:34" x14ac:dyDescent="0.2">
      <c r="A656" s="347">
        <f t="shared" ca="1" si="296"/>
        <v>1E-4</v>
      </c>
      <c r="B656" s="304">
        <f t="shared" ca="1" si="297"/>
        <v>32.526900000001064</v>
      </c>
      <c r="D656" s="306">
        <f t="shared" ca="1" si="298"/>
        <v>-0.55779618127300024</v>
      </c>
      <c r="E656" s="307">
        <f t="shared" ca="1" si="299"/>
        <v>-0.74781822322821867</v>
      </c>
      <c r="F656" s="304">
        <f t="shared" ca="1" si="300"/>
        <v>0.93293551483205517</v>
      </c>
      <c r="G656" s="306">
        <f t="shared" ca="1" si="301"/>
        <v>5.9510291881603354</v>
      </c>
      <c r="H656" s="307">
        <f t="shared" ca="1" si="302"/>
        <v>-96.683801844894148</v>
      </c>
      <c r="I656" s="304">
        <f t="shared" ca="1" si="303"/>
        <v>96.866775973917356</v>
      </c>
      <c r="J656" s="306">
        <f t="shared" ca="1" si="304"/>
        <v>588.9746359926213</v>
      </c>
      <c r="K656" s="307">
        <f t="shared" ca="1" si="305"/>
        <v>-9.9859332127747624</v>
      </c>
      <c r="L656" s="304">
        <f t="shared" ca="1" si="290"/>
        <v>589.05928454169259</v>
      </c>
      <c r="M656" s="306">
        <f t="shared" ca="1" si="306"/>
        <v>-1.5093224212295997</v>
      </c>
      <c r="N656" s="304">
        <f t="shared" ca="1" si="307"/>
        <v>-86.4778046609227</v>
      </c>
      <c r="P656" s="310">
        <f t="shared" ca="1" si="308"/>
        <v>23</v>
      </c>
      <c r="Q656" s="304">
        <f t="shared" ca="1" si="309"/>
        <v>0</v>
      </c>
      <c r="R656" s="306">
        <f t="shared" ca="1" si="310"/>
        <v>0</v>
      </c>
      <c r="S656" s="307">
        <f t="shared" ca="1" si="311"/>
        <v>2.5949999999999998</v>
      </c>
      <c r="T656" s="304">
        <f t="shared" ca="1" si="291"/>
        <v>25.456949999999999</v>
      </c>
      <c r="U656" s="311">
        <f t="shared" ca="1" si="292"/>
        <v>0</v>
      </c>
      <c r="V656" s="306">
        <f t="shared" ca="1" si="293"/>
        <v>1.2262238879017073</v>
      </c>
      <c r="W656" s="304">
        <f t="shared" ca="1" si="294"/>
        <v>23.560924758019638</v>
      </c>
      <c r="Y656" s="314" t="str">
        <f t="shared" ca="1" si="312"/>
        <v/>
      </c>
      <c r="Z656" s="315" t="str">
        <f t="shared" ca="1" si="313"/>
        <v/>
      </c>
      <c r="AA656" s="316" t="str">
        <f t="shared" ca="1" si="314"/>
        <v/>
      </c>
      <c r="AC656" s="310" t="e">
        <f t="shared" ca="1" si="315"/>
        <v>#N/A</v>
      </c>
      <c r="AD656" s="323" t="e">
        <f t="shared" ca="1" si="316"/>
        <v>#N/A</v>
      </c>
      <c r="AE656" s="324" t="e">
        <f t="shared" ca="1" si="295"/>
        <v>#N/A</v>
      </c>
      <c r="AG656" s="306">
        <f t="shared" ca="1" si="317"/>
        <v>0.71213695860408244</v>
      </c>
      <c r="AH656" s="304">
        <f t="shared" ca="1" si="318"/>
        <v>-9.0793323066785767</v>
      </c>
    </row>
    <row r="657" spans="1:34" x14ac:dyDescent="0.2">
      <c r="A657" s="347">
        <f t="shared" ca="1" si="296"/>
        <v>1E-4</v>
      </c>
      <c r="B657" s="304">
        <f t="shared" ca="1" si="297"/>
        <v>32.527000000001067</v>
      </c>
      <c r="D657" s="306">
        <f t="shared" ca="1" si="298"/>
        <v>-0.55779190240665955</v>
      </c>
      <c r="E657" s="307">
        <f t="shared" ca="1" si="299"/>
        <v>-0.74779578996764329</v>
      </c>
      <c r="F657" s="304">
        <f t="shared" ca="1" si="300"/>
        <v>0.93291497462725503</v>
      </c>
      <c r="G657" s="306">
        <f t="shared" ca="1" si="301"/>
        <v>5.9509734089700945</v>
      </c>
      <c r="H657" s="307">
        <f t="shared" ca="1" si="302"/>
        <v>-96.683876624473143</v>
      </c>
      <c r="I657" s="304">
        <f t="shared" ca="1" si="303"/>
        <v>96.866847185456663</v>
      </c>
      <c r="J657" s="306">
        <f t="shared" ca="1" si="304"/>
        <v>588.9746359926213</v>
      </c>
      <c r="K657" s="307">
        <f t="shared" ca="1" si="305"/>
        <v>-9.995601596698231</v>
      </c>
      <c r="L657" s="304">
        <f t="shared" ca="1" si="290"/>
        <v>589.05944852274513</v>
      </c>
      <c r="M657" s="306">
        <f t="shared" ca="1" si="306"/>
        <v>-1.5093230434024814</v>
      </c>
      <c r="N657" s="304">
        <f t="shared" ca="1" si="307"/>
        <v>-86.477840308802953</v>
      </c>
      <c r="P657" s="310">
        <f t="shared" ca="1" si="308"/>
        <v>23</v>
      </c>
      <c r="Q657" s="304">
        <f t="shared" ca="1" si="309"/>
        <v>0</v>
      </c>
      <c r="R657" s="306">
        <f t="shared" ca="1" si="310"/>
        <v>0</v>
      </c>
      <c r="S657" s="307">
        <f t="shared" ca="1" si="311"/>
        <v>2.5949999999999998</v>
      </c>
      <c r="T657" s="304">
        <f t="shared" ca="1" si="291"/>
        <v>25.456949999999999</v>
      </c>
      <c r="U657" s="311">
        <f t="shared" ca="1" si="292"/>
        <v>0</v>
      </c>
      <c r="V657" s="306">
        <f t="shared" ca="1" si="293"/>
        <v>1.226225073462909</v>
      </c>
      <c r="W657" s="304">
        <f t="shared" ca="1" si="294"/>
        <v>23.560982179282288</v>
      </c>
      <c r="Y657" s="314" t="str">
        <f t="shared" ca="1" si="312"/>
        <v/>
      </c>
      <c r="Z657" s="315" t="str">
        <f t="shared" ca="1" si="313"/>
        <v/>
      </c>
      <c r="AA657" s="316" t="str">
        <f t="shared" ca="1" si="314"/>
        <v/>
      </c>
      <c r="AC657" s="310" t="e">
        <f t="shared" ca="1" si="315"/>
        <v>#N/A</v>
      </c>
      <c r="AD657" s="323" t="e">
        <f t="shared" ca="1" si="316"/>
        <v>#N/A</v>
      </c>
      <c r="AE657" s="324" t="e">
        <f t="shared" ca="1" si="295"/>
        <v>#N/A</v>
      </c>
      <c r="AG657" s="306">
        <f t="shared" ca="1" si="317"/>
        <v>0.71211520556965979</v>
      </c>
      <c r="AH657" s="304">
        <f t="shared" ca="1" si="318"/>
        <v>-9.07935443468965</v>
      </c>
    </row>
    <row r="658" spans="1:34" x14ac:dyDescent="0.2">
      <c r="A658" s="347">
        <f t="shared" ca="1" si="296"/>
        <v>1E-4</v>
      </c>
      <c r="B658" s="304">
        <f t="shared" ca="1" si="297"/>
        <v>32.52710000000107</v>
      </c>
      <c r="D658" s="306">
        <f t="shared" ca="1" si="298"/>
        <v>-0.55778762355183453</v>
      </c>
      <c r="E658" s="307">
        <f t="shared" ca="1" si="299"/>
        <v>-0.74777335706884962</v>
      </c>
      <c r="F658" s="304">
        <f t="shared" ca="1" si="300"/>
        <v>0.93289443482615997</v>
      </c>
      <c r="G658" s="306">
        <f t="shared" ca="1" si="301"/>
        <v>5.9509176302077398</v>
      </c>
      <c r="H658" s="307">
        <f t="shared" ca="1" si="302"/>
        <v>-96.683951401808855</v>
      </c>
      <c r="I658" s="304">
        <f t="shared" ca="1" si="303"/>
        <v>96.866918394820701</v>
      </c>
      <c r="J658" s="306">
        <f t="shared" ca="1" si="304"/>
        <v>588.9746359926213</v>
      </c>
      <c r="K658" s="307">
        <f t="shared" ca="1" si="305"/>
        <v>-10.005269988099545</v>
      </c>
      <c r="L658" s="304">
        <f t="shared" ca="1" si="290"/>
        <v>589.05961266256872</v>
      </c>
      <c r="M658" s="306">
        <f t="shared" ca="1" si="306"/>
        <v>-1.5093236655686166</v>
      </c>
      <c r="N658" s="304">
        <f t="shared" ca="1" si="307"/>
        <v>-86.477875956296657</v>
      </c>
      <c r="P658" s="310">
        <f t="shared" ca="1" si="308"/>
        <v>23</v>
      </c>
      <c r="Q658" s="304">
        <f t="shared" ca="1" si="309"/>
        <v>0</v>
      </c>
      <c r="R658" s="306">
        <f t="shared" ca="1" si="310"/>
        <v>0</v>
      </c>
      <c r="S658" s="307">
        <f t="shared" ca="1" si="311"/>
        <v>2.5949999999999998</v>
      </c>
      <c r="T658" s="304">
        <f t="shared" ca="1" si="291"/>
        <v>25.456949999999999</v>
      </c>
      <c r="U658" s="311">
        <f t="shared" ca="1" si="292"/>
        <v>0</v>
      </c>
      <c r="V658" s="306">
        <f t="shared" ca="1" si="293"/>
        <v>1.2262262590261739</v>
      </c>
      <c r="W658" s="304">
        <f t="shared" ca="1" si="294"/>
        <v>23.561039599618852</v>
      </c>
      <c r="Y658" s="314" t="str">
        <f t="shared" ca="1" si="312"/>
        <v/>
      </c>
      <c r="Z658" s="315" t="str">
        <f t="shared" ca="1" si="313"/>
        <v/>
      </c>
      <c r="AA658" s="316" t="str">
        <f t="shared" ca="1" si="314"/>
        <v/>
      </c>
      <c r="AC658" s="310" t="e">
        <f t="shared" ca="1" si="315"/>
        <v>#N/A</v>
      </c>
      <c r="AD658" s="323" t="e">
        <f t="shared" ca="1" si="316"/>
        <v>#N/A</v>
      </c>
      <c r="AE658" s="324" t="e">
        <f t="shared" ca="1" si="295"/>
        <v>#N/A</v>
      </c>
      <c r="AG658" s="306">
        <f t="shared" ca="1" si="317"/>
        <v>0.71209345288425219</v>
      </c>
      <c r="AH658" s="304">
        <f t="shared" ca="1" si="318"/>
        <v>-9.0793765623438496</v>
      </c>
    </row>
    <row r="659" spans="1:34" x14ac:dyDescent="0.2">
      <c r="A659" s="347">
        <f t="shared" ca="1" si="296"/>
        <v>1E-4</v>
      </c>
      <c r="B659" s="304">
        <f t="shared" ca="1" si="297"/>
        <v>32.527200000001073</v>
      </c>
      <c r="D659" s="306">
        <f t="shared" ca="1" si="298"/>
        <v>-0.55778334470852453</v>
      </c>
      <c r="E659" s="307">
        <f t="shared" ca="1" si="299"/>
        <v>-0.74775092453183056</v>
      </c>
      <c r="F659" s="304">
        <f t="shared" ca="1" si="300"/>
        <v>0.93287389542876376</v>
      </c>
      <c r="G659" s="306">
        <f t="shared" ca="1" si="301"/>
        <v>5.9508618518732685</v>
      </c>
      <c r="H659" s="307">
        <f t="shared" ca="1" si="302"/>
        <v>-96.684026176901313</v>
      </c>
      <c r="I659" s="304">
        <f t="shared" ca="1" si="303"/>
        <v>96.866989602009511</v>
      </c>
      <c r="J659" s="306">
        <f t="shared" ca="1" si="304"/>
        <v>588.9746359926213</v>
      </c>
      <c r="K659" s="307">
        <f t="shared" ca="1" si="305"/>
        <v>-10.01493838697848</v>
      </c>
      <c r="L659" s="304">
        <f t="shared" ca="1" si="290"/>
        <v>589.05977696116349</v>
      </c>
      <c r="M659" s="306">
        <f t="shared" ca="1" si="306"/>
        <v>-1.5093242877280058</v>
      </c>
      <c r="N659" s="304">
        <f t="shared" ca="1" si="307"/>
        <v>-86.47791160340384</v>
      </c>
      <c r="P659" s="310">
        <f t="shared" ca="1" si="308"/>
        <v>23</v>
      </c>
      <c r="Q659" s="304">
        <f t="shared" ca="1" si="309"/>
        <v>0</v>
      </c>
      <c r="R659" s="306">
        <f t="shared" ca="1" si="310"/>
        <v>0</v>
      </c>
      <c r="S659" s="307">
        <f t="shared" ca="1" si="311"/>
        <v>2.5949999999999998</v>
      </c>
      <c r="T659" s="304">
        <f t="shared" ca="1" si="291"/>
        <v>25.456949999999999</v>
      </c>
      <c r="U659" s="311">
        <f t="shared" ca="1" si="292"/>
        <v>0</v>
      </c>
      <c r="V659" s="306">
        <f t="shared" ca="1" si="293"/>
        <v>1.2262274445915029</v>
      </c>
      <c r="W659" s="304">
        <f t="shared" ca="1" si="294"/>
        <v>23.561097019029351</v>
      </c>
      <c r="Y659" s="314" t="str">
        <f t="shared" ca="1" si="312"/>
        <v/>
      </c>
      <c r="Z659" s="315" t="str">
        <f t="shared" ca="1" si="313"/>
        <v/>
      </c>
      <c r="AA659" s="316" t="str">
        <f t="shared" ca="1" si="314"/>
        <v/>
      </c>
      <c r="AC659" s="310" t="e">
        <f t="shared" ca="1" si="315"/>
        <v>#N/A</v>
      </c>
      <c r="AD659" s="323" t="e">
        <f t="shared" ca="1" si="316"/>
        <v>#N/A</v>
      </c>
      <c r="AE659" s="324" t="e">
        <f t="shared" ca="1" si="295"/>
        <v>#N/A</v>
      </c>
      <c r="AG659" s="306">
        <f t="shared" ca="1" si="317"/>
        <v>0.7120717005478614</v>
      </c>
      <c r="AH659" s="304">
        <f t="shared" ca="1" si="318"/>
        <v>-9.0793986896411774</v>
      </c>
    </row>
    <row r="660" spans="1:34" x14ac:dyDescent="0.2">
      <c r="A660" s="347">
        <f t="shared" ca="1" si="296"/>
        <v>1E-4</v>
      </c>
      <c r="B660" s="304">
        <f t="shared" ca="1" si="297"/>
        <v>32.527300000001077</v>
      </c>
      <c r="D660" s="306">
        <f t="shared" ca="1" si="298"/>
        <v>-0.55777906587672887</v>
      </c>
      <c r="E660" s="307">
        <f t="shared" ca="1" si="299"/>
        <v>-0.74772849235658434</v>
      </c>
      <c r="F660" s="304">
        <f t="shared" ca="1" si="300"/>
        <v>0.93285335643506528</v>
      </c>
      <c r="G660" s="306">
        <f t="shared" ca="1" si="301"/>
        <v>5.9508060739666808</v>
      </c>
      <c r="H660" s="307">
        <f t="shared" ca="1" si="302"/>
        <v>-96.684100949750544</v>
      </c>
      <c r="I660" s="304">
        <f t="shared" ca="1" si="303"/>
        <v>96.867060807023108</v>
      </c>
      <c r="J660" s="306">
        <f t="shared" ca="1" si="304"/>
        <v>588.9746359926213</v>
      </c>
      <c r="K660" s="307">
        <f t="shared" ca="1" si="305"/>
        <v>-10.024606793334813</v>
      </c>
      <c r="L660" s="304">
        <f t="shared" ca="1" si="290"/>
        <v>589.05994141852977</v>
      </c>
      <c r="M660" s="306">
        <f t="shared" ca="1" si="306"/>
        <v>-1.5093249098806485</v>
      </c>
      <c r="N660" s="304">
        <f t="shared" ca="1" si="307"/>
        <v>-86.477947250124487</v>
      </c>
      <c r="P660" s="310">
        <f t="shared" ca="1" si="308"/>
        <v>23</v>
      </c>
      <c r="Q660" s="304">
        <f t="shared" ca="1" si="309"/>
        <v>0</v>
      </c>
      <c r="R660" s="306">
        <f t="shared" ca="1" si="310"/>
        <v>0</v>
      </c>
      <c r="S660" s="307">
        <f t="shared" ca="1" si="311"/>
        <v>2.5949999999999998</v>
      </c>
      <c r="T660" s="304">
        <f t="shared" ca="1" si="291"/>
        <v>25.456949999999999</v>
      </c>
      <c r="U660" s="311">
        <f t="shared" ca="1" si="292"/>
        <v>0</v>
      </c>
      <c r="V660" s="306">
        <f t="shared" ca="1" si="293"/>
        <v>1.2262286301588952</v>
      </c>
      <c r="W660" s="304">
        <f t="shared" ca="1" si="294"/>
        <v>23.561154437513782</v>
      </c>
      <c r="Y660" s="314" t="str">
        <f t="shared" ca="1" si="312"/>
        <v/>
      </c>
      <c r="Z660" s="315" t="str">
        <f t="shared" ca="1" si="313"/>
        <v/>
      </c>
      <c r="AA660" s="316" t="str">
        <f t="shared" ca="1" si="314"/>
        <v/>
      </c>
      <c r="AC660" s="310" t="e">
        <f t="shared" ca="1" si="315"/>
        <v>#N/A</v>
      </c>
      <c r="AD660" s="323" t="e">
        <f t="shared" ca="1" si="316"/>
        <v>#N/A</v>
      </c>
      <c r="AE660" s="324" t="e">
        <f t="shared" ca="1" si="295"/>
        <v>#N/A</v>
      </c>
      <c r="AG660" s="306">
        <f t="shared" ca="1" si="317"/>
        <v>0.71204994856048209</v>
      </c>
      <c r="AH660" s="304">
        <f t="shared" ca="1" si="318"/>
        <v>-9.0794208165816386</v>
      </c>
    </row>
    <row r="661" spans="1:34" x14ac:dyDescent="0.2">
      <c r="A661" s="347">
        <f t="shared" ca="1" si="296"/>
        <v>1E-4</v>
      </c>
      <c r="B661" s="304">
        <f t="shared" ca="1" si="297"/>
        <v>32.52740000000108</v>
      </c>
      <c r="D661" s="306">
        <f t="shared" ca="1" si="298"/>
        <v>-0.557774787056451</v>
      </c>
      <c r="E661" s="307">
        <f t="shared" ca="1" si="299"/>
        <v>-0.7477060605431074</v>
      </c>
      <c r="F661" s="304">
        <f t="shared" ca="1" si="300"/>
        <v>0.93283281784506389</v>
      </c>
      <c r="G661" s="306">
        <f t="shared" ca="1" si="301"/>
        <v>5.9507502964879748</v>
      </c>
      <c r="H661" s="307">
        <f t="shared" ca="1" si="302"/>
        <v>-96.684175720356592</v>
      </c>
      <c r="I661" s="304">
        <f t="shared" ca="1" si="303"/>
        <v>96.867132009861535</v>
      </c>
      <c r="J661" s="306">
        <f t="shared" ca="1" si="304"/>
        <v>588.9746359926213</v>
      </c>
      <c r="K661" s="307">
        <f t="shared" ca="1" si="305"/>
        <v>-10.034275207168319</v>
      </c>
      <c r="L661" s="304">
        <f t="shared" ca="1" si="290"/>
        <v>589.06010603466768</v>
      </c>
      <c r="M661" s="306">
        <f t="shared" ca="1" si="306"/>
        <v>-1.5093255320265451</v>
      </c>
      <c r="N661" s="304">
        <f t="shared" ca="1" si="307"/>
        <v>-86.477982896458599</v>
      </c>
      <c r="P661" s="310">
        <f t="shared" ca="1" si="308"/>
        <v>23</v>
      </c>
      <c r="Q661" s="304">
        <f t="shared" ca="1" si="309"/>
        <v>0</v>
      </c>
      <c r="R661" s="306">
        <f t="shared" ca="1" si="310"/>
        <v>0</v>
      </c>
      <c r="S661" s="307">
        <f t="shared" ca="1" si="311"/>
        <v>2.5949999999999998</v>
      </c>
      <c r="T661" s="304">
        <f t="shared" ca="1" si="291"/>
        <v>25.456949999999999</v>
      </c>
      <c r="U661" s="311">
        <f t="shared" ca="1" si="292"/>
        <v>0</v>
      </c>
      <c r="V661" s="306">
        <f t="shared" ca="1" si="293"/>
        <v>1.2262298157283515</v>
      </c>
      <c r="W661" s="304">
        <f t="shared" ca="1" si="294"/>
        <v>23.56121185507218</v>
      </c>
      <c r="Y661" s="314" t="str">
        <f t="shared" ca="1" si="312"/>
        <v/>
      </c>
      <c r="Z661" s="315" t="str">
        <f t="shared" ca="1" si="313"/>
        <v/>
      </c>
      <c r="AA661" s="316" t="str">
        <f t="shared" ca="1" si="314"/>
        <v/>
      </c>
      <c r="AC661" s="310" t="e">
        <f t="shared" ca="1" si="315"/>
        <v>#N/A</v>
      </c>
      <c r="AD661" s="323" t="e">
        <f t="shared" ca="1" si="316"/>
        <v>#N/A</v>
      </c>
      <c r="AE661" s="324" t="e">
        <f t="shared" ca="1" si="295"/>
        <v>#N/A</v>
      </c>
      <c r="AG661" s="306">
        <f t="shared" ca="1" si="317"/>
        <v>0.7120281969221125</v>
      </c>
      <c r="AH661" s="304">
        <f t="shared" ca="1" si="318"/>
        <v>-9.079442943165235</v>
      </c>
    </row>
    <row r="662" spans="1:34" x14ac:dyDescent="0.2">
      <c r="A662" s="347">
        <f t="shared" ca="1" si="296"/>
        <v>1E-4</v>
      </c>
      <c r="B662" s="304">
        <f t="shared" ca="1" si="297"/>
        <v>32.527500000001083</v>
      </c>
      <c r="D662" s="306">
        <f t="shared" ca="1" si="298"/>
        <v>-0.55777050824769037</v>
      </c>
      <c r="E662" s="307">
        <f t="shared" ca="1" si="299"/>
        <v>-0.74768362909139263</v>
      </c>
      <c r="F662" s="304">
        <f t="shared" ca="1" si="300"/>
        <v>0.93281227965875435</v>
      </c>
      <c r="G662" s="306">
        <f t="shared" ca="1" si="301"/>
        <v>5.9506945194371497</v>
      </c>
      <c r="H662" s="307">
        <f t="shared" ca="1" si="302"/>
        <v>-96.684250488719499</v>
      </c>
      <c r="I662" s="304">
        <f t="shared" ca="1" si="303"/>
        <v>96.867203210524849</v>
      </c>
      <c r="J662" s="306">
        <f t="shared" ca="1" si="304"/>
        <v>588.9746359926213</v>
      </c>
      <c r="K662" s="307">
        <f t="shared" ca="1" si="305"/>
        <v>-10.043943628478774</v>
      </c>
      <c r="L662" s="304">
        <f t="shared" ca="1" si="290"/>
        <v>589.06027080957756</v>
      </c>
      <c r="M662" s="306">
        <f t="shared" ca="1" si="306"/>
        <v>-1.5093261541656957</v>
      </c>
      <c r="N662" s="304">
        <f t="shared" ca="1" si="307"/>
        <v>-86.478018542406204</v>
      </c>
      <c r="P662" s="310">
        <f t="shared" ca="1" si="308"/>
        <v>23</v>
      </c>
      <c r="Q662" s="304">
        <f t="shared" ca="1" si="309"/>
        <v>0</v>
      </c>
      <c r="R662" s="306">
        <f t="shared" ca="1" si="310"/>
        <v>0</v>
      </c>
      <c r="S662" s="307">
        <f t="shared" ca="1" si="311"/>
        <v>2.5949999999999998</v>
      </c>
      <c r="T662" s="304">
        <f t="shared" ca="1" si="291"/>
        <v>25.456949999999999</v>
      </c>
      <c r="U662" s="311">
        <f t="shared" ca="1" si="292"/>
        <v>0</v>
      </c>
      <c r="V662" s="306">
        <f t="shared" ca="1" si="293"/>
        <v>1.2262310012998721</v>
      </c>
      <c r="W662" s="304">
        <f t="shared" ca="1" si="294"/>
        <v>23.561269271704557</v>
      </c>
      <c r="Y662" s="314" t="str">
        <f t="shared" ca="1" si="312"/>
        <v/>
      </c>
      <c r="Z662" s="315" t="str">
        <f t="shared" ca="1" si="313"/>
        <v/>
      </c>
      <c r="AA662" s="316" t="str">
        <f t="shared" ca="1" si="314"/>
        <v/>
      </c>
      <c r="AC662" s="310" t="e">
        <f t="shared" ca="1" si="315"/>
        <v>#N/A</v>
      </c>
      <c r="AD662" s="323" t="e">
        <f t="shared" ca="1" si="316"/>
        <v>#N/A</v>
      </c>
      <c r="AE662" s="324" t="e">
        <f t="shared" ca="1" si="295"/>
        <v>#N/A</v>
      </c>
      <c r="AG662" s="306">
        <f t="shared" ca="1" si="317"/>
        <v>0.71200644563274018</v>
      </c>
      <c r="AH662" s="304">
        <f t="shared" ca="1" si="318"/>
        <v>-9.0794650693919774</v>
      </c>
    </row>
    <row r="663" spans="1:34" x14ac:dyDescent="0.2">
      <c r="A663" s="347">
        <f t="shared" ca="1" si="296"/>
        <v>1E-4</v>
      </c>
      <c r="B663" s="304">
        <f t="shared" ca="1" si="297"/>
        <v>32.527600000001087</v>
      </c>
      <c r="D663" s="306">
        <f t="shared" ca="1" si="298"/>
        <v>-0.55776622945044685</v>
      </c>
      <c r="E663" s="307">
        <f t="shared" ca="1" si="299"/>
        <v>-0.74766119800142761</v>
      </c>
      <c r="F663" s="304">
        <f t="shared" ca="1" si="300"/>
        <v>0.93279174187612668</v>
      </c>
      <c r="G663" s="306">
        <f t="shared" ca="1" si="301"/>
        <v>5.9506387428142045</v>
      </c>
      <c r="H663" s="307">
        <f t="shared" ca="1" si="302"/>
        <v>-96.684325254839294</v>
      </c>
      <c r="I663" s="304">
        <f t="shared" ca="1" si="303"/>
        <v>96.867274409013064</v>
      </c>
      <c r="J663" s="306">
        <f t="shared" ca="1" si="304"/>
        <v>588.9746359926213</v>
      </c>
      <c r="K663" s="307">
        <f t="shared" ca="1" si="305"/>
        <v>-10.053612057265951</v>
      </c>
      <c r="L663" s="304">
        <f t="shared" ca="1" si="290"/>
        <v>589.06043574325952</v>
      </c>
      <c r="M663" s="306">
        <f t="shared" ca="1" si="306"/>
        <v>-1.5093267762981004</v>
      </c>
      <c r="N663" s="304">
        <f t="shared" ca="1" si="307"/>
        <v>-86.478054187967288</v>
      </c>
      <c r="P663" s="310">
        <f t="shared" ca="1" si="308"/>
        <v>23</v>
      </c>
      <c r="Q663" s="304">
        <f t="shared" ca="1" si="309"/>
        <v>0</v>
      </c>
      <c r="R663" s="306">
        <f t="shared" ca="1" si="310"/>
        <v>0</v>
      </c>
      <c r="S663" s="307">
        <f t="shared" ca="1" si="311"/>
        <v>2.5949999999999998</v>
      </c>
      <c r="T663" s="304">
        <f t="shared" ca="1" si="291"/>
        <v>25.456949999999999</v>
      </c>
      <c r="U663" s="311">
        <f t="shared" ca="1" si="292"/>
        <v>0</v>
      </c>
      <c r="V663" s="306">
        <f t="shared" ca="1" si="293"/>
        <v>1.2262321868734554</v>
      </c>
      <c r="W663" s="304">
        <f t="shared" ca="1" si="294"/>
        <v>23.561326687410887</v>
      </c>
      <c r="Y663" s="314" t="str">
        <f t="shared" ca="1" si="312"/>
        <v/>
      </c>
      <c r="Z663" s="315" t="str">
        <f t="shared" ca="1" si="313"/>
        <v/>
      </c>
      <c r="AA663" s="316" t="str">
        <f t="shared" ca="1" si="314"/>
        <v/>
      </c>
      <c r="AC663" s="310" t="e">
        <f t="shared" ca="1" si="315"/>
        <v>#N/A</v>
      </c>
      <c r="AD663" s="323" t="e">
        <f t="shared" ca="1" si="316"/>
        <v>#N/A</v>
      </c>
      <c r="AE663" s="324" t="e">
        <f t="shared" ca="1" si="295"/>
        <v>#N/A</v>
      </c>
      <c r="AG663" s="306">
        <f t="shared" ca="1" si="317"/>
        <v>0.71198469469235803</v>
      </c>
      <c r="AH663" s="304">
        <f t="shared" ca="1" si="318"/>
        <v>-9.0794871952618728</v>
      </c>
    </row>
    <row r="664" spans="1:34" x14ac:dyDescent="0.2">
      <c r="A664" s="347">
        <f t="shared" ca="1" si="296"/>
        <v>1E-4</v>
      </c>
      <c r="B664" s="304">
        <f t="shared" ca="1" si="297"/>
        <v>32.52770000000109</v>
      </c>
      <c r="D664" s="306">
        <f t="shared" ca="1" si="298"/>
        <v>-0.55776195066472056</v>
      </c>
      <c r="E664" s="307">
        <f t="shared" ca="1" si="299"/>
        <v>-0.74763876727322653</v>
      </c>
      <c r="F664" s="304">
        <f t="shared" ca="1" si="300"/>
        <v>0.93277120449719286</v>
      </c>
      <c r="G664" s="306">
        <f t="shared" ca="1" si="301"/>
        <v>5.9505829666191383</v>
      </c>
      <c r="H664" s="307">
        <f t="shared" ca="1" si="302"/>
        <v>-96.684400018716019</v>
      </c>
      <c r="I664" s="304">
        <f t="shared" ca="1" si="303"/>
        <v>96.867345605326221</v>
      </c>
      <c r="J664" s="306">
        <f t="shared" ca="1" si="304"/>
        <v>588.9746359926213</v>
      </c>
      <c r="K664" s="307">
        <f t="shared" ca="1" si="305"/>
        <v>-10.063280493529629</v>
      </c>
      <c r="L664" s="304">
        <f t="shared" ca="1" si="290"/>
        <v>589.06060083571379</v>
      </c>
      <c r="M664" s="306">
        <f t="shared" ca="1" si="306"/>
        <v>-1.5093273984237592</v>
      </c>
      <c r="N664" s="304">
        <f t="shared" ca="1" si="307"/>
        <v>-86.478089833141865</v>
      </c>
      <c r="P664" s="310">
        <f t="shared" ca="1" si="308"/>
        <v>23</v>
      </c>
      <c r="Q664" s="304">
        <f t="shared" ca="1" si="309"/>
        <v>0</v>
      </c>
      <c r="R664" s="306">
        <f t="shared" ca="1" si="310"/>
        <v>0</v>
      </c>
      <c r="S664" s="307">
        <f t="shared" ca="1" si="311"/>
        <v>2.5949999999999998</v>
      </c>
      <c r="T664" s="304">
        <f t="shared" ca="1" si="291"/>
        <v>25.456949999999999</v>
      </c>
      <c r="U664" s="311">
        <f t="shared" ca="1" si="292"/>
        <v>0</v>
      </c>
      <c r="V664" s="306">
        <f t="shared" ca="1" si="293"/>
        <v>1.226233372449103</v>
      </c>
      <c r="W664" s="304">
        <f t="shared" ca="1" si="294"/>
        <v>23.561384102191219</v>
      </c>
      <c r="Y664" s="314" t="str">
        <f t="shared" ca="1" si="312"/>
        <v/>
      </c>
      <c r="Z664" s="315" t="str">
        <f t="shared" ca="1" si="313"/>
        <v/>
      </c>
      <c r="AA664" s="316" t="str">
        <f t="shared" ca="1" si="314"/>
        <v/>
      </c>
      <c r="AC664" s="310" t="e">
        <f t="shared" ca="1" si="315"/>
        <v>#N/A</v>
      </c>
      <c r="AD664" s="323" t="e">
        <f t="shared" ca="1" si="316"/>
        <v>#N/A</v>
      </c>
      <c r="AE664" s="324" t="e">
        <f t="shared" ca="1" si="295"/>
        <v>#N/A</v>
      </c>
      <c r="AG664" s="306">
        <f t="shared" ca="1" si="317"/>
        <v>0.71196294410098204</v>
      </c>
      <c r="AH664" s="304">
        <f t="shared" ca="1" si="318"/>
        <v>-9.0795093207749087</v>
      </c>
    </row>
    <row r="665" spans="1:34" x14ac:dyDescent="0.2">
      <c r="A665" s="347">
        <f t="shared" ca="1" si="296"/>
        <v>1E-4</v>
      </c>
      <c r="B665" s="304">
        <f t="shared" ca="1" si="297"/>
        <v>32.527800000001093</v>
      </c>
      <c r="D665" s="306">
        <f t="shared" ca="1" si="298"/>
        <v>-0.55775767189051406</v>
      </c>
      <c r="E665" s="307">
        <f t="shared" ca="1" si="299"/>
        <v>-0.74761633690676987</v>
      </c>
      <c r="F665" s="304">
        <f t="shared" ca="1" si="300"/>
        <v>0.93275066752193925</v>
      </c>
      <c r="G665" s="306">
        <f t="shared" ca="1" si="301"/>
        <v>5.9505271908519495</v>
      </c>
      <c r="H665" s="307">
        <f t="shared" ca="1" si="302"/>
        <v>-96.684474780349703</v>
      </c>
      <c r="I665" s="304">
        <f t="shared" ca="1" si="303"/>
        <v>96.867416799464337</v>
      </c>
      <c r="J665" s="306">
        <f t="shared" ca="1" si="304"/>
        <v>588.9746359926213</v>
      </c>
      <c r="K665" s="307">
        <f t="shared" ca="1" si="305"/>
        <v>-10.072948937269581</v>
      </c>
      <c r="L665" s="304">
        <f t="shared" ca="1" si="290"/>
        <v>589.06076608694082</v>
      </c>
      <c r="M665" s="306">
        <f t="shared" ca="1" si="306"/>
        <v>-1.5093280205426725</v>
      </c>
      <c r="N665" s="304">
        <f t="shared" ca="1" si="307"/>
        <v>-86.47812547792995</v>
      </c>
      <c r="P665" s="310">
        <f t="shared" ca="1" si="308"/>
        <v>23</v>
      </c>
      <c r="Q665" s="304">
        <f t="shared" ca="1" si="309"/>
        <v>0</v>
      </c>
      <c r="R665" s="306">
        <f t="shared" ca="1" si="310"/>
        <v>0</v>
      </c>
      <c r="S665" s="307">
        <f t="shared" ca="1" si="311"/>
        <v>2.5949999999999998</v>
      </c>
      <c r="T665" s="304">
        <f t="shared" ca="1" si="291"/>
        <v>25.456949999999999</v>
      </c>
      <c r="U665" s="311">
        <f t="shared" ca="1" si="292"/>
        <v>0</v>
      </c>
      <c r="V665" s="306">
        <f t="shared" ca="1" si="293"/>
        <v>1.2262345580268135</v>
      </c>
      <c r="W665" s="304">
        <f t="shared" ca="1" si="294"/>
        <v>23.561441516045534</v>
      </c>
      <c r="Y665" s="314" t="str">
        <f t="shared" ca="1" si="312"/>
        <v/>
      </c>
      <c r="Z665" s="315" t="str">
        <f t="shared" ca="1" si="313"/>
        <v/>
      </c>
      <c r="AA665" s="316" t="str">
        <f t="shared" ca="1" si="314"/>
        <v/>
      </c>
      <c r="AC665" s="310" t="e">
        <f t="shared" ca="1" si="315"/>
        <v>#N/A</v>
      </c>
      <c r="AD665" s="323" t="e">
        <f t="shared" ca="1" si="316"/>
        <v>#N/A</v>
      </c>
      <c r="AE665" s="324" t="e">
        <f t="shared" ca="1" si="295"/>
        <v>#N/A</v>
      </c>
      <c r="AG665" s="306">
        <f t="shared" ca="1" si="317"/>
        <v>0.71194119385858912</v>
      </c>
      <c r="AH665" s="304">
        <f t="shared" ca="1" si="318"/>
        <v>-9.0795314459311065</v>
      </c>
    </row>
    <row r="666" spans="1:34" x14ac:dyDescent="0.2">
      <c r="A666" s="347">
        <f t="shared" ca="1" si="296"/>
        <v>1E-4</v>
      </c>
      <c r="B666" s="304">
        <f t="shared" ca="1" si="297"/>
        <v>32.527900000001097</v>
      </c>
      <c r="D666" s="306">
        <f t="shared" ca="1" si="298"/>
        <v>-0.55775339312782379</v>
      </c>
      <c r="E666" s="307">
        <f t="shared" ca="1" si="299"/>
        <v>-0.74759390690206473</v>
      </c>
      <c r="F666" s="304">
        <f t="shared" ca="1" si="300"/>
        <v>0.93273013095036972</v>
      </c>
      <c r="G666" s="306">
        <f t="shared" ca="1" si="301"/>
        <v>5.950471415512637</v>
      </c>
      <c r="H666" s="307">
        <f t="shared" ca="1" si="302"/>
        <v>-96.684549539740388</v>
      </c>
      <c r="I666" s="304">
        <f t="shared" ca="1" si="303"/>
        <v>96.867487991427481</v>
      </c>
      <c r="J666" s="306">
        <f t="shared" ca="1" si="304"/>
        <v>588.9746359926213</v>
      </c>
      <c r="K666" s="307">
        <f t="shared" ca="1" si="305"/>
        <v>-10.082617388485586</v>
      </c>
      <c r="L666" s="304">
        <f t="shared" ca="1" si="290"/>
        <v>589.06093149694061</v>
      </c>
      <c r="M666" s="306">
        <f t="shared" ca="1" si="306"/>
        <v>-1.5093286426548398</v>
      </c>
      <c r="N666" s="304">
        <f t="shared" ca="1" si="307"/>
        <v>-86.478161122331514</v>
      </c>
      <c r="P666" s="310">
        <f t="shared" ca="1" si="308"/>
        <v>23</v>
      </c>
      <c r="Q666" s="304">
        <f t="shared" ca="1" si="309"/>
        <v>0</v>
      </c>
      <c r="R666" s="306">
        <f t="shared" ca="1" si="310"/>
        <v>0</v>
      </c>
      <c r="S666" s="307">
        <f t="shared" ca="1" si="311"/>
        <v>2.5949999999999998</v>
      </c>
      <c r="T666" s="304">
        <f t="shared" ca="1" si="291"/>
        <v>25.456949999999999</v>
      </c>
      <c r="U666" s="311">
        <f t="shared" ca="1" si="292"/>
        <v>0</v>
      </c>
      <c r="V666" s="306">
        <f t="shared" ca="1" si="293"/>
        <v>1.2262357436065883</v>
      </c>
      <c r="W666" s="304">
        <f t="shared" ca="1" si="294"/>
        <v>23.561498928973883</v>
      </c>
      <c r="Y666" s="314" t="str">
        <f t="shared" ca="1" si="312"/>
        <v/>
      </c>
      <c r="Z666" s="315" t="str">
        <f t="shared" ca="1" si="313"/>
        <v/>
      </c>
      <c r="AA666" s="316" t="str">
        <f t="shared" ca="1" si="314"/>
        <v/>
      </c>
      <c r="AC666" s="310" t="e">
        <f t="shared" ca="1" si="315"/>
        <v>#N/A</v>
      </c>
      <c r="AD666" s="323" t="e">
        <f t="shared" ca="1" si="316"/>
        <v>#N/A</v>
      </c>
      <c r="AE666" s="324" t="e">
        <f t="shared" ca="1" si="295"/>
        <v>#N/A</v>
      </c>
      <c r="AG666" s="306">
        <f t="shared" ca="1" si="317"/>
        <v>0.71191944396518814</v>
      </c>
      <c r="AH666" s="304">
        <f t="shared" ca="1" si="318"/>
        <v>-9.0795535707304573</v>
      </c>
    </row>
    <row r="667" spans="1:34" x14ac:dyDescent="0.2">
      <c r="A667" s="347">
        <f t="shared" ca="1" si="296"/>
        <v>1E-4</v>
      </c>
      <c r="B667" s="304">
        <f t="shared" ca="1" si="297"/>
        <v>32.5280000000011</v>
      </c>
      <c r="D667" s="306">
        <f t="shared" ca="1" si="298"/>
        <v>-0.5577491143766562</v>
      </c>
      <c r="E667" s="307">
        <f t="shared" ca="1" si="299"/>
        <v>-0.74757147725909157</v>
      </c>
      <c r="F667" s="304">
        <f t="shared" ca="1" si="300"/>
        <v>0.93270959478247284</v>
      </c>
      <c r="G667" s="306">
        <f t="shared" ca="1" si="301"/>
        <v>5.9504156406011992</v>
      </c>
      <c r="H667" s="307">
        <f t="shared" ca="1" si="302"/>
        <v>-96.684624296888117</v>
      </c>
      <c r="I667" s="304">
        <f t="shared" ca="1" si="303"/>
        <v>96.867559181215668</v>
      </c>
      <c r="J667" s="306">
        <f t="shared" ca="1" si="304"/>
        <v>588.9746359926213</v>
      </c>
      <c r="K667" s="307">
        <f t="shared" ca="1" si="305"/>
        <v>-10.092285847177417</v>
      </c>
      <c r="L667" s="304">
        <f t="shared" ca="1" si="290"/>
        <v>589.06109706571351</v>
      </c>
      <c r="M667" s="306">
        <f t="shared" ca="1" si="306"/>
        <v>-1.5093292647602616</v>
      </c>
      <c r="N667" s="304">
        <f t="shared" ca="1" si="307"/>
        <v>-86.478196766346599</v>
      </c>
      <c r="P667" s="310">
        <f t="shared" ca="1" si="308"/>
        <v>23</v>
      </c>
      <c r="Q667" s="304">
        <f t="shared" ca="1" si="309"/>
        <v>0</v>
      </c>
      <c r="R667" s="306">
        <f t="shared" ca="1" si="310"/>
        <v>0</v>
      </c>
      <c r="S667" s="307">
        <f t="shared" ca="1" si="311"/>
        <v>2.5949999999999998</v>
      </c>
      <c r="T667" s="304">
        <f t="shared" ca="1" si="291"/>
        <v>25.456949999999999</v>
      </c>
      <c r="U667" s="311">
        <f t="shared" ca="1" si="292"/>
        <v>0</v>
      </c>
      <c r="V667" s="306">
        <f t="shared" ca="1" si="293"/>
        <v>1.2262369291884265</v>
      </c>
      <c r="W667" s="304">
        <f t="shared" ca="1" si="294"/>
        <v>23.561556340976249</v>
      </c>
      <c r="Y667" s="314" t="str">
        <f t="shared" ca="1" si="312"/>
        <v/>
      </c>
      <c r="Z667" s="315" t="str">
        <f t="shared" ca="1" si="313"/>
        <v/>
      </c>
      <c r="AA667" s="316" t="str">
        <f t="shared" ca="1" si="314"/>
        <v/>
      </c>
      <c r="AC667" s="310" t="e">
        <f t="shared" ca="1" si="315"/>
        <v>#N/A</v>
      </c>
      <c r="AD667" s="323" t="e">
        <f t="shared" ca="1" si="316"/>
        <v>#N/A</v>
      </c>
      <c r="AE667" s="324" t="e">
        <f t="shared" ca="1" si="295"/>
        <v>#N/A</v>
      </c>
      <c r="AG667" s="306">
        <f t="shared" ca="1" si="317"/>
        <v>0.71189769442075956</v>
      </c>
      <c r="AH667" s="304">
        <f t="shared" ca="1" si="318"/>
        <v>-9.0795756951729807</v>
      </c>
    </row>
    <row r="668" spans="1:34" x14ac:dyDescent="0.2">
      <c r="A668" s="347">
        <f t="shared" ca="1" si="296"/>
        <v>1E-4</v>
      </c>
      <c r="B668" s="304">
        <f t="shared" ca="1" si="297"/>
        <v>32.528100000001103</v>
      </c>
      <c r="D668" s="306">
        <f t="shared" ca="1" si="298"/>
        <v>-0.55774483563700794</v>
      </c>
      <c r="E668" s="307">
        <f t="shared" ca="1" si="299"/>
        <v>-0.74754904797785571</v>
      </c>
      <c r="F668" s="304">
        <f t="shared" ca="1" si="300"/>
        <v>0.9326890590182515</v>
      </c>
      <c r="G668" s="306">
        <f t="shared" ca="1" si="301"/>
        <v>5.9503598661176351</v>
      </c>
      <c r="H668" s="307">
        <f t="shared" ca="1" si="302"/>
        <v>-96.684699051792919</v>
      </c>
      <c r="I668" s="304">
        <f t="shared" ca="1" si="303"/>
        <v>96.867630368828941</v>
      </c>
      <c r="J668" s="306">
        <f t="shared" ca="1" si="304"/>
        <v>588.9746359926213</v>
      </c>
      <c r="K668" s="307">
        <f t="shared" ca="1" si="305"/>
        <v>-10.101954313344851</v>
      </c>
      <c r="L668" s="304">
        <f t="shared" ca="1" si="290"/>
        <v>589.06126279325963</v>
      </c>
      <c r="M668" s="306">
        <f t="shared" ca="1" si="306"/>
        <v>-1.509329886858938</v>
      </c>
      <c r="N668" s="304">
        <f t="shared" ca="1" si="307"/>
        <v>-86.478232409975206</v>
      </c>
      <c r="P668" s="310">
        <f t="shared" ca="1" si="308"/>
        <v>23</v>
      </c>
      <c r="Q668" s="304">
        <f t="shared" ca="1" si="309"/>
        <v>0</v>
      </c>
      <c r="R668" s="306">
        <f t="shared" ca="1" si="310"/>
        <v>0</v>
      </c>
      <c r="S668" s="307">
        <f t="shared" ca="1" si="311"/>
        <v>2.5949999999999998</v>
      </c>
      <c r="T668" s="304">
        <f t="shared" ca="1" si="291"/>
        <v>25.456949999999999</v>
      </c>
      <c r="U668" s="311">
        <f t="shared" ca="1" si="292"/>
        <v>0</v>
      </c>
      <c r="V668" s="306">
        <f t="shared" ca="1" si="293"/>
        <v>1.226238114772328</v>
      </c>
      <c r="W668" s="304">
        <f t="shared" ca="1" si="294"/>
        <v>23.561613752052647</v>
      </c>
      <c r="Y668" s="314" t="str">
        <f t="shared" ca="1" si="312"/>
        <v/>
      </c>
      <c r="Z668" s="315" t="str">
        <f t="shared" ca="1" si="313"/>
        <v/>
      </c>
      <c r="AA668" s="316" t="str">
        <f t="shared" ca="1" si="314"/>
        <v/>
      </c>
      <c r="AC668" s="310" t="e">
        <f t="shared" ca="1" si="315"/>
        <v>#N/A</v>
      </c>
      <c r="AD668" s="323" t="e">
        <f t="shared" ca="1" si="316"/>
        <v>#N/A</v>
      </c>
      <c r="AE668" s="324" t="e">
        <f t="shared" ca="1" si="295"/>
        <v>#N/A</v>
      </c>
      <c r="AG668" s="306">
        <f t="shared" ca="1" si="317"/>
        <v>0.7118759452253105</v>
      </c>
      <c r="AH668" s="304">
        <f t="shared" ca="1" si="318"/>
        <v>-9.0795978192586713</v>
      </c>
    </row>
    <row r="669" spans="1:34" x14ac:dyDescent="0.2">
      <c r="A669" s="347">
        <f t="shared" ca="1" si="296"/>
        <v>1E-4</v>
      </c>
      <c r="B669" s="304">
        <f t="shared" ca="1" si="297"/>
        <v>32.528200000001107</v>
      </c>
      <c r="D669" s="306">
        <f t="shared" ca="1" si="298"/>
        <v>-0.55774055690888058</v>
      </c>
      <c r="E669" s="307">
        <f t="shared" ca="1" si="299"/>
        <v>-0.7475266190583536</v>
      </c>
      <c r="F669" s="304">
        <f t="shared" ca="1" si="300"/>
        <v>0.93266852365770403</v>
      </c>
      <c r="G669" s="306">
        <f t="shared" ca="1" si="301"/>
        <v>5.9503040920619439</v>
      </c>
      <c r="H669" s="307">
        <f t="shared" ca="1" si="302"/>
        <v>-96.684773804454821</v>
      </c>
      <c r="I669" s="304">
        <f t="shared" ca="1" si="303"/>
        <v>96.867701554267313</v>
      </c>
      <c r="J669" s="306">
        <f t="shared" ca="1" si="304"/>
        <v>588.9746359926213</v>
      </c>
      <c r="K669" s="307">
        <f t="shared" ca="1" si="305"/>
        <v>-10.111622786987663</v>
      </c>
      <c r="L669" s="304">
        <f t="shared" ca="1" si="290"/>
        <v>589.06142867957931</v>
      </c>
      <c r="M669" s="306">
        <f t="shared" ca="1" si="306"/>
        <v>-1.5093305089508688</v>
      </c>
      <c r="N669" s="304">
        <f t="shared" ca="1" si="307"/>
        <v>-86.478268053217306</v>
      </c>
      <c r="P669" s="310">
        <f t="shared" ca="1" si="308"/>
        <v>23</v>
      </c>
      <c r="Q669" s="304">
        <f t="shared" ca="1" si="309"/>
        <v>0</v>
      </c>
      <c r="R669" s="306">
        <f t="shared" ca="1" si="310"/>
        <v>0</v>
      </c>
      <c r="S669" s="307">
        <f t="shared" ca="1" si="311"/>
        <v>2.5949999999999998</v>
      </c>
      <c r="T669" s="304">
        <f t="shared" ca="1" si="291"/>
        <v>25.456949999999999</v>
      </c>
      <c r="U669" s="311">
        <f t="shared" ca="1" si="292"/>
        <v>0</v>
      </c>
      <c r="V669" s="306">
        <f t="shared" ca="1" si="293"/>
        <v>1.2262393003582932</v>
      </c>
      <c r="W669" s="304">
        <f t="shared" ca="1" si="294"/>
        <v>23.561671162203087</v>
      </c>
      <c r="Y669" s="314" t="str">
        <f t="shared" ca="1" si="312"/>
        <v/>
      </c>
      <c r="Z669" s="315" t="str">
        <f t="shared" ca="1" si="313"/>
        <v/>
      </c>
      <c r="AA669" s="316" t="str">
        <f t="shared" ca="1" si="314"/>
        <v/>
      </c>
      <c r="AC669" s="310" t="e">
        <f t="shared" ca="1" si="315"/>
        <v>#N/A</v>
      </c>
      <c r="AD669" s="323" t="e">
        <f t="shared" ca="1" si="316"/>
        <v>#N/A</v>
      </c>
      <c r="AE669" s="324" t="e">
        <f t="shared" ca="1" si="295"/>
        <v>#N/A</v>
      </c>
      <c r="AG669" s="306">
        <f t="shared" ca="1" si="317"/>
        <v>0.71185419637883207</v>
      </c>
      <c r="AH669" s="304">
        <f t="shared" ca="1" si="318"/>
        <v>-9.0796199429875344</v>
      </c>
    </row>
    <row r="670" spans="1:34" x14ac:dyDescent="0.2">
      <c r="A670" s="347">
        <f t="shared" ca="1" si="296"/>
        <v>1E-4</v>
      </c>
      <c r="B670" s="304">
        <f t="shared" ca="1" si="297"/>
        <v>32.52830000000111</v>
      </c>
      <c r="D670" s="306">
        <f t="shared" ca="1" si="298"/>
        <v>-0.55773627819227534</v>
      </c>
      <c r="E670" s="307">
        <f t="shared" ca="1" si="299"/>
        <v>-0.7475041905005817</v>
      </c>
      <c r="F670" s="304">
        <f t="shared" ca="1" si="300"/>
        <v>0.93264798870082866</v>
      </c>
      <c r="G670" s="306">
        <f t="shared" ca="1" si="301"/>
        <v>5.9502483184341246</v>
      </c>
      <c r="H670" s="307">
        <f t="shared" ca="1" si="302"/>
        <v>-96.684848554873867</v>
      </c>
      <c r="I670" s="304">
        <f t="shared" ca="1" si="303"/>
        <v>96.867772737530842</v>
      </c>
      <c r="J670" s="306">
        <f t="shared" ca="1" si="304"/>
        <v>588.9746359926213</v>
      </c>
      <c r="K670" s="307">
        <f t="shared" ca="1" si="305"/>
        <v>-10.12129126810563</v>
      </c>
      <c r="L670" s="304">
        <f t="shared" ca="1" si="290"/>
        <v>589.06159472467277</v>
      </c>
      <c r="M670" s="306">
        <f t="shared" ca="1" si="306"/>
        <v>-1.5093311310360544</v>
      </c>
      <c r="N670" s="304">
        <f t="shared" ca="1" si="307"/>
        <v>-86.478303696072942</v>
      </c>
      <c r="P670" s="310">
        <f t="shared" ca="1" si="308"/>
        <v>23</v>
      </c>
      <c r="Q670" s="304">
        <f t="shared" ca="1" si="309"/>
        <v>0</v>
      </c>
      <c r="R670" s="306">
        <f t="shared" ca="1" si="310"/>
        <v>0</v>
      </c>
      <c r="S670" s="307">
        <f t="shared" ca="1" si="311"/>
        <v>2.5949999999999998</v>
      </c>
      <c r="T670" s="304">
        <f t="shared" ca="1" si="291"/>
        <v>25.456949999999999</v>
      </c>
      <c r="U670" s="311">
        <f t="shared" ca="1" si="292"/>
        <v>0</v>
      </c>
      <c r="V670" s="306">
        <f t="shared" ca="1" si="293"/>
        <v>1.2262404859463218</v>
      </c>
      <c r="W670" s="304">
        <f t="shared" ca="1" si="294"/>
        <v>23.56172857142759</v>
      </c>
      <c r="Y670" s="314" t="str">
        <f t="shared" ca="1" si="312"/>
        <v/>
      </c>
      <c r="Z670" s="315" t="str">
        <f t="shared" ca="1" si="313"/>
        <v/>
      </c>
      <c r="AA670" s="316" t="str">
        <f t="shared" ca="1" si="314"/>
        <v/>
      </c>
      <c r="AC670" s="310" t="e">
        <f t="shared" ca="1" si="315"/>
        <v>#N/A</v>
      </c>
      <c r="AD670" s="323" t="e">
        <f t="shared" ca="1" si="316"/>
        <v>#N/A</v>
      </c>
      <c r="AE670" s="324" t="e">
        <f t="shared" ca="1" si="295"/>
        <v>#N/A</v>
      </c>
      <c r="AG670" s="306">
        <f t="shared" ca="1" si="317"/>
        <v>0.71183244788132605</v>
      </c>
      <c r="AH670" s="304">
        <f t="shared" ca="1" si="318"/>
        <v>-9.0796420663595718</v>
      </c>
    </row>
    <row r="671" spans="1:34" x14ac:dyDescent="0.2">
      <c r="A671" s="347">
        <f t="shared" ca="1" si="296"/>
        <v>1E-4</v>
      </c>
      <c r="B671" s="304">
        <f t="shared" ca="1" si="297"/>
        <v>32.528400000001113</v>
      </c>
      <c r="D671" s="306">
        <f t="shared" ca="1" si="298"/>
        <v>-0.55773199948719188</v>
      </c>
      <c r="E671" s="307">
        <f t="shared" ca="1" si="299"/>
        <v>-0.74748176230452756</v>
      </c>
      <c r="F671" s="304">
        <f t="shared" ca="1" si="300"/>
        <v>0.93262745414761583</v>
      </c>
      <c r="G671" s="306">
        <f t="shared" ca="1" si="301"/>
        <v>5.9501925452341755</v>
      </c>
      <c r="H671" s="307">
        <f t="shared" ca="1" si="302"/>
        <v>-96.684923303050098</v>
      </c>
      <c r="I671" s="304">
        <f t="shared" ca="1" si="303"/>
        <v>96.867843918619556</v>
      </c>
      <c r="J671" s="306">
        <f t="shared" ca="1" si="304"/>
        <v>588.9746359926213</v>
      </c>
      <c r="K671" s="307">
        <f t="shared" ca="1" si="305"/>
        <v>-10.130959756698525</v>
      </c>
      <c r="L671" s="304">
        <f t="shared" ca="1" si="290"/>
        <v>589.06176092854014</v>
      </c>
      <c r="M671" s="306">
        <f t="shared" ca="1" si="306"/>
        <v>-1.509331753114495</v>
      </c>
      <c r="N671" s="304">
        <f t="shared" ca="1" si="307"/>
        <v>-86.478339338542114</v>
      </c>
      <c r="P671" s="310">
        <f t="shared" ca="1" si="308"/>
        <v>23</v>
      </c>
      <c r="Q671" s="304">
        <f t="shared" ca="1" si="309"/>
        <v>0</v>
      </c>
      <c r="R671" s="306">
        <f t="shared" ca="1" si="310"/>
        <v>0</v>
      </c>
      <c r="S671" s="307">
        <f t="shared" ca="1" si="311"/>
        <v>2.5949999999999998</v>
      </c>
      <c r="T671" s="304">
        <f t="shared" ca="1" si="291"/>
        <v>25.456949999999999</v>
      </c>
      <c r="U671" s="311">
        <f t="shared" ca="1" si="292"/>
        <v>0</v>
      </c>
      <c r="V671" s="306">
        <f t="shared" ca="1" si="293"/>
        <v>1.2262416715364139</v>
      </c>
      <c r="W671" s="304">
        <f t="shared" ca="1" si="294"/>
        <v>23.561785979726157</v>
      </c>
      <c r="Y671" s="314" t="str">
        <f t="shared" ca="1" si="312"/>
        <v/>
      </c>
      <c r="Z671" s="315" t="str">
        <f t="shared" ca="1" si="313"/>
        <v/>
      </c>
      <c r="AA671" s="316" t="str">
        <f t="shared" ca="1" si="314"/>
        <v/>
      </c>
      <c r="AC671" s="310" t="e">
        <f t="shared" ca="1" si="315"/>
        <v>#N/A</v>
      </c>
      <c r="AD671" s="323" t="e">
        <f t="shared" ca="1" si="316"/>
        <v>#N/A</v>
      </c>
      <c r="AE671" s="324" t="e">
        <f t="shared" ca="1" si="295"/>
        <v>#N/A</v>
      </c>
      <c r="AG671" s="306">
        <f t="shared" ca="1" si="317"/>
        <v>0.71181069973278177</v>
      </c>
      <c r="AH671" s="304">
        <f t="shared" ca="1" si="318"/>
        <v>-9.0796641893747942</v>
      </c>
    </row>
    <row r="672" spans="1:34" x14ac:dyDescent="0.2">
      <c r="A672" s="347">
        <f t="shared" ca="1" si="296"/>
        <v>1E-4</v>
      </c>
      <c r="B672" s="304">
        <f t="shared" ca="1" si="297"/>
        <v>32.528500000001117</v>
      </c>
      <c r="D672" s="306">
        <f t="shared" ca="1" si="298"/>
        <v>-0.55772772079362931</v>
      </c>
      <c r="E672" s="307">
        <f t="shared" ca="1" si="299"/>
        <v>-0.74745933447019475</v>
      </c>
      <c r="F672" s="304">
        <f t="shared" ca="1" si="300"/>
        <v>0.93260691999806811</v>
      </c>
      <c r="G672" s="306">
        <f t="shared" ca="1" si="301"/>
        <v>5.9501367724620957</v>
      </c>
      <c r="H672" s="307">
        <f t="shared" ca="1" si="302"/>
        <v>-96.684998048983545</v>
      </c>
      <c r="I672" s="304">
        <f t="shared" ca="1" si="303"/>
        <v>96.867915097533484</v>
      </c>
      <c r="J672" s="306">
        <f t="shared" ca="1" si="304"/>
        <v>588.9746359926213</v>
      </c>
      <c r="K672" s="307">
        <f t="shared" ca="1" si="305"/>
        <v>-10.140628252766128</v>
      </c>
      <c r="L672" s="304">
        <f t="shared" ca="1" si="290"/>
        <v>589.06192729118175</v>
      </c>
      <c r="M672" s="306">
        <f t="shared" ca="1" si="306"/>
        <v>-1.5093323751861902</v>
      </c>
      <c r="N672" s="304">
        <f t="shared" ca="1" si="307"/>
        <v>-86.478374980624807</v>
      </c>
      <c r="P672" s="310">
        <f t="shared" ca="1" si="308"/>
        <v>23</v>
      </c>
      <c r="Q672" s="304">
        <f t="shared" ca="1" si="309"/>
        <v>0</v>
      </c>
      <c r="R672" s="306">
        <f t="shared" ca="1" si="310"/>
        <v>0</v>
      </c>
      <c r="S672" s="307">
        <f t="shared" ca="1" si="311"/>
        <v>2.5949999999999998</v>
      </c>
      <c r="T672" s="304">
        <f t="shared" ca="1" si="291"/>
        <v>25.456949999999999</v>
      </c>
      <c r="U672" s="311">
        <f t="shared" ca="1" si="292"/>
        <v>0</v>
      </c>
      <c r="V672" s="306">
        <f t="shared" ca="1" si="293"/>
        <v>1.2262428571285697</v>
      </c>
      <c r="W672" s="304">
        <f t="shared" ca="1" si="294"/>
        <v>23.561843387098804</v>
      </c>
      <c r="Y672" s="314" t="str">
        <f t="shared" ca="1" si="312"/>
        <v/>
      </c>
      <c r="Z672" s="315" t="str">
        <f t="shared" ca="1" si="313"/>
        <v/>
      </c>
      <c r="AA672" s="316" t="str">
        <f t="shared" ca="1" si="314"/>
        <v/>
      </c>
      <c r="AC672" s="310" t="e">
        <f t="shared" ca="1" si="315"/>
        <v>#N/A</v>
      </c>
      <c r="AD672" s="323" t="e">
        <f t="shared" ca="1" si="316"/>
        <v>#N/A</v>
      </c>
      <c r="AE672" s="324" t="e">
        <f t="shared" ca="1" si="295"/>
        <v>#N/A</v>
      </c>
      <c r="AG672" s="306">
        <f t="shared" ca="1" si="317"/>
        <v>0.71178895193319747</v>
      </c>
      <c r="AH672" s="304">
        <f t="shared" ca="1" si="318"/>
        <v>-9.0796863120332016</v>
      </c>
    </row>
    <row r="673" spans="1:34" x14ac:dyDescent="0.2">
      <c r="A673" s="347">
        <f t="shared" ca="1" si="296"/>
        <v>1E-4</v>
      </c>
      <c r="B673" s="304">
        <f t="shared" ca="1" si="297"/>
        <v>32.52860000000112</v>
      </c>
      <c r="D673" s="306">
        <f t="shared" ca="1" si="298"/>
        <v>-0.55772344211159131</v>
      </c>
      <c r="E673" s="307">
        <f t="shared" ca="1" si="299"/>
        <v>-0.74743690699757437</v>
      </c>
      <c r="F673" s="304">
        <f t="shared" ca="1" si="300"/>
        <v>0.93258638625218104</v>
      </c>
      <c r="G673" s="306">
        <f t="shared" ca="1" si="301"/>
        <v>5.9500810001178843</v>
      </c>
      <c r="H673" s="307">
        <f t="shared" ca="1" si="302"/>
        <v>-96.685072792674248</v>
      </c>
      <c r="I673" s="304">
        <f t="shared" ca="1" si="303"/>
        <v>96.867986274272681</v>
      </c>
      <c r="J673" s="306">
        <f t="shared" ca="1" si="304"/>
        <v>588.9746359926213</v>
      </c>
      <c r="K673" s="307">
        <f t="shared" ca="1" si="305"/>
        <v>-10.15029675630821</v>
      </c>
      <c r="L673" s="304">
        <f t="shared" ca="1" si="290"/>
        <v>589.06209381259782</v>
      </c>
      <c r="M673" s="306">
        <f t="shared" ca="1" si="306"/>
        <v>-1.5093329972511405</v>
      </c>
      <c r="N673" s="304">
        <f t="shared" ca="1" si="307"/>
        <v>-86.478410622321036</v>
      </c>
      <c r="P673" s="310">
        <f t="shared" ca="1" si="308"/>
        <v>23</v>
      </c>
      <c r="Q673" s="304">
        <f t="shared" ca="1" si="309"/>
        <v>0</v>
      </c>
      <c r="R673" s="306">
        <f t="shared" ca="1" si="310"/>
        <v>0</v>
      </c>
      <c r="S673" s="307">
        <f t="shared" ca="1" si="311"/>
        <v>2.5949999999999998</v>
      </c>
      <c r="T673" s="304">
        <f t="shared" ca="1" si="291"/>
        <v>25.456949999999999</v>
      </c>
      <c r="U673" s="311">
        <f t="shared" ca="1" si="292"/>
        <v>0</v>
      </c>
      <c r="V673" s="306">
        <f t="shared" ca="1" si="293"/>
        <v>1.2262440427227883</v>
      </c>
      <c r="W673" s="304">
        <f t="shared" ca="1" si="294"/>
        <v>23.561900793545544</v>
      </c>
      <c r="Y673" s="314" t="str">
        <f t="shared" ca="1" si="312"/>
        <v/>
      </c>
      <c r="Z673" s="315" t="str">
        <f t="shared" ca="1" si="313"/>
        <v/>
      </c>
      <c r="AA673" s="316" t="str">
        <f t="shared" ca="1" si="314"/>
        <v/>
      </c>
      <c r="AC673" s="310" t="e">
        <f t="shared" ca="1" si="315"/>
        <v>#N/A</v>
      </c>
      <c r="AD673" s="323" t="e">
        <f t="shared" ca="1" si="316"/>
        <v>#N/A</v>
      </c>
      <c r="AE673" s="324" t="e">
        <f t="shared" ca="1" si="295"/>
        <v>#N/A</v>
      </c>
      <c r="AG673" s="306">
        <f t="shared" ca="1" si="317"/>
        <v>0.71176720448257136</v>
      </c>
      <c r="AH673" s="304">
        <f t="shared" ca="1" si="318"/>
        <v>-9.0797084343347993</v>
      </c>
    </row>
    <row r="674" spans="1:34" x14ac:dyDescent="0.2">
      <c r="A674" s="347">
        <f t="shared" ca="1" si="296"/>
        <v>1E-4</v>
      </c>
      <c r="B674" s="304">
        <f t="shared" ca="1" si="297"/>
        <v>32.528700000001123</v>
      </c>
      <c r="D674" s="306">
        <f t="shared" ca="1" si="298"/>
        <v>-0.55771916344107719</v>
      </c>
      <c r="E674" s="307">
        <f t="shared" ca="1" si="299"/>
        <v>-0.74741447988666287</v>
      </c>
      <c r="F674" s="304">
        <f t="shared" ca="1" si="300"/>
        <v>0.93256585290995175</v>
      </c>
      <c r="G674" s="306">
        <f t="shared" ca="1" si="301"/>
        <v>5.9500252282015405</v>
      </c>
      <c r="H674" s="307">
        <f t="shared" ca="1" si="302"/>
        <v>-96.685147534122237</v>
      </c>
      <c r="I674" s="304">
        <f t="shared" ca="1" si="303"/>
        <v>96.868057448837163</v>
      </c>
      <c r="J674" s="306">
        <f t="shared" ca="1" si="304"/>
        <v>588.9746359926213</v>
      </c>
      <c r="K674" s="307">
        <f t="shared" ca="1" si="305"/>
        <v>-10.15996526732455</v>
      </c>
      <c r="L674" s="304">
        <f t="shared" ca="1" si="290"/>
        <v>589.0622604927886</v>
      </c>
      <c r="M674" s="306">
        <f t="shared" ca="1" si="306"/>
        <v>-1.5093336193093458</v>
      </c>
      <c r="N674" s="304">
        <f t="shared" ca="1" si="307"/>
        <v>-86.478446263630815</v>
      </c>
      <c r="P674" s="310">
        <f t="shared" ca="1" si="308"/>
        <v>23</v>
      </c>
      <c r="Q674" s="304">
        <f t="shared" ca="1" si="309"/>
        <v>0</v>
      </c>
      <c r="R674" s="306">
        <f t="shared" ca="1" si="310"/>
        <v>0</v>
      </c>
      <c r="S674" s="307">
        <f t="shared" ca="1" si="311"/>
        <v>2.5949999999999998</v>
      </c>
      <c r="T674" s="304">
        <f t="shared" ca="1" si="291"/>
        <v>25.456949999999999</v>
      </c>
      <c r="U674" s="311">
        <f t="shared" ca="1" si="292"/>
        <v>0</v>
      </c>
      <c r="V674" s="306">
        <f t="shared" ca="1" si="293"/>
        <v>1.226245228319071</v>
      </c>
      <c r="W674" s="304">
        <f t="shared" ca="1" si="294"/>
        <v>23.5619581990664</v>
      </c>
      <c r="Y674" s="314" t="str">
        <f t="shared" ca="1" si="312"/>
        <v/>
      </c>
      <c r="Z674" s="315" t="str">
        <f t="shared" ca="1" si="313"/>
        <v/>
      </c>
      <c r="AA674" s="316" t="str">
        <f t="shared" ca="1" si="314"/>
        <v/>
      </c>
      <c r="AC674" s="310" t="e">
        <f t="shared" ca="1" si="315"/>
        <v>#N/A</v>
      </c>
      <c r="AD674" s="323" t="e">
        <f t="shared" ca="1" si="316"/>
        <v>#N/A</v>
      </c>
      <c r="AE674" s="324" t="e">
        <f t="shared" ca="1" si="295"/>
        <v>#N/A</v>
      </c>
      <c r="AG674" s="306">
        <f t="shared" ca="1" si="317"/>
        <v>0.71174545738089456</v>
      </c>
      <c r="AH674" s="304">
        <f t="shared" ca="1" si="318"/>
        <v>-9.0797305562795945</v>
      </c>
    </row>
    <row r="675" spans="1:34" x14ac:dyDescent="0.2">
      <c r="A675" s="347">
        <f t="shared" ca="1" si="296"/>
        <v>1E-4</v>
      </c>
      <c r="B675" s="304">
        <f t="shared" ca="1" si="297"/>
        <v>32.528800000001127</v>
      </c>
      <c r="D675" s="306">
        <f t="shared" ca="1" si="298"/>
        <v>-0.55771488478208631</v>
      </c>
      <c r="E675" s="307">
        <f t="shared" ca="1" si="299"/>
        <v>-0.74739205313745138</v>
      </c>
      <c r="F675" s="304">
        <f t="shared" ca="1" si="300"/>
        <v>0.93254531997137313</v>
      </c>
      <c r="G675" s="306">
        <f t="shared" ca="1" si="301"/>
        <v>5.9499694567130623</v>
      </c>
      <c r="H675" s="307">
        <f t="shared" ca="1" si="302"/>
        <v>-96.685222273327554</v>
      </c>
      <c r="I675" s="304">
        <f t="shared" ca="1" si="303"/>
        <v>96.868128621226987</v>
      </c>
      <c r="J675" s="306">
        <f t="shared" ca="1" si="304"/>
        <v>588.9746359926213</v>
      </c>
      <c r="K675" s="307">
        <f t="shared" ca="1" si="305"/>
        <v>-10.169633785814922</v>
      </c>
      <c r="L675" s="304">
        <f t="shared" ca="1" si="290"/>
        <v>589.06242733175429</v>
      </c>
      <c r="M675" s="306">
        <f t="shared" ca="1" si="306"/>
        <v>-1.5093342413608064</v>
      </c>
      <c r="N675" s="304">
        <f t="shared" ca="1" si="307"/>
        <v>-86.478481904554144</v>
      </c>
      <c r="P675" s="310">
        <f t="shared" ca="1" si="308"/>
        <v>23</v>
      </c>
      <c r="Q675" s="304">
        <f t="shared" ca="1" si="309"/>
        <v>0</v>
      </c>
      <c r="R675" s="306">
        <f t="shared" ca="1" si="310"/>
        <v>0</v>
      </c>
      <c r="S675" s="307">
        <f t="shared" ca="1" si="311"/>
        <v>2.5949999999999998</v>
      </c>
      <c r="T675" s="304">
        <f t="shared" ca="1" si="291"/>
        <v>25.456949999999999</v>
      </c>
      <c r="U675" s="311">
        <f t="shared" ca="1" si="292"/>
        <v>0</v>
      </c>
      <c r="V675" s="306">
        <f t="shared" ca="1" si="293"/>
        <v>1.226246413917417</v>
      </c>
      <c r="W675" s="304">
        <f t="shared" ca="1" si="294"/>
        <v>23.562015603661369</v>
      </c>
      <c r="Y675" s="314" t="str">
        <f t="shared" ca="1" si="312"/>
        <v/>
      </c>
      <c r="Z675" s="315" t="str">
        <f t="shared" ca="1" si="313"/>
        <v/>
      </c>
      <c r="AA675" s="316" t="str">
        <f t="shared" ca="1" si="314"/>
        <v/>
      </c>
      <c r="AC675" s="310" t="e">
        <f t="shared" ca="1" si="315"/>
        <v>#N/A</v>
      </c>
      <c r="AD675" s="323" t="e">
        <f t="shared" ca="1" si="316"/>
        <v>#N/A</v>
      </c>
      <c r="AE675" s="324" t="e">
        <f t="shared" ca="1" si="295"/>
        <v>#N/A</v>
      </c>
      <c r="AG675" s="306">
        <f t="shared" ca="1" si="317"/>
        <v>0.71172371062815998</v>
      </c>
      <c r="AH675" s="304">
        <f t="shared" ca="1" si="318"/>
        <v>-9.0797526778675923</v>
      </c>
    </row>
    <row r="676" spans="1:34" x14ac:dyDescent="0.2">
      <c r="A676" s="347">
        <f t="shared" ca="1" si="296"/>
        <v>1E-4</v>
      </c>
      <c r="B676" s="304">
        <f t="shared" ca="1" si="297"/>
        <v>32.52890000000113</v>
      </c>
      <c r="D676" s="306">
        <f t="shared" ca="1" si="298"/>
        <v>-0.5577106061346202</v>
      </c>
      <c r="E676" s="307">
        <f t="shared" ca="1" si="299"/>
        <v>-0.74736962674994167</v>
      </c>
      <c r="F676" s="304">
        <f t="shared" ca="1" si="300"/>
        <v>0.93252478743644807</v>
      </c>
      <c r="G676" s="306">
        <f t="shared" ca="1" si="301"/>
        <v>5.949913685652449</v>
      </c>
      <c r="H676" s="307">
        <f t="shared" ca="1" si="302"/>
        <v>-96.685297010290228</v>
      </c>
      <c r="I676" s="304">
        <f t="shared" ca="1" si="303"/>
        <v>96.868199791442137</v>
      </c>
      <c r="J676" s="306">
        <f t="shared" ca="1" si="304"/>
        <v>588.9746359926213</v>
      </c>
      <c r="K676" s="307">
        <f t="shared" ca="1" si="305"/>
        <v>-10.179302311779102</v>
      </c>
      <c r="L676" s="304">
        <f t="shared" ca="1" si="290"/>
        <v>589.06259432949514</v>
      </c>
      <c r="M676" s="306">
        <f t="shared" ca="1" si="306"/>
        <v>-1.5093348634055221</v>
      </c>
      <c r="N676" s="304">
        <f t="shared" ca="1" si="307"/>
        <v>-86.478517545091023</v>
      </c>
      <c r="P676" s="310">
        <f t="shared" ca="1" si="308"/>
        <v>23</v>
      </c>
      <c r="Q676" s="304">
        <f t="shared" ca="1" si="309"/>
        <v>0</v>
      </c>
      <c r="R676" s="306">
        <f t="shared" ca="1" si="310"/>
        <v>0</v>
      </c>
      <c r="S676" s="307">
        <f t="shared" ca="1" si="311"/>
        <v>2.5949999999999998</v>
      </c>
      <c r="T676" s="304">
        <f t="shared" ca="1" si="291"/>
        <v>25.456949999999999</v>
      </c>
      <c r="U676" s="311">
        <f t="shared" ca="1" si="292"/>
        <v>0</v>
      </c>
      <c r="V676" s="306">
        <f t="shared" ca="1" si="293"/>
        <v>1.2262475995178257</v>
      </c>
      <c r="W676" s="304">
        <f t="shared" ca="1" si="294"/>
        <v>23.562073007330433</v>
      </c>
      <c r="Y676" s="314" t="str">
        <f t="shared" ca="1" si="312"/>
        <v/>
      </c>
      <c r="Z676" s="315" t="str">
        <f t="shared" ca="1" si="313"/>
        <v/>
      </c>
      <c r="AA676" s="316" t="str">
        <f t="shared" ca="1" si="314"/>
        <v/>
      </c>
      <c r="AC676" s="310" t="e">
        <f t="shared" ca="1" si="315"/>
        <v>#N/A</v>
      </c>
      <c r="AD676" s="323" t="e">
        <f t="shared" ca="1" si="316"/>
        <v>#N/A</v>
      </c>
      <c r="AE676" s="324" t="e">
        <f t="shared" ca="1" si="295"/>
        <v>#N/A</v>
      </c>
      <c r="AG676" s="306">
        <f t="shared" ca="1" si="317"/>
        <v>0.7117019642243676</v>
      </c>
      <c r="AH676" s="304">
        <f t="shared" ca="1" si="318"/>
        <v>-9.0797747990987947</v>
      </c>
    </row>
    <row r="677" spans="1:34" x14ac:dyDescent="0.2">
      <c r="A677" s="347">
        <f t="shared" ca="1" si="296"/>
        <v>1E-4</v>
      </c>
      <c r="B677" s="304">
        <f t="shared" ca="1" si="297"/>
        <v>32.529000000001133</v>
      </c>
      <c r="D677" s="306">
        <f t="shared" ca="1" si="298"/>
        <v>-0.55770632749867921</v>
      </c>
      <c r="E677" s="307">
        <f t="shared" ca="1" si="299"/>
        <v>-0.74734720072413907</v>
      </c>
      <c r="F677" s="304">
        <f t="shared" ca="1" si="300"/>
        <v>0.93250425530518122</v>
      </c>
      <c r="G677" s="306">
        <f t="shared" ca="1" si="301"/>
        <v>5.9498579150196989</v>
      </c>
      <c r="H677" s="307">
        <f t="shared" ca="1" si="302"/>
        <v>-96.685371745010301</v>
      </c>
      <c r="I677" s="304">
        <f t="shared" ca="1" si="303"/>
        <v>96.8682709594827</v>
      </c>
      <c r="J677" s="306">
        <f t="shared" ca="1" si="304"/>
        <v>588.9746359926213</v>
      </c>
      <c r="K677" s="307">
        <f t="shared" ca="1" si="305"/>
        <v>-10.188970845216867</v>
      </c>
      <c r="L677" s="304">
        <f t="shared" ca="1" si="290"/>
        <v>589.06276148601125</v>
      </c>
      <c r="M677" s="306">
        <f t="shared" ca="1" si="306"/>
        <v>-1.5093354854434933</v>
      </c>
      <c r="N677" s="304">
        <f t="shared" ca="1" si="307"/>
        <v>-86.478553185241466</v>
      </c>
      <c r="P677" s="310">
        <f t="shared" ca="1" si="308"/>
        <v>23</v>
      </c>
      <c r="Q677" s="304">
        <f t="shared" ca="1" si="309"/>
        <v>0</v>
      </c>
      <c r="R677" s="306">
        <f t="shared" ca="1" si="310"/>
        <v>0</v>
      </c>
      <c r="S677" s="307">
        <f t="shared" ca="1" si="311"/>
        <v>2.5949999999999998</v>
      </c>
      <c r="T677" s="304">
        <f t="shared" ca="1" si="291"/>
        <v>25.456949999999999</v>
      </c>
      <c r="U677" s="311">
        <f t="shared" ca="1" si="292"/>
        <v>0</v>
      </c>
      <c r="V677" s="306">
        <f t="shared" ca="1" si="293"/>
        <v>1.2262487851202983</v>
      </c>
      <c r="W677" s="304">
        <f t="shared" ca="1" si="294"/>
        <v>23.56213041007366</v>
      </c>
      <c r="Y677" s="314" t="str">
        <f t="shared" ca="1" si="312"/>
        <v/>
      </c>
      <c r="Z677" s="315" t="str">
        <f t="shared" ca="1" si="313"/>
        <v/>
      </c>
      <c r="AA677" s="316" t="str">
        <f t="shared" ca="1" si="314"/>
        <v/>
      </c>
      <c r="AC677" s="310" t="e">
        <f t="shared" ca="1" si="315"/>
        <v>#N/A</v>
      </c>
      <c r="AD677" s="323" t="e">
        <f t="shared" ca="1" si="316"/>
        <v>#N/A</v>
      </c>
      <c r="AE677" s="324" t="e">
        <f t="shared" ca="1" si="295"/>
        <v>#N/A</v>
      </c>
      <c r="AG677" s="306">
        <f t="shared" ca="1" si="317"/>
        <v>0.71168021816952809</v>
      </c>
      <c r="AH677" s="304">
        <f t="shared" ca="1" si="318"/>
        <v>-9.0797969199731927</v>
      </c>
    </row>
    <row r="678" spans="1:34" x14ac:dyDescent="0.2">
      <c r="A678" s="347">
        <f t="shared" ca="1" si="296"/>
        <v>1E-4</v>
      </c>
      <c r="B678" s="304">
        <f t="shared" ca="1" si="297"/>
        <v>32.529100000001137</v>
      </c>
      <c r="D678" s="306">
        <f t="shared" ca="1" si="298"/>
        <v>-0.55770204887426422</v>
      </c>
      <c r="E678" s="307">
        <f t="shared" ca="1" si="299"/>
        <v>-0.74732477506001693</v>
      </c>
      <c r="F678" s="304">
        <f t="shared" ca="1" si="300"/>
        <v>0.93248372357755238</v>
      </c>
      <c r="G678" s="306">
        <f t="shared" ca="1" si="301"/>
        <v>5.9498021448148117</v>
      </c>
      <c r="H678" s="307">
        <f t="shared" ca="1" si="302"/>
        <v>-96.685446477487801</v>
      </c>
      <c r="I678" s="304">
        <f t="shared" ca="1" si="303"/>
        <v>96.868342125348676</v>
      </c>
      <c r="J678" s="306">
        <f t="shared" ca="1" si="304"/>
        <v>588.9746359926213</v>
      </c>
      <c r="K678" s="307">
        <f t="shared" ca="1" si="305"/>
        <v>-10.198639386127992</v>
      </c>
      <c r="L678" s="304">
        <f t="shared" ca="1" si="290"/>
        <v>589.06292880130309</v>
      </c>
      <c r="M678" s="306">
        <f t="shared" ca="1" si="306"/>
        <v>-1.5093361074747198</v>
      </c>
      <c r="N678" s="304">
        <f t="shared" ca="1" si="307"/>
        <v>-86.478588825005474</v>
      </c>
      <c r="P678" s="310">
        <f t="shared" ca="1" si="308"/>
        <v>23</v>
      </c>
      <c r="Q678" s="304">
        <f t="shared" ca="1" si="309"/>
        <v>0</v>
      </c>
      <c r="R678" s="306">
        <f t="shared" ca="1" si="310"/>
        <v>0</v>
      </c>
      <c r="S678" s="307">
        <f t="shared" ca="1" si="311"/>
        <v>2.5949999999999998</v>
      </c>
      <c r="T678" s="304">
        <f t="shared" ca="1" si="291"/>
        <v>25.456949999999999</v>
      </c>
      <c r="U678" s="311">
        <f t="shared" ca="1" si="292"/>
        <v>0</v>
      </c>
      <c r="V678" s="306">
        <f t="shared" ca="1" si="293"/>
        <v>1.2262499707248342</v>
      </c>
      <c r="W678" s="304">
        <f t="shared" ca="1" si="294"/>
        <v>23.562187811891022</v>
      </c>
      <c r="Y678" s="314" t="str">
        <f t="shared" ca="1" si="312"/>
        <v/>
      </c>
      <c r="Z678" s="315" t="str">
        <f t="shared" ca="1" si="313"/>
        <v/>
      </c>
      <c r="AA678" s="316" t="str">
        <f t="shared" ca="1" si="314"/>
        <v/>
      </c>
      <c r="AC678" s="310" t="e">
        <f t="shared" ca="1" si="315"/>
        <v>#N/A</v>
      </c>
      <c r="AD678" s="323" t="e">
        <f t="shared" ca="1" si="316"/>
        <v>#N/A</v>
      </c>
      <c r="AE678" s="324" t="e">
        <f t="shared" ca="1" si="295"/>
        <v>#N/A</v>
      </c>
      <c r="AG678" s="306">
        <f t="shared" ca="1" si="317"/>
        <v>0.71165847246361125</v>
      </c>
      <c r="AH678" s="304">
        <f t="shared" ca="1" si="318"/>
        <v>-9.0798190404908148</v>
      </c>
    </row>
    <row r="679" spans="1:34" x14ac:dyDescent="0.2">
      <c r="A679" s="347">
        <f t="shared" ca="1" si="296"/>
        <v>1E-4</v>
      </c>
      <c r="B679" s="304">
        <f t="shared" ca="1" si="297"/>
        <v>32.52920000000114</v>
      </c>
      <c r="D679" s="306">
        <f t="shared" ca="1" si="298"/>
        <v>-0.55769777026137557</v>
      </c>
      <c r="E679" s="307">
        <f t="shared" ca="1" si="299"/>
        <v>-0.74730234975758947</v>
      </c>
      <c r="F679" s="304">
        <f t="shared" ca="1" si="300"/>
        <v>0.93246319225357344</v>
      </c>
      <c r="G679" s="306">
        <f t="shared" ca="1" si="301"/>
        <v>5.9497463750377859</v>
      </c>
      <c r="H679" s="307">
        <f t="shared" ca="1" si="302"/>
        <v>-96.685521207722772</v>
      </c>
      <c r="I679" s="304">
        <f t="shared" ca="1" si="303"/>
        <v>96.86841328904012</v>
      </c>
      <c r="J679" s="306">
        <f t="shared" ca="1" si="304"/>
        <v>588.9746359926213</v>
      </c>
      <c r="K679" s="307">
        <f t="shared" ca="1" si="305"/>
        <v>-10.208307934512252</v>
      </c>
      <c r="L679" s="304">
        <f t="shared" ca="1" si="290"/>
        <v>589.06309627537064</v>
      </c>
      <c r="M679" s="306">
        <f t="shared" ca="1" si="306"/>
        <v>-1.5093367294992019</v>
      </c>
      <c r="N679" s="304">
        <f t="shared" ca="1" si="307"/>
        <v>-86.478624464383046</v>
      </c>
      <c r="P679" s="310">
        <f t="shared" ca="1" si="308"/>
        <v>23</v>
      </c>
      <c r="Q679" s="304">
        <f t="shared" ca="1" si="309"/>
        <v>0</v>
      </c>
      <c r="R679" s="306">
        <f t="shared" ca="1" si="310"/>
        <v>0</v>
      </c>
      <c r="S679" s="307">
        <f t="shared" ca="1" si="311"/>
        <v>2.5949999999999998</v>
      </c>
      <c r="T679" s="304">
        <f t="shared" ca="1" si="291"/>
        <v>25.456949999999999</v>
      </c>
      <c r="U679" s="311">
        <f t="shared" ca="1" si="292"/>
        <v>0</v>
      </c>
      <c r="V679" s="306">
        <f t="shared" ca="1" si="293"/>
        <v>1.2262511563314333</v>
      </c>
      <c r="W679" s="304">
        <f t="shared" ca="1" si="294"/>
        <v>23.562245212782557</v>
      </c>
      <c r="Y679" s="314" t="str">
        <f t="shared" ca="1" si="312"/>
        <v/>
      </c>
      <c r="Z679" s="315" t="str">
        <f t="shared" ca="1" si="313"/>
        <v/>
      </c>
      <c r="AA679" s="316" t="str">
        <f t="shared" ca="1" si="314"/>
        <v/>
      </c>
      <c r="AC679" s="310" t="e">
        <f t="shared" ca="1" si="315"/>
        <v>#N/A</v>
      </c>
      <c r="AD679" s="323" t="e">
        <f t="shared" ca="1" si="316"/>
        <v>#N/A</v>
      </c>
      <c r="AE679" s="324" t="e">
        <f t="shared" ca="1" si="295"/>
        <v>#N/A</v>
      </c>
      <c r="AG679" s="306">
        <f t="shared" ca="1" si="317"/>
        <v>0.71163672710663128</v>
      </c>
      <c r="AH679" s="304">
        <f t="shared" ca="1" si="318"/>
        <v>-9.0798411606516467</v>
      </c>
    </row>
    <row r="680" spans="1:34" x14ac:dyDescent="0.2">
      <c r="A680" s="347">
        <f t="shared" ca="1" si="296"/>
        <v>1E-4</v>
      </c>
      <c r="B680" s="304">
        <f t="shared" ca="1" si="297"/>
        <v>32.529300000001143</v>
      </c>
      <c r="D680" s="306">
        <f t="shared" ca="1" si="298"/>
        <v>-0.55769349166001347</v>
      </c>
      <c r="E680" s="307">
        <f t="shared" ca="1" si="299"/>
        <v>-0.74727992481683714</v>
      </c>
      <c r="F680" s="304">
        <f t="shared" ca="1" si="300"/>
        <v>0.93244266133322928</v>
      </c>
      <c r="G680" s="306">
        <f t="shared" ca="1" si="301"/>
        <v>5.9496906056886196</v>
      </c>
      <c r="H680" s="307">
        <f t="shared" ca="1" si="302"/>
        <v>-96.685595935715256</v>
      </c>
      <c r="I680" s="304">
        <f t="shared" ca="1" si="303"/>
        <v>96.868484450557077</v>
      </c>
      <c r="J680" s="306">
        <f t="shared" ca="1" si="304"/>
        <v>588.9746359926213</v>
      </c>
      <c r="K680" s="307">
        <f t="shared" ca="1" si="305"/>
        <v>-10.217976490369423</v>
      </c>
      <c r="L680" s="304">
        <f t="shared" ca="1" si="290"/>
        <v>589.06326390821425</v>
      </c>
      <c r="M680" s="306">
        <f t="shared" ca="1" si="306"/>
        <v>-1.5093373515169397</v>
      </c>
      <c r="N680" s="304">
        <f t="shared" ca="1" si="307"/>
        <v>-86.47866010337421</v>
      </c>
      <c r="P680" s="310">
        <f t="shared" ca="1" si="308"/>
        <v>23</v>
      </c>
      <c r="Q680" s="304">
        <f t="shared" ca="1" si="309"/>
        <v>0</v>
      </c>
      <c r="R680" s="306">
        <f t="shared" ca="1" si="310"/>
        <v>0</v>
      </c>
      <c r="S680" s="307">
        <f t="shared" ca="1" si="311"/>
        <v>2.5949999999999998</v>
      </c>
      <c r="T680" s="304">
        <f t="shared" ca="1" si="291"/>
        <v>25.456949999999999</v>
      </c>
      <c r="U680" s="311">
        <f t="shared" ca="1" si="292"/>
        <v>0</v>
      </c>
      <c r="V680" s="306">
        <f t="shared" ca="1" si="293"/>
        <v>1.2262523419400957</v>
      </c>
      <c r="W680" s="304">
        <f t="shared" ca="1" si="294"/>
        <v>23.562302612748255</v>
      </c>
      <c r="Y680" s="314" t="str">
        <f t="shared" ca="1" si="312"/>
        <v/>
      </c>
      <c r="Z680" s="315" t="str">
        <f t="shared" ca="1" si="313"/>
        <v/>
      </c>
      <c r="AA680" s="316" t="str">
        <f t="shared" ca="1" si="314"/>
        <v/>
      </c>
      <c r="AC680" s="310" t="e">
        <f t="shared" ca="1" si="315"/>
        <v>#N/A</v>
      </c>
      <c r="AD680" s="323" t="e">
        <f t="shared" ca="1" si="316"/>
        <v>#N/A</v>
      </c>
      <c r="AE680" s="324" t="e">
        <f t="shared" ca="1" si="295"/>
        <v>#N/A</v>
      </c>
      <c r="AG680" s="306">
        <f t="shared" ca="1" si="317"/>
        <v>0.71161498209857221</v>
      </c>
      <c r="AH680" s="304">
        <f t="shared" ca="1" si="318"/>
        <v>-9.0798632804557062</v>
      </c>
    </row>
    <row r="681" spans="1:34" x14ac:dyDescent="0.2">
      <c r="A681" s="347">
        <f t="shared" ca="1" si="296"/>
        <v>1E-4</v>
      </c>
      <c r="B681" s="304">
        <f t="shared" ca="1" si="297"/>
        <v>32.529400000001147</v>
      </c>
      <c r="D681" s="306">
        <f t="shared" ca="1" si="298"/>
        <v>-0.5576892130701786</v>
      </c>
      <c r="E681" s="307">
        <f t="shared" ca="1" si="299"/>
        <v>-0.74725750023776527</v>
      </c>
      <c r="F681" s="304">
        <f t="shared" ca="1" si="300"/>
        <v>0.93242213081652503</v>
      </c>
      <c r="G681" s="306">
        <f t="shared" ca="1" si="301"/>
        <v>5.9496348367673129</v>
      </c>
      <c r="H681" s="307">
        <f t="shared" ca="1" si="302"/>
        <v>-96.685670661465281</v>
      </c>
      <c r="I681" s="304">
        <f t="shared" ca="1" si="303"/>
        <v>96.868555609899559</v>
      </c>
      <c r="J681" s="306">
        <f t="shared" ca="1" si="304"/>
        <v>588.9746359926213</v>
      </c>
      <c r="K681" s="307">
        <f t="shared" ca="1" si="305"/>
        <v>-10.227645053699282</v>
      </c>
      <c r="L681" s="304">
        <f t="shared" ca="1" si="290"/>
        <v>589.06343169983415</v>
      </c>
      <c r="M681" s="306">
        <f t="shared" ca="1" si="306"/>
        <v>-1.5093379735279331</v>
      </c>
      <c r="N681" s="304">
        <f t="shared" ca="1" si="307"/>
        <v>-86.478695741978939</v>
      </c>
      <c r="P681" s="310">
        <f t="shared" ca="1" si="308"/>
        <v>23</v>
      </c>
      <c r="Q681" s="304">
        <f t="shared" ca="1" si="309"/>
        <v>0</v>
      </c>
      <c r="R681" s="306">
        <f t="shared" ca="1" si="310"/>
        <v>0</v>
      </c>
      <c r="S681" s="307">
        <f t="shared" ca="1" si="311"/>
        <v>2.5949999999999998</v>
      </c>
      <c r="T681" s="304">
        <f t="shared" ca="1" si="291"/>
        <v>25.456949999999999</v>
      </c>
      <c r="U681" s="311">
        <f t="shared" ca="1" si="292"/>
        <v>0</v>
      </c>
      <c r="V681" s="306">
        <f t="shared" ca="1" si="293"/>
        <v>1.2262535275508211</v>
      </c>
      <c r="W681" s="304">
        <f t="shared" ca="1" si="294"/>
        <v>23.562360011788133</v>
      </c>
      <c r="Y681" s="314" t="str">
        <f t="shared" ca="1" si="312"/>
        <v/>
      </c>
      <c r="Z681" s="315" t="str">
        <f t="shared" ca="1" si="313"/>
        <v/>
      </c>
      <c r="AA681" s="316" t="str">
        <f t="shared" ca="1" si="314"/>
        <v/>
      </c>
      <c r="AC681" s="310" t="e">
        <f t="shared" ca="1" si="315"/>
        <v>#N/A</v>
      </c>
      <c r="AD681" s="323" t="e">
        <f t="shared" ca="1" si="316"/>
        <v>#N/A</v>
      </c>
      <c r="AE681" s="324" t="e">
        <f t="shared" ca="1" si="295"/>
        <v>#N/A</v>
      </c>
      <c r="AG681" s="306">
        <f t="shared" ca="1" si="317"/>
        <v>0.71159323743943759</v>
      </c>
      <c r="AH681" s="304">
        <f t="shared" ca="1" si="318"/>
        <v>-9.0798853999029898</v>
      </c>
    </row>
    <row r="682" spans="1:34" x14ac:dyDescent="0.2">
      <c r="A682" s="347">
        <f t="shared" ca="1" si="296"/>
        <v>1E-4</v>
      </c>
      <c r="B682" s="304">
        <f t="shared" ca="1" si="297"/>
        <v>32.52950000000115</v>
      </c>
      <c r="D682" s="306">
        <f t="shared" ca="1" si="298"/>
        <v>-0.55768493449187251</v>
      </c>
      <c r="E682" s="307">
        <f t="shared" ca="1" si="299"/>
        <v>-0.74723507602037031</v>
      </c>
      <c r="F682" s="304">
        <f t="shared" ca="1" si="300"/>
        <v>0.93240160070345901</v>
      </c>
      <c r="G682" s="306">
        <f t="shared" ca="1" si="301"/>
        <v>5.9495790682738638</v>
      </c>
      <c r="H682" s="307">
        <f t="shared" ca="1" si="302"/>
        <v>-96.68574538497289</v>
      </c>
      <c r="I682" s="304">
        <f t="shared" ca="1" si="303"/>
        <v>96.86862676706761</v>
      </c>
      <c r="J682" s="306">
        <f t="shared" ca="1" si="304"/>
        <v>588.9746359926213</v>
      </c>
      <c r="K682" s="307">
        <f t="shared" ca="1" si="305"/>
        <v>-10.237313624501605</v>
      </c>
      <c r="L682" s="304">
        <f t="shared" ca="1" si="290"/>
        <v>589.06359965023057</v>
      </c>
      <c r="M682" s="306">
        <f t="shared" ca="1" si="306"/>
        <v>-1.5093385955321823</v>
      </c>
      <c r="N682" s="304">
        <f t="shared" ca="1" si="307"/>
        <v>-86.47873138019726</v>
      </c>
      <c r="P682" s="310">
        <f t="shared" ca="1" si="308"/>
        <v>23</v>
      </c>
      <c r="Q682" s="304">
        <f t="shared" ca="1" si="309"/>
        <v>0</v>
      </c>
      <c r="R682" s="306">
        <f t="shared" ca="1" si="310"/>
        <v>0</v>
      </c>
      <c r="S682" s="307">
        <f t="shared" ca="1" si="311"/>
        <v>2.5949999999999998</v>
      </c>
      <c r="T682" s="304">
        <f t="shared" ca="1" si="291"/>
        <v>25.456949999999999</v>
      </c>
      <c r="U682" s="311">
        <f t="shared" ca="1" si="292"/>
        <v>0</v>
      </c>
      <c r="V682" s="306">
        <f t="shared" ca="1" si="293"/>
        <v>1.2262547131636097</v>
      </c>
      <c r="W682" s="304">
        <f t="shared" ca="1" si="294"/>
        <v>23.562417409902206</v>
      </c>
      <c r="Y682" s="314" t="str">
        <f t="shared" ca="1" si="312"/>
        <v/>
      </c>
      <c r="Z682" s="315" t="str">
        <f t="shared" ca="1" si="313"/>
        <v/>
      </c>
      <c r="AA682" s="316" t="str">
        <f t="shared" ca="1" si="314"/>
        <v/>
      </c>
      <c r="AC682" s="310" t="e">
        <f t="shared" ca="1" si="315"/>
        <v>#N/A</v>
      </c>
      <c r="AD682" s="323" t="e">
        <f t="shared" ca="1" si="316"/>
        <v>#N/A</v>
      </c>
      <c r="AE682" s="324" t="e">
        <f t="shared" ca="1" si="295"/>
        <v>#N/A</v>
      </c>
      <c r="AG682" s="306">
        <f t="shared" ca="1" si="317"/>
        <v>0.71157149312922208</v>
      </c>
      <c r="AH682" s="304">
        <f t="shared" ca="1" si="318"/>
        <v>-9.079907518993501</v>
      </c>
    </row>
    <row r="683" spans="1:34" x14ac:dyDescent="0.2">
      <c r="A683" s="347">
        <f t="shared" ca="1" si="296"/>
        <v>1E-4</v>
      </c>
      <c r="B683" s="304">
        <f t="shared" ca="1" si="297"/>
        <v>32.529600000001153</v>
      </c>
      <c r="D683" s="306">
        <f t="shared" ca="1" si="298"/>
        <v>-0.55768065592509475</v>
      </c>
      <c r="E683" s="307">
        <f t="shared" ca="1" si="299"/>
        <v>-0.74721265216464161</v>
      </c>
      <c r="F683" s="304">
        <f t="shared" ca="1" si="300"/>
        <v>0.93238107099402312</v>
      </c>
      <c r="G683" s="306">
        <f t="shared" ca="1" si="301"/>
        <v>5.9495233002082717</v>
      </c>
      <c r="H683" s="307">
        <f t="shared" ca="1" si="302"/>
        <v>-96.685820106238111</v>
      </c>
      <c r="I683" s="304">
        <f t="shared" ca="1" si="303"/>
        <v>96.868697922061273</v>
      </c>
      <c r="J683" s="306">
        <f t="shared" ca="1" si="304"/>
        <v>588.9746359926213</v>
      </c>
      <c r="K683" s="307">
        <f t="shared" ca="1" si="305"/>
        <v>-10.246982202776165</v>
      </c>
      <c r="L683" s="304">
        <f t="shared" ca="1" si="290"/>
        <v>589.06376775940373</v>
      </c>
      <c r="M683" s="306">
        <f t="shared" ca="1" si="306"/>
        <v>-1.5093392175296874</v>
      </c>
      <c r="N683" s="304">
        <f t="shared" ca="1" si="307"/>
        <v>-86.47876701802916</v>
      </c>
      <c r="P683" s="310">
        <f t="shared" ca="1" si="308"/>
        <v>23</v>
      </c>
      <c r="Q683" s="304">
        <f t="shared" ca="1" si="309"/>
        <v>0</v>
      </c>
      <c r="R683" s="306">
        <f t="shared" ca="1" si="310"/>
        <v>0</v>
      </c>
      <c r="S683" s="307">
        <f t="shared" ca="1" si="311"/>
        <v>2.5949999999999998</v>
      </c>
      <c r="T683" s="304">
        <f t="shared" ca="1" si="291"/>
        <v>25.456949999999999</v>
      </c>
      <c r="U683" s="311">
        <f t="shared" ca="1" si="292"/>
        <v>0</v>
      </c>
      <c r="V683" s="306">
        <f t="shared" ca="1" si="293"/>
        <v>1.226255898778462</v>
      </c>
      <c r="W683" s="304">
        <f t="shared" ca="1" si="294"/>
        <v>23.562474807090496</v>
      </c>
      <c r="Y683" s="314" t="str">
        <f t="shared" ca="1" si="312"/>
        <v/>
      </c>
      <c r="Z683" s="315" t="str">
        <f t="shared" ca="1" si="313"/>
        <v/>
      </c>
      <c r="AA683" s="316" t="str">
        <f t="shared" ca="1" si="314"/>
        <v/>
      </c>
      <c r="AC683" s="310" t="e">
        <f t="shared" ca="1" si="315"/>
        <v>#N/A</v>
      </c>
      <c r="AD683" s="323" t="e">
        <f t="shared" ca="1" si="316"/>
        <v>#N/A</v>
      </c>
      <c r="AE683" s="324" t="e">
        <f t="shared" ca="1" si="295"/>
        <v>#N/A</v>
      </c>
      <c r="AG683" s="306">
        <f t="shared" ca="1" si="317"/>
        <v>0.71154974916792035</v>
      </c>
      <c r="AH683" s="304">
        <f t="shared" ca="1" si="318"/>
        <v>-9.0799296377272487</v>
      </c>
    </row>
    <row r="684" spans="1:34" x14ac:dyDescent="0.2">
      <c r="A684" s="347">
        <f t="shared" ca="1" si="296"/>
        <v>1E-4</v>
      </c>
      <c r="B684" s="304">
        <f t="shared" ca="1" si="297"/>
        <v>32.529700000001156</v>
      </c>
      <c r="D684" s="306">
        <f t="shared" ca="1" si="298"/>
        <v>-0.55767637736984688</v>
      </c>
      <c r="E684" s="307">
        <f t="shared" ca="1" si="299"/>
        <v>-0.74719022867057738</v>
      </c>
      <c r="F684" s="304">
        <f t="shared" ca="1" si="300"/>
        <v>0.93236054168821714</v>
      </c>
      <c r="G684" s="306">
        <f t="shared" ca="1" si="301"/>
        <v>5.9494675325705346</v>
      </c>
      <c r="H684" s="307">
        <f t="shared" ca="1" si="302"/>
        <v>-96.685894825260974</v>
      </c>
      <c r="I684" s="304">
        <f t="shared" ca="1" si="303"/>
        <v>96.868769074880561</v>
      </c>
      <c r="J684" s="306">
        <f t="shared" ca="1" si="304"/>
        <v>588.9746359926213</v>
      </c>
      <c r="K684" s="307">
        <f t="shared" ca="1" si="305"/>
        <v>-10.256650788522739</v>
      </c>
      <c r="L684" s="304">
        <f t="shared" ca="1" si="290"/>
        <v>589.06393602735386</v>
      </c>
      <c r="M684" s="306">
        <f t="shared" ca="1" si="306"/>
        <v>-1.5093398395204485</v>
      </c>
      <c r="N684" s="304">
        <f t="shared" ca="1" si="307"/>
        <v>-86.478802655474666</v>
      </c>
      <c r="P684" s="310">
        <f t="shared" ca="1" si="308"/>
        <v>23</v>
      </c>
      <c r="Q684" s="304">
        <f t="shared" ca="1" si="309"/>
        <v>0</v>
      </c>
      <c r="R684" s="306">
        <f t="shared" ca="1" si="310"/>
        <v>0</v>
      </c>
      <c r="S684" s="307">
        <f t="shared" ca="1" si="311"/>
        <v>2.5949999999999998</v>
      </c>
      <c r="T684" s="304">
        <f t="shared" ca="1" si="291"/>
        <v>25.456949999999999</v>
      </c>
      <c r="U684" s="311">
        <f t="shared" ca="1" si="292"/>
        <v>0</v>
      </c>
      <c r="V684" s="306">
        <f t="shared" ca="1" si="293"/>
        <v>1.2262570843953771</v>
      </c>
      <c r="W684" s="304">
        <f t="shared" ca="1" si="294"/>
        <v>23.562532203352987</v>
      </c>
      <c r="Y684" s="314" t="str">
        <f t="shared" ca="1" si="312"/>
        <v/>
      </c>
      <c r="Z684" s="315" t="str">
        <f t="shared" ca="1" si="313"/>
        <v/>
      </c>
      <c r="AA684" s="316" t="str">
        <f t="shared" ca="1" si="314"/>
        <v/>
      </c>
      <c r="AC684" s="310" t="e">
        <f t="shared" ca="1" si="315"/>
        <v>#N/A</v>
      </c>
      <c r="AD684" s="323" t="e">
        <f t="shared" ca="1" si="316"/>
        <v>#N/A</v>
      </c>
      <c r="AE684" s="324" t="e">
        <f t="shared" ca="1" si="295"/>
        <v>#N/A</v>
      </c>
      <c r="AG684" s="306">
        <f t="shared" ca="1" si="317"/>
        <v>0.71152800555552176</v>
      </c>
      <c r="AH684" s="304">
        <f t="shared" ca="1" si="318"/>
        <v>-9.0799517561042382</v>
      </c>
    </row>
    <row r="685" spans="1:34" x14ac:dyDescent="0.2">
      <c r="A685" s="347">
        <f t="shared" ca="1" si="296"/>
        <v>1E-4</v>
      </c>
      <c r="B685" s="304">
        <f t="shared" ca="1" si="297"/>
        <v>32.52980000000116</v>
      </c>
      <c r="D685" s="306">
        <f t="shared" ca="1" si="298"/>
        <v>-0.55767209882612767</v>
      </c>
      <c r="E685" s="307">
        <f t="shared" ca="1" si="299"/>
        <v>-0.74716780553817586</v>
      </c>
      <c r="F685" s="304">
        <f t="shared" ca="1" si="300"/>
        <v>0.93234001278603917</v>
      </c>
      <c r="G685" s="306">
        <f t="shared" ca="1" si="301"/>
        <v>5.9494117653606517</v>
      </c>
      <c r="H685" s="307">
        <f t="shared" ca="1" si="302"/>
        <v>-96.685969542041533</v>
      </c>
      <c r="I685" s="304">
        <f t="shared" ca="1" si="303"/>
        <v>96.868840225525545</v>
      </c>
      <c r="J685" s="306">
        <f t="shared" ca="1" si="304"/>
        <v>588.9746359926213</v>
      </c>
      <c r="K685" s="307">
        <f t="shared" ca="1" si="305"/>
        <v>-10.266319381741104</v>
      </c>
      <c r="L685" s="304">
        <f t="shared" ca="1" si="290"/>
        <v>589.06410445408119</v>
      </c>
      <c r="M685" s="306">
        <f t="shared" ca="1" si="306"/>
        <v>-1.5093404615044657</v>
      </c>
      <c r="N685" s="304">
        <f t="shared" ca="1" si="307"/>
        <v>-86.47883829253378</v>
      </c>
      <c r="P685" s="310">
        <f t="shared" ca="1" si="308"/>
        <v>23</v>
      </c>
      <c r="Q685" s="304">
        <f t="shared" ca="1" si="309"/>
        <v>0</v>
      </c>
      <c r="R685" s="306">
        <f t="shared" ca="1" si="310"/>
        <v>0</v>
      </c>
      <c r="S685" s="307">
        <f t="shared" ca="1" si="311"/>
        <v>2.5949999999999998</v>
      </c>
      <c r="T685" s="304">
        <f t="shared" ca="1" si="291"/>
        <v>25.456949999999999</v>
      </c>
      <c r="U685" s="311">
        <f t="shared" ca="1" si="292"/>
        <v>0</v>
      </c>
      <c r="V685" s="306">
        <f t="shared" ca="1" si="293"/>
        <v>1.2262582700143554</v>
      </c>
      <c r="W685" s="304">
        <f t="shared" ca="1" si="294"/>
        <v>23.562589598689726</v>
      </c>
      <c r="Y685" s="314" t="str">
        <f t="shared" ca="1" si="312"/>
        <v/>
      </c>
      <c r="Z685" s="315" t="str">
        <f t="shared" ca="1" si="313"/>
        <v/>
      </c>
      <c r="AA685" s="316" t="str">
        <f t="shared" ca="1" si="314"/>
        <v/>
      </c>
      <c r="AC685" s="310" t="e">
        <f t="shared" ca="1" si="315"/>
        <v>#N/A</v>
      </c>
      <c r="AD685" s="323" t="e">
        <f t="shared" ca="1" si="316"/>
        <v>#N/A</v>
      </c>
      <c r="AE685" s="324" t="e">
        <f t="shared" ca="1" si="295"/>
        <v>#N/A</v>
      </c>
      <c r="AG685" s="306">
        <f t="shared" ca="1" si="317"/>
        <v>0.71150626229203695</v>
      </c>
      <c r="AH685" s="304">
        <f t="shared" ca="1" si="318"/>
        <v>-9.079973874124466</v>
      </c>
    </row>
    <row r="686" spans="1:34" x14ac:dyDescent="0.2">
      <c r="A686" s="347">
        <f t="shared" ca="1" si="296"/>
        <v>1E-4</v>
      </c>
      <c r="B686" s="304">
        <f t="shared" ca="1" si="297"/>
        <v>32.529900000001163</v>
      </c>
      <c r="D686" s="306">
        <f t="shared" ca="1" si="298"/>
        <v>-0.55766782029393935</v>
      </c>
      <c r="E686" s="307">
        <f t="shared" ca="1" si="299"/>
        <v>-0.74714538276742282</v>
      </c>
      <c r="F686" s="304">
        <f t="shared" ca="1" si="300"/>
        <v>0.93231948428747968</v>
      </c>
      <c r="G686" s="306">
        <f t="shared" ca="1" si="301"/>
        <v>5.9493559985786222</v>
      </c>
      <c r="H686" s="307">
        <f t="shared" ca="1" si="302"/>
        <v>-96.686044256579805</v>
      </c>
      <c r="I686" s="304">
        <f t="shared" ca="1" si="303"/>
        <v>96.868911373996198</v>
      </c>
      <c r="J686" s="306">
        <f t="shared" ca="1" si="304"/>
        <v>588.9746359926213</v>
      </c>
      <c r="K686" s="307">
        <f t="shared" ca="1" si="305"/>
        <v>-10.275987982431035</v>
      </c>
      <c r="L686" s="304">
        <f t="shared" ca="1" si="290"/>
        <v>589.06427303958594</v>
      </c>
      <c r="M686" s="306">
        <f t="shared" ca="1" si="306"/>
        <v>-1.5093410834817389</v>
      </c>
      <c r="N686" s="304">
        <f t="shared" ca="1" si="307"/>
        <v>-86.478873929206486</v>
      </c>
      <c r="P686" s="310">
        <f t="shared" ca="1" si="308"/>
        <v>23</v>
      </c>
      <c r="Q686" s="304">
        <f t="shared" ca="1" si="309"/>
        <v>0</v>
      </c>
      <c r="R686" s="306">
        <f t="shared" ca="1" si="310"/>
        <v>0</v>
      </c>
      <c r="S686" s="307">
        <f t="shared" ca="1" si="311"/>
        <v>2.5949999999999998</v>
      </c>
      <c r="T686" s="304">
        <f t="shared" ca="1" si="291"/>
        <v>25.456949999999999</v>
      </c>
      <c r="U686" s="311">
        <f t="shared" ca="1" si="292"/>
        <v>0</v>
      </c>
      <c r="V686" s="306">
        <f t="shared" ca="1" si="293"/>
        <v>1.2262594556353965</v>
      </c>
      <c r="W686" s="304">
        <f t="shared" ca="1" si="294"/>
        <v>23.562646993100667</v>
      </c>
      <c r="Y686" s="314" t="str">
        <f t="shared" ca="1" si="312"/>
        <v/>
      </c>
      <c r="Z686" s="315" t="str">
        <f t="shared" ca="1" si="313"/>
        <v/>
      </c>
      <c r="AA686" s="316" t="str">
        <f t="shared" ca="1" si="314"/>
        <v/>
      </c>
      <c r="AC686" s="310" t="e">
        <f t="shared" ca="1" si="315"/>
        <v>#N/A</v>
      </c>
      <c r="AD686" s="323" t="e">
        <f t="shared" ca="1" si="316"/>
        <v>#N/A</v>
      </c>
      <c r="AE686" s="324" t="e">
        <f t="shared" ca="1" si="295"/>
        <v>#N/A</v>
      </c>
      <c r="AG686" s="306">
        <f t="shared" ca="1" si="317"/>
        <v>0.71148451937744284</v>
      </c>
      <c r="AH686" s="304">
        <f t="shared" ca="1" si="318"/>
        <v>-9.0799959917879498</v>
      </c>
    </row>
    <row r="687" spans="1:34" x14ac:dyDescent="0.2">
      <c r="A687" s="347">
        <f t="shared" ca="1" si="296"/>
        <v>1E-4</v>
      </c>
      <c r="B687" s="304">
        <f t="shared" ca="1" si="297"/>
        <v>32.530000000001166</v>
      </c>
      <c r="D687" s="306">
        <f t="shared" ca="1" si="298"/>
        <v>-0.55766354177328192</v>
      </c>
      <c r="E687" s="307">
        <f t="shared" ca="1" si="299"/>
        <v>-0.74712296035833781</v>
      </c>
      <c r="F687" s="304">
        <f t="shared" ca="1" si="300"/>
        <v>0.93229895619255487</v>
      </c>
      <c r="G687" s="306">
        <f t="shared" ca="1" si="301"/>
        <v>5.949300232224445</v>
      </c>
      <c r="H687" s="307">
        <f t="shared" ca="1" si="302"/>
        <v>-96.686118968875846</v>
      </c>
      <c r="I687" s="304">
        <f t="shared" ca="1" si="303"/>
        <v>96.868982520292633</v>
      </c>
      <c r="J687" s="306">
        <f t="shared" ca="1" si="304"/>
        <v>588.9746359926213</v>
      </c>
      <c r="K687" s="307">
        <f t="shared" ca="1" si="305"/>
        <v>-10.285656590592307</v>
      </c>
      <c r="L687" s="304">
        <f t="shared" ca="1" si="290"/>
        <v>589.06444178386823</v>
      </c>
      <c r="M687" s="306">
        <f t="shared" ca="1" si="306"/>
        <v>-1.5093417054522684</v>
      </c>
      <c r="N687" s="304">
        <f t="shared" ca="1" si="307"/>
        <v>-86.478909565492813</v>
      </c>
      <c r="P687" s="310">
        <f t="shared" ca="1" si="308"/>
        <v>23</v>
      </c>
      <c r="Q687" s="304">
        <f t="shared" ca="1" si="309"/>
        <v>0</v>
      </c>
      <c r="R687" s="306">
        <f t="shared" ca="1" si="310"/>
        <v>0</v>
      </c>
      <c r="S687" s="307">
        <f t="shared" ca="1" si="311"/>
        <v>2.5949999999999998</v>
      </c>
      <c r="T687" s="304">
        <f t="shared" ca="1" si="291"/>
        <v>25.456949999999999</v>
      </c>
      <c r="U687" s="311">
        <f t="shared" ca="1" si="292"/>
        <v>0</v>
      </c>
      <c r="V687" s="306">
        <f t="shared" ca="1" si="293"/>
        <v>1.2262606412585011</v>
      </c>
      <c r="W687" s="304">
        <f t="shared" ca="1" si="294"/>
        <v>23.562704386585892</v>
      </c>
      <c r="Y687" s="314" t="str">
        <f t="shared" ca="1" si="312"/>
        <v/>
      </c>
      <c r="Z687" s="315" t="str">
        <f t="shared" ca="1" si="313"/>
        <v/>
      </c>
      <c r="AA687" s="316" t="str">
        <f t="shared" ca="1" si="314"/>
        <v/>
      </c>
      <c r="AC687" s="310" t="e">
        <f t="shared" ca="1" si="315"/>
        <v>#N/A</v>
      </c>
      <c r="AD687" s="323" t="e">
        <f t="shared" ca="1" si="316"/>
        <v>#N/A</v>
      </c>
      <c r="AE687" s="324" t="e">
        <f t="shared" ca="1" si="295"/>
        <v>#N/A</v>
      </c>
      <c r="AG687" s="306">
        <f t="shared" ca="1" si="317"/>
        <v>0.71146277681176073</v>
      </c>
      <c r="AH687" s="304">
        <f t="shared" ca="1" si="318"/>
        <v>-9.0800181090946701</v>
      </c>
    </row>
    <row r="688" spans="1:34" x14ac:dyDescent="0.2">
      <c r="A688" s="347">
        <f t="shared" ca="1" si="296"/>
        <v>1E-4</v>
      </c>
      <c r="B688" s="304">
        <f t="shared" ca="1" si="297"/>
        <v>32.53010000000117</v>
      </c>
      <c r="D688" s="306">
        <f t="shared" ca="1" si="298"/>
        <v>-0.55765926326415638</v>
      </c>
      <c r="E688" s="307">
        <f t="shared" ca="1" si="299"/>
        <v>-0.7471005383108853</v>
      </c>
      <c r="F688" s="304">
        <f t="shared" ca="1" si="300"/>
        <v>0.9322784285012371</v>
      </c>
      <c r="G688" s="306">
        <f t="shared" ca="1" si="301"/>
        <v>5.9492444662981185</v>
      </c>
      <c r="H688" s="307">
        <f t="shared" ca="1" si="302"/>
        <v>-96.686193678929683</v>
      </c>
      <c r="I688" s="304">
        <f t="shared" ca="1" si="303"/>
        <v>96.869053664414835</v>
      </c>
      <c r="J688" s="306">
        <f t="shared" ca="1" si="304"/>
        <v>588.9746359926213</v>
      </c>
      <c r="K688" s="307">
        <f t="shared" ca="1" si="305"/>
        <v>-10.295325206224698</v>
      </c>
      <c r="L688" s="304">
        <f t="shared" ca="1" si="290"/>
        <v>589.06461068692852</v>
      </c>
      <c r="M688" s="306">
        <f t="shared" ca="1" si="306"/>
        <v>-1.5093423274160545</v>
      </c>
      <c r="N688" s="304">
        <f t="shared" ca="1" si="307"/>
        <v>-86.478945201392762</v>
      </c>
      <c r="P688" s="310">
        <f t="shared" ca="1" si="308"/>
        <v>23</v>
      </c>
      <c r="Q688" s="304">
        <f t="shared" ca="1" si="309"/>
        <v>0</v>
      </c>
      <c r="R688" s="306">
        <f t="shared" ca="1" si="310"/>
        <v>0</v>
      </c>
      <c r="S688" s="307">
        <f t="shared" ca="1" si="311"/>
        <v>2.5949999999999998</v>
      </c>
      <c r="T688" s="304">
        <f t="shared" ca="1" si="291"/>
        <v>25.456949999999999</v>
      </c>
      <c r="U688" s="311">
        <f t="shared" ca="1" si="292"/>
        <v>0</v>
      </c>
      <c r="V688" s="306">
        <f t="shared" ca="1" si="293"/>
        <v>1.2262618268836687</v>
      </c>
      <c r="W688" s="304">
        <f t="shared" ca="1" si="294"/>
        <v>23.562761779145369</v>
      </c>
      <c r="Y688" s="314" t="str">
        <f t="shared" ca="1" si="312"/>
        <v/>
      </c>
      <c r="Z688" s="315" t="str">
        <f t="shared" ca="1" si="313"/>
        <v/>
      </c>
      <c r="AA688" s="316" t="str">
        <f t="shared" ca="1" si="314"/>
        <v/>
      </c>
      <c r="AC688" s="310" t="e">
        <f t="shared" ca="1" si="315"/>
        <v>#N/A</v>
      </c>
      <c r="AD688" s="323" t="e">
        <f t="shared" ca="1" si="316"/>
        <v>#N/A</v>
      </c>
      <c r="AE688" s="324" t="e">
        <f t="shared" ca="1" si="295"/>
        <v>#N/A</v>
      </c>
      <c r="AG688" s="306">
        <f t="shared" ca="1" si="317"/>
        <v>0.71144103459495867</v>
      </c>
      <c r="AH688" s="304">
        <f t="shared" ca="1" si="318"/>
        <v>-9.0800402260446607</v>
      </c>
    </row>
    <row r="689" spans="1:34" x14ac:dyDescent="0.2">
      <c r="A689" s="347">
        <f t="shared" ca="1" si="296"/>
        <v>1E-4</v>
      </c>
      <c r="B689" s="304">
        <f t="shared" ca="1" si="297"/>
        <v>32.530200000001173</v>
      </c>
      <c r="D689" s="306">
        <f t="shared" ca="1" si="298"/>
        <v>-0.55765498476656128</v>
      </c>
      <c r="E689" s="307">
        <f t="shared" ca="1" si="299"/>
        <v>-0.74707811662508128</v>
      </c>
      <c r="F689" s="304">
        <f t="shared" ca="1" si="300"/>
        <v>0.9322579012135388</v>
      </c>
      <c r="G689" s="306">
        <f t="shared" ca="1" si="301"/>
        <v>5.9491887007996418</v>
      </c>
      <c r="H689" s="307">
        <f t="shared" ca="1" si="302"/>
        <v>-96.686268386741347</v>
      </c>
      <c r="I689" s="304">
        <f t="shared" ca="1" si="303"/>
        <v>96.869124806362848</v>
      </c>
      <c r="J689" s="306">
        <f t="shared" ca="1" si="304"/>
        <v>588.9746359926213</v>
      </c>
      <c r="K689" s="307">
        <f t="shared" ca="1" si="305"/>
        <v>-10.304993829327982</v>
      </c>
      <c r="L689" s="304">
        <f t="shared" ca="1" si="290"/>
        <v>589.06477974876691</v>
      </c>
      <c r="M689" s="306">
        <f t="shared" ca="1" si="306"/>
        <v>-1.5093429493730968</v>
      </c>
      <c r="N689" s="304">
        <f t="shared" ca="1" si="307"/>
        <v>-86.478980836906331</v>
      </c>
      <c r="P689" s="310">
        <f t="shared" ca="1" si="308"/>
        <v>23</v>
      </c>
      <c r="Q689" s="304">
        <f t="shared" ca="1" si="309"/>
        <v>0</v>
      </c>
      <c r="R689" s="306">
        <f t="shared" ca="1" si="310"/>
        <v>0</v>
      </c>
      <c r="S689" s="307">
        <f t="shared" ca="1" si="311"/>
        <v>2.5949999999999998</v>
      </c>
      <c r="T689" s="304">
        <f t="shared" ca="1" si="291"/>
        <v>25.456949999999999</v>
      </c>
      <c r="U689" s="311">
        <f t="shared" ca="1" si="292"/>
        <v>0</v>
      </c>
      <c r="V689" s="306">
        <f t="shared" ca="1" si="293"/>
        <v>1.2262630125108995</v>
      </c>
      <c r="W689" s="304">
        <f t="shared" ca="1" si="294"/>
        <v>23.562819170779125</v>
      </c>
      <c r="Y689" s="314" t="str">
        <f t="shared" ca="1" si="312"/>
        <v/>
      </c>
      <c r="Z689" s="315" t="str">
        <f t="shared" ca="1" si="313"/>
        <v/>
      </c>
      <c r="AA689" s="316" t="str">
        <f t="shared" ca="1" si="314"/>
        <v/>
      </c>
      <c r="AC689" s="310" t="e">
        <f t="shared" ca="1" si="315"/>
        <v>#N/A</v>
      </c>
      <c r="AD689" s="323" t="e">
        <f t="shared" ca="1" si="316"/>
        <v>#N/A</v>
      </c>
      <c r="AE689" s="324" t="e">
        <f t="shared" ca="1" si="295"/>
        <v>#N/A</v>
      </c>
      <c r="AG689" s="306">
        <f t="shared" ca="1" si="317"/>
        <v>0.71141929272704729</v>
      </c>
      <c r="AH689" s="304">
        <f t="shared" ca="1" si="318"/>
        <v>-9.0800623426379072</v>
      </c>
    </row>
    <row r="690" spans="1:34" x14ac:dyDescent="0.2">
      <c r="A690" s="347">
        <f t="shared" ca="1" si="296"/>
        <v>1E-4</v>
      </c>
      <c r="B690" s="304">
        <f t="shared" ca="1" si="297"/>
        <v>32.530300000001176</v>
      </c>
      <c r="D690" s="306">
        <f t="shared" ca="1" si="298"/>
        <v>-0.55765070628050017</v>
      </c>
      <c r="E690" s="307">
        <f t="shared" ca="1" si="299"/>
        <v>-0.74705569530091154</v>
      </c>
      <c r="F690" s="304">
        <f t="shared" ca="1" si="300"/>
        <v>0.93223737432945109</v>
      </c>
      <c r="G690" s="306">
        <f t="shared" ca="1" si="301"/>
        <v>5.9491329357290139</v>
      </c>
      <c r="H690" s="307">
        <f t="shared" ca="1" si="302"/>
        <v>-96.686343092310878</v>
      </c>
      <c r="I690" s="304">
        <f t="shared" ca="1" si="303"/>
        <v>96.869195946136699</v>
      </c>
      <c r="J690" s="306">
        <f t="shared" ca="1" si="304"/>
        <v>588.9746359926213</v>
      </c>
      <c r="K690" s="307">
        <f t="shared" ca="1" si="305"/>
        <v>-10.314662459901934</v>
      </c>
      <c r="L690" s="304">
        <f t="shared" ca="1" si="290"/>
        <v>589.06494896938352</v>
      </c>
      <c r="M690" s="306">
        <f t="shared" ca="1" si="306"/>
        <v>-1.5093435713233958</v>
      </c>
      <c r="N690" s="304">
        <f t="shared" ca="1" si="307"/>
        <v>-86.479016472033535</v>
      </c>
      <c r="P690" s="310">
        <f t="shared" ca="1" si="308"/>
        <v>23</v>
      </c>
      <c r="Q690" s="304">
        <f t="shared" ca="1" si="309"/>
        <v>0</v>
      </c>
      <c r="R690" s="306">
        <f t="shared" ca="1" si="310"/>
        <v>0</v>
      </c>
      <c r="S690" s="307">
        <f t="shared" ca="1" si="311"/>
        <v>2.5949999999999998</v>
      </c>
      <c r="T690" s="304">
        <f t="shared" ca="1" si="291"/>
        <v>25.456949999999999</v>
      </c>
      <c r="U690" s="311">
        <f t="shared" ca="1" si="292"/>
        <v>0</v>
      </c>
      <c r="V690" s="306">
        <f t="shared" ca="1" si="293"/>
        <v>1.2262641981401932</v>
      </c>
      <c r="W690" s="304">
        <f t="shared" ca="1" si="294"/>
        <v>23.562876561487162</v>
      </c>
      <c r="Y690" s="314" t="str">
        <f t="shared" ca="1" si="312"/>
        <v/>
      </c>
      <c r="Z690" s="315" t="str">
        <f t="shared" ca="1" si="313"/>
        <v/>
      </c>
      <c r="AA690" s="316" t="str">
        <f t="shared" ca="1" si="314"/>
        <v/>
      </c>
      <c r="AC690" s="310" t="e">
        <f t="shared" ca="1" si="315"/>
        <v>#N/A</v>
      </c>
      <c r="AD690" s="323" t="e">
        <f t="shared" ca="1" si="316"/>
        <v>#N/A</v>
      </c>
      <c r="AE690" s="324" t="e">
        <f t="shared" ca="1" si="295"/>
        <v>#N/A</v>
      </c>
      <c r="AG690" s="306">
        <f t="shared" ca="1" si="317"/>
        <v>0.71139755120801951</v>
      </c>
      <c r="AH690" s="304">
        <f t="shared" ca="1" si="318"/>
        <v>-9.0800844588744223</v>
      </c>
    </row>
    <row r="691" spans="1:34" x14ac:dyDescent="0.2">
      <c r="A691" s="347">
        <f t="shared" ca="1" si="296"/>
        <v>1E-4</v>
      </c>
      <c r="B691" s="304">
        <f t="shared" ca="1" si="297"/>
        <v>32.53040000000118</v>
      </c>
      <c r="D691" s="306">
        <f t="shared" ca="1" si="298"/>
        <v>-0.55764642780597029</v>
      </c>
      <c r="E691" s="307">
        <f t="shared" ca="1" si="299"/>
        <v>-0.7470332743383743</v>
      </c>
      <c r="F691" s="304">
        <f t="shared" ca="1" si="300"/>
        <v>0.93221684784897119</v>
      </c>
      <c r="G691" s="306">
        <f t="shared" ca="1" si="301"/>
        <v>5.9490771710862331</v>
      </c>
      <c r="H691" s="307">
        <f t="shared" ca="1" si="302"/>
        <v>-96.686417795638306</v>
      </c>
      <c r="I691" s="304">
        <f t="shared" ca="1" si="303"/>
        <v>96.869267083736432</v>
      </c>
      <c r="J691" s="306">
        <f t="shared" ca="1" si="304"/>
        <v>588.9746359926213</v>
      </c>
      <c r="K691" s="307">
        <f t="shared" ca="1" si="305"/>
        <v>-10.324331097946331</v>
      </c>
      <c r="L691" s="304">
        <f t="shared" ca="1" si="290"/>
        <v>589.06511834877881</v>
      </c>
      <c r="M691" s="306">
        <f t="shared" ca="1" si="306"/>
        <v>-1.5093441932669511</v>
      </c>
      <c r="N691" s="304">
        <f t="shared" ca="1" si="307"/>
        <v>-86.479052106774347</v>
      </c>
      <c r="P691" s="310">
        <f t="shared" ca="1" si="308"/>
        <v>23</v>
      </c>
      <c r="Q691" s="304">
        <f t="shared" ca="1" si="309"/>
        <v>0</v>
      </c>
      <c r="R691" s="306">
        <f t="shared" ca="1" si="310"/>
        <v>0</v>
      </c>
      <c r="S691" s="307">
        <f t="shared" ca="1" si="311"/>
        <v>2.5949999999999998</v>
      </c>
      <c r="T691" s="304">
        <f t="shared" ca="1" si="291"/>
        <v>25.456949999999999</v>
      </c>
      <c r="U691" s="311">
        <f t="shared" ca="1" si="292"/>
        <v>0</v>
      </c>
      <c r="V691" s="306">
        <f t="shared" ca="1" si="293"/>
        <v>1.2262653837715494</v>
      </c>
      <c r="W691" s="304">
        <f t="shared" ca="1" si="294"/>
        <v>23.562933951269475</v>
      </c>
      <c r="Y691" s="314" t="str">
        <f t="shared" ca="1" si="312"/>
        <v/>
      </c>
      <c r="Z691" s="315" t="str">
        <f t="shared" ca="1" si="313"/>
        <v/>
      </c>
      <c r="AA691" s="316" t="str">
        <f t="shared" ca="1" si="314"/>
        <v/>
      </c>
      <c r="AC691" s="310" t="e">
        <f t="shared" ca="1" si="315"/>
        <v>#N/A</v>
      </c>
      <c r="AD691" s="323" t="e">
        <f t="shared" ca="1" si="316"/>
        <v>#N/A</v>
      </c>
      <c r="AE691" s="324" t="e">
        <f t="shared" ca="1" si="295"/>
        <v>#N/A</v>
      </c>
      <c r="AG691" s="306">
        <f t="shared" ca="1" si="317"/>
        <v>0.71137581003787353</v>
      </c>
      <c r="AH691" s="304">
        <f t="shared" ca="1" si="318"/>
        <v>-9.0801065747542058</v>
      </c>
    </row>
    <row r="692" spans="1:34" x14ac:dyDescent="0.2">
      <c r="A692" s="347">
        <f t="shared" ca="1" si="296"/>
        <v>1E-4</v>
      </c>
      <c r="B692" s="304">
        <f t="shared" ca="1" si="297"/>
        <v>32.530500000001183</v>
      </c>
      <c r="D692" s="306">
        <f t="shared" ca="1" si="298"/>
        <v>-0.55764214934297673</v>
      </c>
      <c r="E692" s="307">
        <f t="shared" ca="1" si="299"/>
        <v>-0.74701085373747667</v>
      </c>
      <c r="F692" s="304">
        <f t="shared" ca="1" si="300"/>
        <v>0.93219632177210854</v>
      </c>
      <c r="G692" s="306">
        <f t="shared" ca="1" si="301"/>
        <v>5.9490214068712985</v>
      </c>
      <c r="H692" s="307">
        <f t="shared" ca="1" si="302"/>
        <v>-96.686492496723673</v>
      </c>
      <c r="I692" s="304">
        <f t="shared" ca="1" si="303"/>
        <v>96.869338219162088</v>
      </c>
      <c r="J692" s="306">
        <f t="shared" ca="1" si="304"/>
        <v>588.9746359926213</v>
      </c>
      <c r="K692" s="307">
        <f t="shared" ca="1" si="305"/>
        <v>-10.333999743460948</v>
      </c>
      <c r="L692" s="304">
        <f t="shared" ca="1" si="290"/>
        <v>589.06528788695289</v>
      </c>
      <c r="M692" s="306">
        <f t="shared" ca="1" si="306"/>
        <v>-1.5093448152037634</v>
      </c>
      <c r="N692" s="304">
        <f t="shared" ca="1" si="307"/>
        <v>-86.479087741128808</v>
      </c>
      <c r="P692" s="310">
        <f t="shared" ca="1" si="308"/>
        <v>23</v>
      </c>
      <c r="Q692" s="304">
        <f t="shared" ca="1" si="309"/>
        <v>0</v>
      </c>
      <c r="R692" s="306">
        <f t="shared" ca="1" si="310"/>
        <v>0</v>
      </c>
      <c r="S692" s="307">
        <f t="shared" ca="1" si="311"/>
        <v>2.5949999999999998</v>
      </c>
      <c r="T692" s="304">
        <f t="shared" ca="1" si="291"/>
        <v>25.456949999999999</v>
      </c>
      <c r="U692" s="311">
        <f t="shared" ca="1" si="292"/>
        <v>0</v>
      </c>
      <c r="V692" s="306">
        <f t="shared" ca="1" si="293"/>
        <v>1.2262665694049693</v>
      </c>
      <c r="W692" s="304">
        <f t="shared" ca="1" si="294"/>
        <v>23.562991340126114</v>
      </c>
      <c r="Y692" s="314" t="str">
        <f t="shared" ca="1" si="312"/>
        <v/>
      </c>
      <c r="Z692" s="315" t="str">
        <f t="shared" ca="1" si="313"/>
        <v/>
      </c>
      <c r="AA692" s="316" t="str">
        <f t="shared" ca="1" si="314"/>
        <v/>
      </c>
      <c r="AC692" s="310" t="e">
        <f t="shared" ca="1" si="315"/>
        <v>#N/A</v>
      </c>
      <c r="AD692" s="323" t="e">
        <f t="shared" ca="1" si="316"/>
        <v>#N/A</v>
      </c>
      <c r="AE692" s="324" t="e">
        <f t="shared" ca="1" si="295"/>
        <v>#N/A</v>
      </c>
      <c r="AG692" s="306">
        <f t="shared" ca="1" si="317"/>
        <v>0.71135406921660937</v>
      </c>
      <c r="AH692" s="304">
        <f t="shared" ca="1" si="318"/>
        <v>-9.080128690277256</v>
      </c>
    </row>
    <row r="693" spans="1:34" x14ac:dyDescent="0.2">
      <c r="A693" s="347">
        <f t="shared" ca="1" si="296"/>
        <v>1E-4</v>
      </c>
      <c r="B693" s="304">
        <f t="shared" ca="1" si="297"/>
        <v>32.530600000001186</v>
      </c>
      <c r="D693" s="306">
        <f t="shared" ca="1" si="298"/>
        <v>-0.55763787089151562</v>
      </c>
      <c r="E693" s="307">
        <f t="shared" ca="1" si="299"/>
        <v>-0.74698843349819732</v>
      </c>
      <c r="F693" s="304">
        <f t="shared" ca="1" si="300"/>
        <v>0.93217579609884393</v>
      </c>
      <c r="G693" s="306">
        <f t="shared" ca="1" si="301"/>
        <v>5.9489656430842093</v>
      </c>
      <c r="H693" s="307">
        <f t="shared" ca="1" si="302"/>
        <v>-96.686567195567022</v>
      </c>
      <c r="I693" s="304">
        <f t="shared" ca="1" si="303"/>
        <v>96.869409352413697</v>
      </c>
      <c r="J693" s="306">
        <f t="shared" ca="1" si="304"/>
        <v>588.9746359926213</v>
      </c>
      <c r="K693" s="307">
        <f t="shared" ca="1" si="305"/>
        <v>-10.343668396445564</v>
      </c>
      <c r="L693" s="304">
        <f t="shared" ca="1" si="290"/>
        <v>589.06545758390587</v>
      </c>
      <c r="M693" s="306">
        <f t="shared" ca="1" si="306"/>
        <v>-1.5093454371338326</v>
      </c>
      <c r="N693" s="304">
        <f t="shared" ca="1" si="307"/>
        <v>-86.479123375096933</v>
      </c>
      <c r="P693" s="310">
        <f t="shared" ca="1" si="308"/>
        <v>23</v>
      </c>
      <c r="Q693" s="304">
        <f t="shared" ca="1" si="309"/>
        <v>0</v>
      </c>
      <c r="R693" s="306">
        <f t="shared" ca="1" si="310"/>
        <v>0</v>
      </c>
      <c r="S693" s="307">
        <f t="shared" ca="1" si="311"/>
        <v>2.5949999999999998</v>
      </c>
      <c r="T693" s="304">
        <f t="shared" ca="1" si="291"/>
        <v>25.456949999999999</v>
      </c>
      <c r="U693" s="311">
        <f t="shared" ca="1" si="292"/>
        <v>0</v>
      </c>
      <c r="V693" s="306">
        <f t="shared" ca="1" si="293"/>
        <v>1.2262677550404522</v>
      </c>
      <c r="W693" s="304">
        <f t="shared" ca="1" si="294"/>
        <v>23.56304872805708</v>
      </c>
      <c r="Y693" s="314" t="str">
        <f t="shared" ca="1" si="312"/>
        <v/>
      </c>
      <c r="Z693" s="315" t="str">
        <f t="shared" ca="1" si="313"/>
        <v/>
      </c>
      <c r="AA693" s="316" t="str">
        <f t="shared" ca="1" si="314"/>
        <v/>
      </c>
      <c r="AC693" s="310" t="e">
        <f t="shared" ca="1" si="315"/>
        <v>#N/A</v>
      </c>
      <c r="AD693" s="323" t="e">
        <f t="shared" ca="1" si="316"/>
        <v>#N/A</v>
      </c>
      <c r="AE693" s="324" t="e">
        <f t="shared" ca="1" si="295"/>
        <v>#N/A</v>
      </c>
      <c r="AG693" s="306">
        <f t="shared" ca="1" si="317"/>
        <v>0.71133232874421104</v>
      </c>
      <c r="AH693" s="304">
        <f t="shared" ca="1" si="318"/>
        <v>-9.0801508054435907</v>
      </c>
    </row>
    <row r="694" spans="1:34" x14ac:dyDescent="0.2">
      <c r="A694" s="347">
        <f t="shared" ca="1" si="296"/>
        <v>1E-4</v>
      </c>
      <c r="B694" s="304">
        <f t="shared" ca="1" si="297"/>
        <v>32.53070000000119</v>
      </c>
      <c r="D694" s="306">
        <f t="shared" ca="1" si="298"/>
        <v>-0.55763359245158817</v>
      </c>
      <c r="E694" s="307">
        <f t="shared" ca="1" si="299"/>
        <v>-0.7469660136205345</v>
      </c>
      <c r="F694" s="304">
        <f t="shared" ca="1" si="300"/>
        <v>0.93215527082917704</v>
      </c>
      <c r="G694" s="306">
        <f t="shared" ca="1" si="301"/>
        <v>5.9489098797249644</v>
      </c>
      <c r="H694" s="307">
        <f t="shared" ca="1" si="302"/>
        <v>-96.686641892168382</v>
      </c>
      <c r="I694" s="304">
        <f t="shared" ca="1" si="303"/>
        <v>96.869480483491273</v>
      </c>
      <c r="J694" s="306">
        <f t="shared" ca="1" si="304"/>
        <v>588.9746359926213</v>
      </c>
      <c r="K694" s="307">
        <f t="shared" ca="1" si="305"/>
        <v>-10.353337056899951</v>
      </c>
      <c r="L694" s="304">
        <f t="shared" ca="1" si="290"/>
        <v>589.06562743963809</v>
      </c>
      <c r="M694" s="306">
        <f t="shared" ca="1" si="306"/>
        <v>-1.5093460590571586</v>
      </c>
      <c r="N694" s="304">
        <f t="shared" ca="1" si="307"/>
        <v>-86.479159008678693</v>
      </c>
      <c r="P694" s="310">
        <f t="shared" ca="1" si="308"/>
        <v>23</v>
      </c>
      <c r="Q694" s="304">
        <f t="shared" ca="1" si="309"/>
        <v>0</v>
      </c>
      <c r="R694" s="306">
        <f t="shared" ca="1" si="310"/>
        <v>0</v>
      </c>
      <c r="S694" s="307">
        <f t="shared" ca="1" si="311"/>
        <v>2.5949999999999998</v>
      </c>
      <c r="T694" s="304">
        <f t="shared" ca="1" si="291"/>
        <v>25.456949999999999</v>
      </c>
      <c r="U694" s="311">
        <f t="shared" ca="1" si="292"/>
        <v>0</v>
      </c>
      <c r="V694" s="306">
        <f t="shared" ca="1" si="293"/>
        <v>1.2262689406779974</v>
      </c>
      <c r="W694" s="304">
        <f t="shared" ca="1" si="294"/>
        <v>23.563106115062347</v>
      </c>
      <c r="Y694" s="314" t="str">
        <f t="shared" ca="1" si="312"/>
        <v/>
      </c>
      <c r="Z694" s="315" t="str">
        <f t="shared" ca="1" si="313"/>
        <v/>
      </c>
      <c r="AA694" s="316" t="str">
        <f t="shared" ca="1" si="314"/>
        <v/>
      </c>
      <c r="AC694" s="310" t="e">
        <f t="shared" ca="1" si="315"/>
        <v>#N/A</v>
      </c>
      <c r="AD694" s="323" t="e">
        <f t="shared" ca="1" si="316"/>
        <v>#N/A</v>
      </c>
      <c r="AE694" s="324" t="e">
        <f t="shared" ca="1" si="295"/>
        <v>#N/A</v>
      </c>
      <c r="AG694" s="306">
        <f t="shared" ca="1" si="317"/>
        <v>0.71131058862067498</v>
      </c>
      <c r="AH694" s="304">
        <f t="shared" ca="1" si="318"/>
        <v>-9.0801729202532115</v>
      </c>
    </row>
    <row r="695" spans="1:34" x14ac:dyDescent="0.2">
      <c r="A695" s="347">
        <f t="shared" ca="1" si="296"/>
        <v>1E-4</v>
      </c>
      <c r="B695" s="304">
        <f t="shared" ca="1" si="297"/>
        <v>32.530800000001193</v>
      </c>
      <c r="D695" s="306">
        <f t="shared" ca="1" si="298"/>
        <v>-0.55762931402319682</v>
      </c>
      <c r="E695" s="307">
        <f t="shared" ca="1" si="299"/>
        <v>-0.74694359410449884</v>
      </c>
      <c r="F695" s="304">
        <f t="shared" ca="1" si="300"/>
        <v>0.93213474596311841</v>
      </c>
      <c r="G695" s="306">
        <f t="shared" ca="1" si="301"/>
        <v>5.9488541167935622</v>
      </c>
      <c r="H695" s="307">
        <f t="shared" ca="1" si="302"/>
        <v>-96.686716586527794</v>
      </c>
      <c r="I695" s="304">
        <f t="shared" ca="1" si="303"/>
        <v>96.869551612394901</v>
      </c>
      <c r="J695" s="306">
        <f t="shared" ca="1" si="304"/>
        <v>588.9746359926213</v>
      </c>
      <c r="K695" s="307">
        <f t="shared" ca="1" si="305"/>
        <v>-10.363005724823886</v>
      </c>
      <c r="L695" s="304">
        <f t="shared" ca="1" si="290"/>
        <v>589.06579745414979</v>
      </c>
      <c r="M695" s="306">
        <f t="shared" ca="1" si="306"/>
        <v>-1.5093466809737415</v>
      </c>
      <c r="N695" s="304">
        <f t="shared" ca="1" si="307"/>
        <v>-86.479194641874102</v>
      </c>
      <c r="P695" s="310">
        <f t="shared" ca="1" si="308"/>
        <v>23</v>
      </c>
      <c r="Q695" s="304">
        <f t="shared" ca="1" si="309"/>
        <v>0</v>
      </c>
      <c r="R695" s="306">
        <f t="shared" ca="1" si="310"/>
        <v>0</v>
      </c>
      <c r="S695" s="307">
        <f t="shared" ca="1" si="311"/>
        <v>2.5949999999999998</v>
      </c>
      <c r="T695" s="304">
        <f t="shared" ca="1" si="291"/>
        <v>25.456949999999999</v>
      </c>
      <c r="U695" s="311">
        <f t="shared" ca="1" si="292"/>
        <v>0</v>
      </c>
      <c r="V695" s="306">
        <f t="shared" ca="1" si="293"/>
        <v>1.2262701263176059</v>
      </c>
      <c r="W695" s="304">
        <f t="shared" ca="1" si="294"/>
        <v>23.563163501141986</v>
      </c>
      <c r="Y695" s="314" t="str">
        <f t="shared" ca="1" si="312"/>
        <v/>
      </c>
      <c r="Z695" s="315" t="str">
        <f t="shared" ca="1" si="313"/>
        <v/>
      </c>
      <c r="AA695" s="316" t="str">
        <f t="shared" ca="1" si="314"/>
        <v/>
      </c>
      <c r="AC695" s="310" t="e">
        <f t="shared" ca="1" si="315"/>
        <v>#N/A</v>
      </c>
      <c r="AD695" s="323" t="e">
        <f t="shared" ca="1" si="316"/>
        <v>#N/A</v>
      </c>
      <c r="AE695" s="324" t="e">
        <f t="shared" ca="1" si="295"/>
        <v>#N/A</v>
      </c>
      <c r="AG695" s="306">
        <f t="shared" ca="1" si="317"/>
        <v>0.7112888488460154</v>
      </c>
      <c r="AH695" s="304">
        <f t="shared" ca="1" si="318"/>
        <v>-9.080195034706108</v>
      </c>
    </row>
    <row r="696" spans="1:34" x14ac:dyDescent="0.2">
      <c r="A696" s="347">
        <f t="shared" ca="1" si="296"/>
        <v>1E-4</v>
      </c>
      <c r="B696" s="304">
        <f t="shared" ca="1" si="297"/>
        <v>32.530900000001196</v>
      </c>
      <c r="D696" s="306">
        <f t="shared" ca="1" si="298"/>
        <v>-0.55762503560634247</v>
      </c>
      <c r="E696" s="307">
        <f t="shared" ca="1" si="299"/>
        <v>-0.74692117495006372</v>
      </c>
      <c r="F696" s="304">
        <f t="shared" ca="1" si="300"/>
        <v>0.9321142215006476</v>
      </c>
      <c r="G696" s="306">
        <f t="shared" ca="1" si="301"/>
        <v>5.9487983542900018</v>
      </c>
      <c r="H696" s="307">
        <f t="shared" ca="1" si="302"/>
        <v>-96.686791278645288</v>
      </c>
      <c r="I696" s="304">
        <f t="shared" ca="1" si="303"/>
        <v>96.86962273912458</v>
      </c>
      <c r="J696" s="306">
        <f t="shared" ca="1" si="304"/>
        <v>588.9746359926213</v>
      </c>
      <c r="K696" s="307">
        <f t="shared" ca="1" si="305"/>
        <v>-10.372674400217145</v>
      </c>
      <c r="L696" s="304">
        <f t="shared" ca="1" si="290"/>
        <v>589.0659676274413</v>
      </c>
      <c r="M696" s="306">
        <f t="shared" ca="1" si="306"/>
        <v>-1.5093473028835815</v>
      </c>
      <c r="N696" s="304">
        <f t="shared" ca="1" si="307"/>
        <v>-86.479230274683175</v>
      </c>
      <c r="P696" s="310">
        <f t="shared" ca="1" si="308"/>
        <v>23</v>
      </c>
      <c r="Q696" s="304">
        <f t="shared" ca="1" si="309"/>
        <v>0</v>
      </c>
      <c r="R696" s="306">
        <f t="shared" ca="1" si="310"/>
        <v>0</v>
      </c>
      <c r="S696" s="307">
        <f t="shared" ca="1" si="311"/>
        <v>2.5949999999999998</v>
      </c>
      <c r="T696" s="304">
        <f t="shared" ca="1" si="291"/>
        <v>25.456949999999999</v>
      </c>
      <c r="U696" s="311">
        <f t="shared" ca="1" si="292"/>
        <v>0</v>
      </c>
      <c r="V696" s="306">
        <f t="shared" ca="1" si="293"/>
        <v>1.2262713119592774</v>
      </c>
      <c r="W696" s="304">
        <f t="shared" ca="1" si="294"/>
        <v>23.563220886295969</v>
      </c>
      <c r="Y696" s="314" t="str">
        <f t="shared" ca="1" si="312"/>
        <v/>
      </c>
      <c r="Z696" s="315" t="str">
        <f t="shared" ca="1" si="313"/>
        <v/>
      </c>
      <c r="AA696" s="316" t="str">
        <f t="shared" ca="1" si="314"/>
        <v/>
      </c>
      <c r="AC696" s="310" t="e">
        <f t="shared" ca="1" si="315"/>
        <v>#N/A</v>
      </c>
      <c r="AD696" s="323" t="e">
        <f t="shared" ca="1" si="316"/>
        <v>#N/A</v>
      </c>
      <c r="AE696" s="324" t="e">
        <f t="shared" ca="1" si="295"/>
        <v>#N/A</v>
      </c>
      <c r="AG696" s="306">
        <f t="shared" ca="1" si="317"/>
        <v>0.7112671094202021</v>
      </c>
      <c r="AH696" s="304">
        <f t="shared" ca="1" si="318"/>
        <v>-9.0802171488023085</v>
      </c>
    </row>
    <row r="697" spans="1:34" x14ac:dyDescent="0.2">
      <c r="A697" s="347">
        <f t="shared" ca="1" si="296"/>
        <v>1E-4</v>
      </c>
      <c r="B697" s="304">
        <f t="shared" ca="1" si="297"/>
        <v>32.5310000000012</v>
      </c>
      <c r="D697" s="306">
        <f t="shared" ca="1" si="298"/>
        <v>-0.55762075720102344</v>
      </c>
      <c r="E697" s="307">
        <f t="shared" ca="1" si="299"/>
        <v>-0.746898756157238</v>
      </c>
      <c r="F697" s="304">
        <f t="shared" ca="1" si="300"/>
        <v>0.93209369744177106</v>
      </c>
      <c r="G697" s="306">
        <f t="shared" ca="1" si="301"/>
        <v>5.9487425922142814</v>
      </c>
      <c r="H697" s="307">
        <f t="shared" ca="1" si="302"/>
        <v>-96.686865968520905</v>
      </c>
      <c r="I697" s="304">
        <f t="shared" ca="1" si="303"/>
        <v>96.869693863680354</v>
      </c>
      <c r="J697" s="306">
        <f t="shared" ca="1" si="304"/>
        <v>588.9746359926213</v>
      </c>
      <c r="K697" s="307">
        <f t="shared" ca="1" si="305"/>
        <v>-10.382343083079503</v>
      </c>
      <c r="L697" s="304">
        <f t="shared" ca="1" si="290"/>
        <v>589.06613795951262</v>
      </c>
      <c r="M697" s="306">
        <f t="shared" ca="1" si="306"/>
        <v>-1.5093479247866788</v>
      </c>
      <c r="N697" s="304">
        <f t="shared" ca="1" si="307"/>
        <v>-86.479265907105912</v>
      </c>
      <c r="P697" s="310">
        <f t="shared" ca="1" si="308"/>
        <v>23</v>
      </c>
      <c r="Q697" s="304">
        <f t="shared" ca="1" si="309"/>
        <v>0</v>
      </c>
      <c r="R697" s="306">
        <f t="shared" ca="1" si="310"/>
        <v>0</v>
      </c>
      <c r="S697" s="307">
        <f t="shared" ca="1" si="311"/>
        <v>2.5949999999999998</v>
      </c>
      <c r="T697" s="304">
        <f t="shared" ca="1" si="291"/>
        <v>25.456949999999999</v>
      </c>
      <c r="U697" s="311">
        <f t="shared" ca="1" si="292"/>
        <v>0</v>
      </c>
      <c r="V697" s="306">
        <f t="shared" ca="1" si="293"/>
        <v>1.2262724976030115</v>
      </c>
      <c r="W697" s="304">
        <f t="shared" ca="1" si="294"/>
        <v>23.563278270524318</v>
      </c>
      <c r="Y697" s="314" t="str">
        <f t="shared" ca="1" si="312"/>
        <v/>
      </c>
      <c r="Z697" s="315" t="str">
        <f t="shared" ca="1" si="313"/>
        <v/>
      </c>
      <c r="AA697" s="316" t="str">
        <f t="shared" ca="1" si="314"/>
        <v/>
      </c>
      <c r="AC697" s="310" t="e">
        <f t="shared" ca="1" si="315"/>
        <v>#N/A</v>
      </c>
      <c r="AD697" s="323" t="e">
        <f t="shared" ca="1" si="316"/>
        <v>#N/A</v>
      </c>
      <c r="AE697" s="324" t="e">
        <f t="shared" ca="1" si="295"/>
        <v>#N/A</v>
      </c>
      <c r="AG697" s="306">
        <f t="shared" ca="1" si="317"/>
        <v>0.71124537034324753</v>
      </c>
      <c r="AH697" s="304">
        <f t="shared" ca="1" si="318"/>
        <v>-9.0802392625418005</v>
      </c>
    </row>
    <row r="698" spans="1:34" x14ac:dyDescent="0.2">
      <c r="A698" s="347">
        <f t="shared" ca="1" si="296"/>
        <v>1E-4</v>
      </c>
      <c r="B698" s="304">
        <f t="shared" ca="1" si="297"/>
        <v>32.531100000001203</v>
      </c>
      <c r="D698" s="306">
        <f t="shared" ca="1" si="298"/>
        <v>-0.55761647880724141</v>
      </c>
      <c r="E698" s="307">
        <f t="shared" ca="1" si="299"/>
        <v>-0.74687633772601636</v>
      </c>
      <c r="F698" s="304">
        <f t="shared" ca="1" si="300"/>
        <v>0.93207317378648613</v>
      </c>
      <c r="G698" s="306">
        <f t="shared" ca="1" si="301"/>
        <v>5.9486868305664009</v>
      </c>
      <c r="H698" s="307">
        <f t="shared" ca="1" si="302"/>
        <v>-96.686940656154675</v>
      </c>
      <c r="I698" s="304">
        <f t="shared" ca="1" si="303"/>
        <v>96.869764986062236</v>
      </c>
      <c r="J698" s="306">
        <f t="shared" ca="1" si="304"/>
        <v>588.9746359926213</v>
      </c>
      <c r="K698" s="307">
        <f t="shared" ca="1" si="305"/>
        <v>-10.392011773410736</v>
      </c>
      <c r="L698" s="304">
        <f t="shared" ca="1" si="290"/>
        <v>589.06630845036409</v>
      </c>
      <c r="M698" s="306">
        <f t="shared" ca="1" si="306"/>
        <v>-1.5093485466830332</v>
      </c>
      <c r="N698" s="304">
        <f t="shared" ca="1" si="307"/>
        <v>-86.479301539142313</v>
      </c>
      <c r="P698" s="310">
        <f t="shared" ca="1" si="308"/>
        <v>23</v>
      </c>
      <c r="Q698" s="304">
        <f t="shared" ca="1" si="309"/>
        <v>0</v>
      </c>
      <c r="R698" s="306">
        <f t="shared" ca="1" si="310"/>
        <v>0</v>
      </c>
      <c r="S698" s="307">
        <f t="shared" ca="1" si="311"/>
        <v>2.5949999999999998</v>
      </c>
      <c r="T698" s="304">
        <f t="shared" ca="1" si="291"/>
        <v>25.456949999999999</v>
      </c>
      <c r="U698" s="311">
        <f t="shared" ca="1" si="292"/>
        <v>0</v>
      </c>
      <c r="V698" s="306">
        <f t="shared" ca="1" si="293"/>
        <v>1.2262736832488088</v>
      </c>
      <c r="W698" s="304">
        <f t="shared" ca="1" si="294"/>
        <v>23.563335653827032</v>
      </c>
      <c r="Y698" s="314" t="str">
        <f t="shared" ca="1" si="312"/>
        <v/>
      </c>
      <c r="Z698" s="315" t="str">
        <f t="shared" ca="1" si="313"/>
        <v/>
      </c>
      <c r="AA698" s="316" t="str">
        <f t="shared" ca="1" si="314"/>
        <v/>
      </c>
      <c r="AC698" s="310" t="e">
        <f t="shared" ca="1" si="315"/>
        <v>#N/A</v>
      </c>
      <c r="AD698" s="323" t="e">
        <f t="shared" ca="1" si="316"/>
        <v>#N/A</v>
      </c>
      <c r="AE698" s="324" t="e">
        <f t="shared" ca="1" si="295"/>
        <v>#N/A</v>
      </c>
      <c r="AG698" s="306">
        <f t="shared" ca="1" si="317"/>
        <v>0.71122363161514279</v>
      </c>
      <c r="AH698" s="304">
        <f t="shared" ca="1" si="318"/>
        <v>-9.0802613759245929</v>
      </c>
    </row>
    <row r="699" spans="1:34" x14ac:dyDescent="0.2">
      <c r="A699" s="347">
        <f t="shared" ca="1" si="296"/>
        <v>1E-4</v>
      </c>
      <c r="B699" s="304">
        <f t="shared" ca="1" si="297"/>
        <v>32.531200000001206</v>
      </c>
      <c r="D699" s="306">
        <f t="shared" ca="1" si="298"/>
        <v>-0.55761220042499771</v>
      </c>
      <c r="E699" s="307">
        <f t="shared" ca="1" si="299"/>
        <v>-0.74685391965639347</v>
      </c>
      <c r="F699" s="304">
        <f t="shared" ca="1" si="300"/>
        <v>0.93205265053478947</v>
      </c>
      <c r="G699" s="306">
        <f t="shared" ca="1" si="301"/>
        <v>5.9486310693463587</v>
      </c>
      <c r="H699" s="307">
        <f t="shared" ca="1" si="302"/>
        <v>-96.68701534154664</v>
      </c>
      <c r="I699" s="304">
        <f t="shared" ca="1" si="303"/>
        <v>96.869836106270299</v>
      </c>
      <c r="J699" s="306">
        <f t="shared" ca="1" si="304"/>
        <v>588.9746359926213</v>
      </c>
      <c r="K699" s="307">
        <f t="shared" ca="1" si="305"/>
        <v>-10.401680471210621</v>
      </c>
      <c r="L699" s="304">
        <f t="shared" ca="1" si="290"/>
        <v>589.06647909999595</v>
      </c>
      <c r="M699" s="306">
        <f t="shared" ca="1" si="306"/>
        <v>-1.5093491685726452</v>
      </c>
      <c r="N699" s="304">
        <f t="shared" ca="1" si="307"/>
        <v>-86.479337170792405</v>
      </c>
      <c r="P699" s="310">
        <f t="shared" ca="1" si="308"/>
        <v>23</v>
      </c>
      <c r="Q699" s="304">
        <f t="shared" ca="1" si="309"/>
        <v>0</v>
      </c>
      <c r="R699" s="306">
        <f t="shared" ca="1" si="310"/>
        <v>0</v>
      </c>
      <c r="S699" s="307">
        <f t="shared" ca="1" si="311"/>
        <v>2.5949999999999998</v>
      </c>
      <c r="T699" s="304">
        <f t="shared" ca="1" si="291"/>
        <v>25.456949999999999</v>
      </c>
      <c r="U699" s="311">
        <f t="shared" ca="1" si="292"/>
        <v>0</v>
      </c>
      <c r="V699" s="306">
        <f t="shared" ca="1" si="293"/>
        <v>1.2262748688966689</v>
      </c>
      <c r="W699" s="304">
        <f t="shared" ca="1" si="294"/>
        <v>23.56339303620415</v>
      </c>
      <c r="Y699" s="314" t="str">
        <f t="shared" ca="1" si="312"/>
        <v/>
      </c>
      <c r="Z699" s="315" t="str">
        <f t="shared" ca="1" si="313"/>
        <v/>
      </c>
      <c r="AA699" s="316" t="str">
        <f t="shared" ca="1" si="314"/>
        <v/>
      </c>
      <c r="AC699" s="310" t="e">
        <f t="shared" ca="1" si="315"/>
        <v>#N/A</v>
      </c>
      <c r="AD699" s="323" t="e">
        <f t="shared" ca="1" si="316"/>
        <v>#N/A</v>
      </c>
      <c r="AE699" s="324" t="e">
        <f t="shared" ca="1" si="295"/>
        <v>#N/A</v>
      </c>
      <c r="AG699" s="306">
        <f t="shared" ca="1" si="317"/>
        <v>0.71120189323588789</v>
      </c>
      <c r="AH699" s="304">
        <f t="shared" ca="1" si="318"/>
        <v>-9.0802834889506876</v>
      </c>
    </row>
    <row r="700" spans="1:34" x14ac:dyDescent="0.2">
      <c r="A700" s="347">
        <f t="shared" ca="1" si="296"/>
        <v>1E-4</v>
      </c>
      <c r="B700" s="304">
        <f t="shared" ca="1" si="297"/>
        <v>32.53130000000121</v>
      </c>
      <c r="D700" s="306">
        <f t="shared" ca="1" si="298"/>
        <v>-0.55760792205429</v>
      </c>
      <c r="E700" s="307">
        <f t="shared" ca="1" si="299"/>
        <v>-0.74683150194836045</v>
      </c>
      <c r="F700" s="304">
        <f t="shared" ca="1" si="300"/>
        <v>0.93203212768667321</v>
      </c>
      <c r="G700" s="306">
        <f t="shared" ca="1" si="301"/>
        <v>5.9485753085541528</v>
      </c>
      <c r="H700" s="307">
        <f t="shared" ca="1" si="302"/>
        <v>-96.687090024696829</v>
      </c>
      <c r="I700" s="304">
        <f t="shared" ca="1" si="303"/>
        <v>96.869907224304541</v>
      </c>
      <c r="J700" s="306">
        <f t="shared" ca="1" si="304"/>
        <v>588.9746359926213</v>
      </c>
      <c r="K700" s="307">
        <f t="shared" ca="1" si="305"/>
        <v>-10.411349176478934</v>
      </c>
      <c r="L700" s="304">
        <f t="shared" ca="1" si="290"/>
        <v>589.06664990840829</v>
      </c>
      <c r="M700" s="306">
        <f t="shared" ca="1" si="306"/>
        <v>-1.5093497904555144</v>
      </c>
      <c r="N700" s="304">
        <f t="shared" ca="1" si="307"/>
        <v>-86.479372802056162</v>
      </c>
      <c r="P700" s="310">
        <f t="shared" ca="1" si="308"/>
        <v>23</v>
      </c>
      <c r="Q700" s="304">
        <f t="shared" ca="1" si="309"/>
        <v>0</v>
      </c>
      <c r="R700" s="306">
        <f t="shared" ca="1" si="310"/>
        <v>0</v>
      </c>
      <c r="S700" s="307">
        <f t="shared" ca="1" si="311"/>
        <v>2.5949999999999998</v>
      </c>
      <c r="T700" s="304">
        <f t="shared" ca="1" si="291"/>
        <v>25.456949999999999</v>
      </c>
      <c r="U700" s="311">
        <f t="shared" ca="1" si="292"/>
        <v>0</v>
      </c>
      <c r="V700" s="306">
        <f t="shared" ca="1" si="293"/>
        <v>1.2262760545465916</v>
      </c>
      <c r="W700" s="304">
        <f t="shared" ca="1" si="294"/>
        <v>23.563450417655652</v>
      </c>
      <c r="Y700" s="314" t="str">
        <f t="shared" ca="1" si="312"/>
        <v/>
      </c>
      <c r="Z700" s="315" t="str">
        <f t="shared" ca="1" si="313"/>
        <v/>
      </c>
      <c r="AA700" s="316" t="str">
        <f t="shared" ca="1" si="314"/>
        <v/>
      </c>
      <c r="AC700" s="310" t="e">
        <f t="shared" ca="1" si="315"/>
        <v>#N/A</v>
      </c>
      <c r="AD700" s="323" t="e">
        <f t="shared" ca="1" si="316"/>
        <v>#N/A</v>
      </c>
      <c r="AE700" s="324" t="e">
        <f t="shared" ca="1" si="295"/>
        <v>#N/A</v>
      </c>
      <c r="AG700" s="306">
        <f t="shared" ca="1" si="317"/>
        <v>0.7111801552054704</v>
      </c>
      <c r="AH700" s="304">
        <f t="shared" ca="1" si="318"/>
        <v>-9.0803056016200969</v>
      </c>
    </row>
    <row r="701" spans="1:34" x14ac:dyDescent="0.2">
      <c r="A701" s="347">
        <f t="shared" ca="1" si="296"/>
        <v>1E-4</v>
      </c>
      <c r="B701" s="304">
        <f t="shared" ca="1" si="297"/>
        <v>32.531400000001213</v>
      </c>
      <c r="D701" s="306">
        <f t="shared" ca="1" si="298"/>
        <v>-0.55760364369512316</v>
      </c>
      <c r="E701" s="307">
        <f t="shared" ca="1" si="299"/>
        <v>-0.74680908460192086</v>
      </c>
      <c r="F701" s="304">
        <f t="shared" ca="1" si="300"/>
        <v>0.93201160524214333</v>
      </c>
      <c r="G701" s="306">
        <f t="shared" ca="1" si="301"/>
        <v>5.9485195481897835</v>
      </c>
      <c r="H701" s="307">
        <f t="shared" ca="1" si="302"/>
        <v>-96.687164705605284</v>
      </c>
      <c r="I701" s="304">
        <f t="shared" ca="1" si="303"/>
        <v>96.869978340165019</v>
      </c>
      <c r="J701" s="306">
        <f t="shared" ca="1" si="304"/>
        <v>588.9746359926213</v>
      </c>
      <c r="K701" s="307">
        <f t="shared" ca="1" si="305"/>
        <v>-10.421017889215449</v>
      </c>
      <c r="L701" s="304">
        <f t="shared" ca="1" si="290"/>
        <v>589.06682087560159</v>
      </c>
      <c r="M701" s="306">
        <f t="shared" ca="1" si="306"/>
        <v>-1.5093504123316412</v>
      </c>
      <c r="N701" s="304">
        <f t="shared" ca="1" si="307"/>
        <v>-86.47940843293361</v>
      </c>
      <c r="P701" s="310">
        <f t="shared" ca="1" si="308"/>
        <v>23</v>
      </c>
      <c r="Q701" s="304">
        <f t="shared" ca="1" si="309"/>
        <v>0</v>
      </c>
      <c r="R701" s="306">
        <f t="shared" ca="1" si="310"/>
        <v>0</v>
      </c>
      <c r="S701" s="307">
        <f t="shared" ca="1" si="311"/>
        <v>2.5949999999999998</v>
      </c>
      <c r="T701" s="304">
        <f t="shared" ca="1" si="291"/>
        <v>25.456949999999999</v>
      </c>
      <c r="U701" s="311">
        <f t="shared" ca="1" si="292"/>
        <v>0</v>
      </c>
      <c r="V701" s="306">
        <f t="shared" ca="1" si="293"/>
        <v>1.2262772401985771</v>
      </c>
      <c r="W701" s="304">
        <f t="shared" ca="1" si="294"/>
        <v>23.563507798181568</v>
      </c>
      <c r="Y701" s="314" t="str">
        <f t="shared" ca="1" si="312"/>
        <v/>
      </c>
      <c r="Z701" s="315" t="str">
        <f t="shared" ca="1" si="313"/>
        <v/>
      </c>
      <c r="AA701" s="316" t="str">
        <f t="shared" ca="1" si="314"/>
        <v/>
      </c>
      <c r="AC701" s="310" t="e">
        <f t="shared" ca="1" si="315"/>
        <v>#N/A</v>
      </c>
      <c r="AD701" s="323" t="e">
        <f t="shared" ca="1" si="316"/>
        <v>#N/A</v>
      </c>
      <c r="AE701" s="324" t="e">
        <f t="shared" ca="1" si="295"/>
        <v>#N/A</v>
      </c>
      <c r="AG701" s="306">
        <f t="shared" ca="1" si="317"/>
        <v>0.71115841752389208</v>
      </c>
      <c r="AH701" s="304">
        <f t="shared" ca="1" si="318"/>
        <v>-9.0803277139328156</v>
      </c>
    </row>
    <row r="702" spans="1:34" x14ac:dyDescent="0.2">
      <c r="A702" s="347">
        <f t="shared" ca="1" si="296"/>
        <v>1E-4</v>
      </c>
      <c r="B702" s="304">
        <f t="shared" ca="1" si="297"/>
        <v>32.531500000001216</v>
      </c>
      <c r="D702" s="306">
        <f t="shared" ca="1" si="298"/>
        <v>-0.55759936534749488</v>
      </c>
      <c r="E702" s="307">
        <f t="shared" ca="1" si="299"/>
        <v>-0.7467866676170658</v>
      </c>
      <c r="F702" s="304">
        <f t="shared" ca="1" si="300"/>
        <v>0.93199108320119184</v>
      </c>
      <c r="G702" s="306">
        <f t="shared" ca="1" si="301"/>
        <v>5.9484637882532487</v>
      </c>
      <c r="H702" s="307">
        <f t="shared" ca="1" si="302"/>
        <v>-96.687239384272047</v>
      </c>
      <c r="I702" s="304">
        <f t="shared" ca="1" si="303"/>
        <v>96.870049453851763</v>
      </c>
      <c r="J702" s="306">
        <f t="shared" ca="1" si="304"/>
        <v>588.9746359926213</v>
      </c>
      <c r="K702" s="307">
        <f t="shared" ca="1" si="305"/>
        <v>-10.430686609419944</v>
      </c>
      <c r="L702" s="304">
        <f t="shared" ca="1" si="290"/>
        <v>589.06699200157595</v>
      </c>
      <c r="M702" s="306">
        <f t="shared" ca="1" si="306"/>
        <v>-1.5093510342010259</v>
      </c>
      <c r="N702" s="304">
        <f t="shared" ca="1" si="307"/>
        <v>-86.479444063424751</v>
      </c>
      <c r="P702" s="310">
        <f t="shared" ca="1" si="308"/>
        <v>23</v>
      </c>
      <c r="Q702" s="304">
        <f t="shared" ca="1" si="309"/>
        <v>0</v>
      </c>
      <c r="R702" s="306">
        <f t="shared" ca="1" si="310"/>
        <v>0</v>
      </c>
      <c r="S702" s="307">
        <f t="shared" ca="1" si="311"/>
        <v>2.5949999999999998</v>
      </c>
      <c r="T702" s="304">
        <f t="shared" ca="1" si="291"/>
        <v>25.456949999999999</v>
      </c>
      <c r="U702" s="311">
        <f t="shared" ca="1" si="292"/>
        <v>0</v>
      </c>
      <c r="V702" s="306">
        <f t="shared" ca="1" si="293"/>
        <v>1.2262784258526249</v>
      </c>
      <c r="W702" s="304">
        <f t="shared" ca="1" si="294"/>
        <v>23.563565177781893</v>
      </c>
      <c r="Y702" s="314" t="str">
        <f t="shared" ca="1" si="312"/>
        <v/>
      </c>
      <c r="Z702" s="315" t="str">
        <f t="shared" ca="1" si="313"/>
        <v/>
      </c>
      <c r="AA702" s="316" t="str">
        <f t="shared" ca="1" si="314"/>
        <v/>
      </c>
      <c r="AC702" s="310" t="e">
        <f t="shared" ca="1" si="315"/>
        <v>#N/A</v>
      </c>
      <c r="AD702" s="323" t="e">
        <f t="shared" ca="1" si="316"/>
        <v>#N/A</v>
      </c>
      <c r="AE702" s="324" t="e">
        <f t="shared" ca="1" si="295"/>
        <v>#N/A</v>
      </c>
      <c r="AG702" s="306">
        <f t="shared" ca="1" si="317"/>
        <v>0.71113668019115117</v>
      </c>
      <c r="AH702" s="304">
        <f t="shared" ca="1" si="318"/>
        <v>-9.0803498258888524</v>
      </c>
    </row>
    <row r="703" spans="1:34" x14ac:dyDescent="0.2">
      <c r="A703" s="347">
        <f t="shared" ca="1" si="296"/>
        <v>1E-4</v>
      </c>
      <c r="B703" s="304">
        <f t="shared" ca="1" si="297"/>
        <v>32.53160000000122</v>
      </c>
      <c r="D703" s="306">
        <f t="shared" ca="1" si="298"/>
        <v>-0.55759508701140414</v>
      </c>
      <c r="E703" s="307">
        <f t="shared" ca="1" si="299"/>
        <v>-0.74676425099379706</v>
      </c>
      <c r="F703" s="304">
        <f t="shared" ca="1" si="300"/>
        <v>0.93197056156382008</v>
      </c>
      <c r="G703" s="306">
        <f t="shared" ca="1" si="301"/>
        <v>5.9484080287445478</v>
      </c>
      <c r="H703" s="307">
        <f t="shared" ca="1" si="302"/>
        <v>-96.687314060697148</v>
      </c>
      <c r="I703" s="304">
        <f t="shared" ca="1" si="303"/>
        <v>96.870120565364829</v>
      </c>
      <c r="J703" s="306">
        <f t="shared" ca="1" si="304"/>
        <v>588.9746359926213</v>
      </c>
      <c r="K703" s="307">
        <f t="shared" ca="1" si="305"/>
        <v>-10.440355337092193</v>
      </c>
      <c r="L703" s="304">
        <f t="shared" ca="1" si="290"/>
        <v>589.06716328633149</v>
      </c>
      <c r="M703" s="306">
        <f t="shared" ca="1" si="306"/>
        <v>-1.5093516560636679</v>
      </c>
      <c r="N703" s="304">
        <f t="shared" ca="1" si="307"/>
        <v>-86.479479693529584</v>
      </c>
      <c r="P703" s="310">
        <f t="shared" ca="1" si="308"/>
        <v>23</v>
      </c>
      <c r="Q703" s="304">
        <f t="shared" ca="1" si="309"/>
        <v>0</v>
      </c>
      <c r="R703" s="306">
        <f t="shared" ca="1" si="310"/>
        <v>0</v>
      </c>
      <c r="S703" s="307">
        <f t="shared" ca="1" si="311"/>
        <v>2.5949999999999998</v>
      </c>
      <c r="T703" s="304">
        <f t="shared" ca="1" si="291"/>
        <v>25.456949999999999</v>
      </c>
      <c r="U703" s="311">
        <f t="shared" ca="1" si="292"/>
        <v>0</v>
      </c>
      <c r="V703" s="306">
        <f t="shared" ca="1" si="293"/>
        <v>1.2262796115087362</v>
      </c>
      <c r="W703" s="304">
        <f t="shared" ca="1" si="294"/>
        <v>23.563622556456682</v>
      </c>
      <c r="Y703" s="314" t="str">
        <f t="shared" ca="1" si="312"/>
        <v/>
      </c>
      <c r="Z703" s="315" t="str">
        <f t="shared" ca="1" si="313"/>
        <v/>
      </c>
      <c r="AA703" s="316" t="str">
        <f t="shared" ca="1" si="314"/>
        <v/>
      </c>
      <c r="AC703" s="310" t="e">
        <f t="shared" ca="1" si="315"/>
        <v>#N/A</v>
      </c>
      <c r="AD703" s="323" t="e">
        <f t="shared" ca="1" si="316"/>
        <v>#N/A</v>
      </c>
      <c r="AE703" s="324" t="e">
        <f t="shared" ca="1" si="295"/>
        <v>#N/A</v>
      </c>
      <c r="AG703" s="306">
        <f t="shared" ca="1" si="317"/>
        <v>0.71111494320724233</v>
      </c>
      <c r="AH703" s="304">
        <f t="shared" ca="1" si="318"/>
        <v>-9.0803719374882057</v>
      </c>
    </row>
    <row r="704" spans="1:34" x14ac:dyDescent="0.2">
      <c r="A704" s="347">
        <f t="shared" ca="1" si="296"/>
        <v>1E-4</v>
      </c>
      <c r="B704" s="304">
        <f t="shared" ca="1" si="297"/>
        <v>32.531700000001223</v>
      </c>
      <c r="D704" s="306">
        <f t="shared" ca="1" si="298"/>
        <v>-0.55759080868685773</v>
      </c>
      <c r="E704" s="307">
        <f t="shared" ca="1" si="299"/>
        <v>-0.74674183473208799</v>
      </c>
      <c r="F704" s="304">
        <f t="shared" ca="1" si="300"/>
        <v>0.93195004033001094</v>
      </c>
      <c r="G704" s="306">
        <f t="shared" ca="1" si="301"/>
        <v>5.9483522696636788</v>
      </c>
      <c r="H704" s="307">
        <f t="shared" ca="1" si="302"/>
        <v>-96.687388734880628</v>
      </c>
      <c r="I704" s="304">
        <f t="shared" ca="1" si="303"/>
        <v>96.870191674704216</v>
      </c>
      <c r="J704" s="306">
        <f t="shared" ca="1" si="304"/>
        <v>588.9746359926213</v>
      </c>
      <c r="K704" s="307">
        <f t="shared" ca="1" si="305"/>
        <v>-10.450024072231972</v>
      </c>
      <c r="L704" s="304">
        <f t="shared" ca="1" si="290"/>
        <v>589.06733472986855</v>
      </c>
      <c r="M704" s="306">
        <f t="shared" ca="1" si="306"/>
        <v>-1.5093522779195681</v>
      </c>
      <c r="N704" s="304">
        <f t="shared" ca="1" si="307"/>
        <v>-86.479515323248123</v>
      </c>
      <c r="P704" s="310">
        <f t="shared" ca="1" si="308"/>
        <v>23</v>
      </c>
      <c r="Q704" s="304">
        <f t="shared" ca="1" si="309"/>
        <v>0</v>
      </c>
      <c r="R704" s="306">
        <f t="shared" ca="1" si="310"/>
        <v>0</v>
      </c>
      <c r="S704" s="307">
        <f t="shared" ca="1" si="311"/>
        <v>2.5949999999999998</v>
      </c>
      <c r="T704" s="304">
        <f t="shared" ca="1" si="291"/>
        <v>25.456949999999999</v>
      </c>
      <c r="U704" s="311">
        <f t="shared" ca="1" si="292"/>
        <v>0</v>
      </c>
      <c r="V704" s="306">
        <f t="shared" ca="1" si="293"/>
        <v>1.2262807971669101</v>
      </c>
      <c r="W704" s="304">
        <f t="shared" ca="1" si="294"/>
        <v>23.563679934205901</v>
      </c>
      <c r="Y704" s="314" t="str">
        <f t="shared" ca="1" si="312"/>
        <v/>
      </c>
      <c r="Z704" s="315" t="str">
        <f t="shared" ca="1" si="313"/>
        <v/>
      </c>
      <c r="AA704" s="316" t="str">
        <f t="shared" ca="1" si="314"/>
        <v/>
      </c>
      <c r="AC704" s="310" t="e">
        <f t="shared" ca="1" si="315"/>
        <v>#N/A</v>
      </c>
      <c r="AD704" s="323" t="e">
        <f t="shared" ca="1" si="316"/>
        <v>#N/A</v>
      </c>
      <c r="AE704" s="324" t="e">
        <f t="shared" ca="1" si="295"/>
        <v>#N/A</v>
      </c>
      <c r="AG704" s="306">
        <f t="shared" ca="1" si="317"/>
        <v>0.71109320657214425</v>
      </c>
      <c r="AH704" s="304">
        <f t="shared" ca="1" si="318"/>
        <v>-9.0803940487309003</v>
      </c>
    </row>
    <row r="705" spans="1:34" x14ac:dyDescent="0.2">
      <c r="A705" s="347">
        <f t="shared" ca="1" si="296"/>
        <v>1E-4</v>
      </c>
      <c r="B705" s="304">
        <f t="shared" ca="1" si="297"/>
        <v>32.531800000001226</v>
      </c>
      <c r="D705" s="306">
        <f t="shared" ca="1" si="298"/>
        <v>-0.55758653037384931</v>
      </c>
      <c r="E705" s="307">
        <f t="shared" ca="1" si="299"/>
        <v>-0.74671941883195814</v>
      </c>
      <c r="F705" s="304">
        <f t="shared" ca="1" si="300"/>
        <v>0.93192951949977687</v>
      </c>
      <c r="G705" s="306">
        <f t="shared" ca="1" si="301"/>
        <v>5.9482965110106418</v>
      </c>
      <c r="H705" s="307">
        <f t="shared" ca="1" si="302"/>
        <v>-96.687463406822516</v>
      </c>
      <c r="I705" s="304">
        <f t="shared" ca="1" si="303"/>
        <v>96.870262781869982</v>
      </c>
      <c r="J705" s="306">
        <f t="shared" ca="1" si="304"/>
        <v>588.9746359926213</v>
      </c>
      <c r="K705" s="307">
        <f t="shared" ca="1" si="305"/>
        <v>-10.459692814839057</v>
      </c>
      <c r="L705" s="304">
        <f t="shared" ca="1" si="290"/>
        <v>589.06750633218735</v>
      </c>
      <c r="M705" s="306">
        <f t="shared" ca="1" si="306"/>
        <v>-1.509352899768726</v>
      </c>
      <c r="N705" s="304">
        <f t="shared" ca="1" si="307"/>
        <v>-86.479550952580368</v>
      </c>
      <c r="P705" s="310">
        <f t="shared" ca="1" si="308"/>
        <v>23</v>
      </c>
      <c r="Q705" s="304">
        <f t="shared" ca="1" si="309"/>
        <v>0</v>
      </c>
      <c r="R705" s="306">
        <f t="shared" ca="1" si="310"/>
        <v>0</v>
      </c>
      <c r="S705" s="307">
        <f t="shared" ca="1" si="311"/>
        <v>2.5949999999999998</v>
      </c>
      <c r="T705" s="304">
        <f t="shared" ca="1" si="291"/>
        <v>25.456949999999999</v>
      </c>
      <c r="U705" s="311">
        <f t="shared" ca="1" si="292"/>
        <v>0</v>
      </c>
      <c r="V705" s="306">
        <f t="shared" ca="1" si="293"/>
        <v>1.2262819828271461</v>
      </c>
      <c r="W705" s="304">
        <f t="shared" ca="1" si="294"/>
        <v>23.563737311029563</v>
      </c>
      <c r="Y705" s="314" t="str">
        <f t="shared" ca="1" si="312"/>
        <v/>
      </c>
      <c r="Z705" s="315" t="str">
        <f t="shared" ca="1" si="313"/>
        <v/>
      </c>
      <c r="AA705" s="316" t="str">
        <f t="shared" ca="1" si="314"/>
        <v/>
      </c>
      <c r="AC705" s="310" t="e">
        <f t="shared" ca="1" si="315"/>
        <v>#N/A</v>
      </c>
      <c r="AD705" s="323" t="e">
        <f t="shared" ca="1" si="316"/>
        <v>#N/A</v>
      </c>
      <c r="AE705" s="324" t="e">
        <f t="shared" ca="1" si="295"/>
        <v>#N/A</v>
      </c>
      <c r="AG705" s="306">
        <f t="shared" ca="1" si="317"/>
        <v>0.7110714702858747</v>
      </c>
      <c r="AH705" s="304">
        <f t="shared" ca="1" si="318"/>
        <v>-9.0804161596169184</v>
      </c>
    </row>
    <row r="706" spans="1:34" x14ac:dyDescent="0.2">
      <c r="A706" s="347">
        <f t="shared" ca="1" si="296"/>
        <v>1E-4</v>
      </c>
      <c r="B706" s="304">
        <f t="shared" ca="1" si="297"/>
        <v>32.53190000000123</v>
      </c>
      <c r="D706" s="306">
        <f t="shared" ca="1" si="298"/>
        <v>-0.55758225207238277</v>
      </c>
      <c r="E706" s="307">
        <f t="shared" ca="1" si="299"/>
        <v>-0.74669700329340039</v>
      </c>
      <c r="F706" s="304">
        <f t="shared" ca="1" si="300"/>
        <v>0.93190899907311475</v>
      </c>
      <c r="G706" s="306">
        <f t="shared" ca="1" si="301"/>
        <v>5.9482407527854342</v>
      </c>
      <c r="H706" s="307">
        <f t="shared" ca="1" si="302"/>
        <v>-96.687538076522841</v>
      </c>
      <c r="I706" s="304">
        <f t="shared" ca="1" si="303"/>
        <v>96.870333886862142</v>
      </c>
      <c r="J706" s="306">
        <f t="shared" ca="1" si="304"/>
        <v>588.9746359926213</v>
      </c>
      <c r="K706" s="307">
        <f t="shared" ca="1" si="305"/>
        <v>-10.469361564913225</v>
      </c>
      <c r="L706" s="304">
        <f t="shared" ca="1" si="290"/>
        <v>589.06767809328801</v>
      </c>
      <c r="M706" s="306">
        <f t="shared" ca="1" si="306"/>
        <v>-1.509353521611142</v>
      </c>
      <c r="N706" s="304">
        <f t="shared" ca="1" si="307"/>
        <v>-86.479586581526334</v>
      </c>
      <c r="P706" s="310">
        <f t="shared" ca="1" si="308"/>
        <v>23</v>
      </c>
      <c r="Q706" s="304">
        <f t="shared" ca="1" si="309"/>
        <v>0</v>
      </c>
      <c r="R706" s="306">
        <f t="shared" ca="1" si="310"/>
        <v>0</v>
      </c>
      <c r="S706" s="307">
        <f t="shared" ca="1" si="311"/>
        <v>2.5949999999999998</v>
      </c>
      <c r="T706" s="304">
        <f t="shared" ca="1" si="291"/>
        <v>25.456949999999999</v>
      </c>
      <c r="U706" s="311">
        <f t="shared" ca="1" si="292"/>
        <v>0</v>
      </c>
      <c r="V706" s="306">
        <f t="shared" ca="1" si="293"/>
        <v>1.2262831684894451</v>
      </c>
      <c r="W706" s="304">
        <f t="shared" ca="1" si="294"/>
        <v>23.563794686927697</v>
      </c>
      <c r="Y706" s="314" t="str">
        <f t="shared" ca="1" si="312"/>
        <v/>
      </c>
      <c r="Z706" s="315" t="str">
        <f t="shared" ca="1" si="313"/>
        <v/>
      </c>
      <c r="AA706" s="316" t="str">
        <f t="shared" ca="1" si="314"/>
        <v/>
      </c>
      <c r="AC706" s="310" t="e">
        <f t="shared" ca="1" si="315"/>
        <v>#N/A</v>
      </c>
      <c r="AD706" s="323" t="e">
        <f t="shared" ca="1" si="316"/>
        <v>#N/A</v>
      </c>
      <c r="AE706" s="324" t="e">
        <f t="shared" ca="1" si="295"/>
        <v>#N/A</v>
      </c>
      <c r="AG706" s="306">
        <f t="shared" ca="1" si="317"/>
        <v>0.71104973434842833</v>
      </c>
      <c r="AH706" s="304">
        <f t="shared" ca="1" si="318"/>
        <v>-9.0804382701462671</v>
      </c>
    </row>
    <row r="707" spans="1:34" x14ac:dyDescent="0.2">
      <c r="A707" s="347">
        <f t="shared" ca="1" si="296"/>
        <v>1E-4</v>
      </c>
      <c r="B707" s="304">
        <f t="shared" ca="1" si="297"/>
        <v>32.532000000001233</v>
      </c>
      <c r="D707" s="306">
        <f t="shared" ca="1" si="298"/>
        <v>-0.55757797378245788</v>
      </c>
      <c r="E707" s="307">
        <f t="shared" ca="1" si="299"/>
        <v>-0.7466745881164023</v>
      </c>
      <c r="F707" s="304">
        <f t="shared" ca="1" si="300"/>
        <v>0.93188847905001504</v>
      </c>
      <c r="G707" s="306">
        <f t="shared" ca="1" si="301"/>
        <v>5.9481849949880559</v>
      </c>
      <c r="H707" s="307">
        <f t="shared" ca="1" si="302"/>
        <v>-96.68761274398166</v>
      </c>
      <c r="I707" s="304">
        <f t="shared" ca="1" si="303"/>
        <v>96.87040498968075</v>
      </c>
      <c r="J707" s="306">
        <f t="shared" ca="1" si="304"/>
        <v>588.9746359926213</v>
      </c>
      <c r="K707" s="307">
        <f t="shared" ca="1" si="305"/>
        <v>-10.47903032245425</v>
      </c>
      <c r="L707" s="304">
        <f t="shared" ca="1" si="290"/>
        <v>589.06785001317087</v>
      </c>
      <c r="M707" s="306">
        <f t="shared" ca="1" si="306"/>
        <v>-1.5093541434468161</v>
      </c>
      <c r="N707" s="304">
        <f t="shared" ca="1" si="307"/>
        <v>-86.479622210086006</v>
      </c>
      <c r="P707" s="310">
        <f t="shared" ca="1" si="308"/>
        <v>23</v>
      </c>
      <c r="Q707" s="304">
        <f t="shared" ca="1" si="309"/>
        <v>0</v>
      </c>
      <c r="R707" s="306">
        <f t="shared" ca="1" si="310"/>
        <v>0</v>
      </c>
      <c r="S707" s="307">
        <f t="shared" ca="1" si="311"/>
        <v>2.5949999999999998</v>
      </c>
      <c r="T707" s="304">
        <f t="shared" ca="1" si="291"/>
        <v>25.456949999999999</v>
      </c>
      <c r="U707" s="311">
        <f t="shared" ca="1" si="292"/>
        <v>0</v>
      </c>
      <c r="V707" s="306">
        <f t="shared" ca="1" si="293"/>
        <v>1.2262843541538069</v>
      </c>
      <c r="W707" s="304">
        <f t="shared" ca="1" si="294"/>
        <v>23.563852061900317</v>
      </c>
      <c r="Y707" s="314" t="str">
        <f t="shared" ca="1" si="312"/>
        <v/>
      </c>
      <c r="Z707" s="315" t="str">
        <f t="shared" ca="1" si="313"/>
        <v/>
      </c>
      <c r="AA707" s="316" t="str">
        <f t="shared" ca="1" si="314"/>
        <v/>
      </c>
      <c r="AC707" s="310" t="e">
        <f t="shared" ca="1" si="315"/>
        <v>#N/A</v>
      </c>
      <c r="AD707" s="323" t="e">
        <f t="shared" ca="1" si="316"/>
        <v>#N/A</v>
      </c>
      <c r="AE707" s="324" t="e">
        <f t="shared" ca="1" si="295"/>
        <v>#N/A</v>
      </c>
      <c r="AG707" s="306">
        <f t="shared" ca="1" si="317"/>
        <v>0.71102799875979272</v>
      </c>
      <c r="AH707" s="304">
        <f t="shared" ca="1" si="318"/>
        <v>-9.080460380318959</v>
      </c>
    </row>
    <row r="708" spans="1:34" x14ac:dyDescent="0.2">
      <c r="A708" s="347">
        <f t="shared" ca="1" si="296"/>
        <v>1E-4</v>
      </c>
      <c r="B708" s="304">
        <f t="shared" ca="1" si="297"/>
        <v>32.532100000001236</v>
      </c>
      <c r="D708" s="306">
        <f t="shared" ca="1" si="298"/>
        <v>-0.55757369550407587</v>
      </c>
      <c r="E708" s="307">
        <f t="shared" ca="1" si="299"/>
        <v>-0.74665217330096034</v>
      </c>
      <c r="F708" s="304">
        <f t="shared" ca="1" si="300"/>
        <v>0.93186795943047596</v>
      </c>
      <c r="G708" s="306">
        <f t="shared" ca="1" si="301"/>
        <v>5.9481292376185051</v>
      </c>
      <c r="H708" s="307">
        <f t="shared" ca="1" si="302"/>
        <v>-96.687687409198986</v>
      </c>
      <c r="I708" s="304">
        <f t="shared" ca="1" si="303"/>
        <v>96.870476090325838</v>
      </c>
      <c r="J708" s="306">
        <f t="shared" ca="1" si="304"/>
        <v>588.9746359926213</v>
      </c>
      <c r="K708" s="307">
        <f t="shared" ca="1" si="305"/>
        <v>-10.488699087461908</v>
      </c>
      <c r="L708" s="304">
        <f t="shared" ref="L708:L771" ca="1" si="319">SQRT(pos_x^2+pos_z^2)</f>
        <v>589.06802209183627</v>
      </c>
      <c r="M708" s="306">
        <f t="shared" ca="1" si="306"/>
        <v>-1.5093547652757484</v>
      </c>
      <c r="N708" s="304">
        <f t="shared" ca="1" si="307"/>
        <v>-86.479657838259399</v>
      </c>
      <c r="P708" s="310">
        <f t="shared" ca="1" si="308"/>
        <v>23</v>
      </c>
      <c r="Q708" s="304">
        <f t="shared" ca="1" si="309"/>
        <v>0</v>
      </c>
      <c r="R708" s="306">
        <f t="shared" ca="1" si="310"/>
        <v>0</v>
      </c>
      <c r="S708" s="307">
        <f t="shared" ca="1" si="311"/>
        <v>2.5949999999999998</v>
      </c>
      <c r="T708" s="304">
        <f t="shared" ref="T708:T771" ca="1" si="320">m*g</f>
        <v>25.456949999999999</v>
      </c>
      <c r="U708" s="311">
        <f t="shared" ref="U708:U771" ca="1" si="321">IF(pos_xz&lt;L_rampe,Poids*COS(Beta),0)</f>
        <v>0</v>
      </c>
      <c r="V708" s="306">
        <f t="shared" ref="V708:V771" ca="1" si="322">Rho_moyen*(20000-Alt_rampe-pos_z)/(20000+Alt_rampe+pos_z)</f>
        <v>1.2262855398202313</v>
      </c>
      <c r="W708" s="304">
        <f t="shared" ref="W708:W771" ca="1" si="323">1/2*Rho*Sref*Cx*vit_xz^2</f>
        <v>23.563909435947426</v>
      </c>
      <c r="Y708" s="314" t="str">
        <f t="shared" ca="1" si="312"/>
        <v/>
      </c>
      <c r="Z708" s="315" t="str">
        <f t="shared" ca="1" si="313"/>
        <v/>
      </c>
      <c r="AA708" s="316" t="str">
        <f t="shared" ca="1" si="314"/>
        <v/>
      </c>
      <c r="AC708" s="310" t="e">
        <f t="shared" ca="1" si="315"/>
        <v>#N/A</v>
      </c>
      <c r="AD708" s="323" t="e">
        <f t="shared" ca="1" si="316"/>
        <v>#N/A</v>
      </c>
      <c r="AE708" s="324" t="e">
        <f t="shared" ref="AE708:AE771" ca="1" si="324">IF(t&lt;T_para, pos_z, NA())</f>
        <v>#N/A</v>
      </c>
      <c r="AG708" s="306">
        <f t="shared" ca="1" si="317"/>
        <v>0.71100626351996077</v>
      </c>
      <c r="AH708" s="304">
        <f t="shared" ca="1" si="318"/>
        <v>-9.0804824901349974</v>
      </c>
    </row>
    <row r="709" spans="1:34" x14ac:dyDescent="0.2">
      <c r="A709" s="347">
        <f t="shared" ref="A709:A772" ca="1" si="325">IF(B708+0.01&lt;=T_ini+ROUNDUP(Temps_fin_propu,0), 0.01, IF(K708&gt;0, 0.1, 0.0001))</f>
        <v>1E-4</v>
      </c>
      <c r="B709" s="304">
        <f t="shared" ref="B709:B772" ca="1" si="326">B708+pas</f>
        <v>32.532200000001239</v>
      </c>
      <c r="D709" s="306">
        <f t="shared" ref="D709:D772" ca="1" si="327">IF(AND(L708&lt;L_rampe,Poussee&lt;Poids*SIN(M708)),0,(-W708+Poussee)/m*COS(M708)-U708/m*SIN(M708))</f>
        <v>-0.55756941723723619</v>
      </c>
      <c r="E709" s="307">
        <f t="shared" ref="E709:E772" ca="1" si="328">IF(AND(L708&lt;L_rampe,Poussee&lt;Poids*SIN(M708)),0,(-W708+Poussee)/m*SIN(M708)+U708/m*COS(M708)-Poids/m)</f>
        <v>-0.74662975884707095</v>
      </c>
      <c r="F709" s="304">
        <f t="shared" ref="F709:F772" ca="1" si="329">SQRT(acc_x^2+acc_z^2)</f>
        <v>0.93184744021449484</v>
      </c>
      <c r="G709" s="306">
        <f t="shared" ref="G709:G772" ca="1" si="330">G708+acc_x*pas</f>
        <v>5.948073480676781</v>
      </c>
      <c r="H709" s="307">
        <f t="shared" ref="H709:H772" ca="1" si="331">H708+acc_z*pas</f>
        <v>-96.687762072174877</v>
      </c>
      <c r="I709" s="304">
        <f t="shared" ref="I709:I772" ca="1" si="332">SQRT(vit_x^2+vit_z^2)</f>
        <v>96.870547188797431</v>
      </c>
      <c r="J709" s="306">
        <f t="shared" ref="J709:J772" ca="1" si="333">J708+0.5*(vit_x+G708)*pas*(K708&gt;=0)</f>
        <v>588.9746359926213</v>
      </c>
      <c r="K709" s="307">
        <f t="shared" ref="K709:K772" ca="1" si="334">K708+0.5*(vit_z+H708)*pas</f>
        <v>-10.498367859935977</v>
      </c>
      <c r="L709" s="304">
        <f t="shared" ca="1" si="319"/>
        <v>589.06819432928421</v>
      </c>
      <c r="M709" s="306">
        <f t="shared" ref="M709:M772" ca="1" si="335">IF(AND(L708&gt;L_rampe,G709&gt;0),ATAN2(G709,H709),$M$4)</f>
        <v>-1.5093553870979388</v>
      </c>
      <c r="N709" s="304">
        <f t="shared" ref="N709:N772" ca="1" si="336">DEGREES(Beta)</f>
        <v>-86.479693466046527</v>
      </c>
      <c r="P709" s="310">
        <f t="shared" ref="P709:P772" ca="1" si="337">MATCH(t-pas/2-T_ini,CdP_t)</f>
        <v>23</v>
      </c>
      <c r="Q709" s="304">
        <f t="shared" ref="Q709:Q772" ca="1" si="338">(INDEX(CdP,2,i_P+1)-INDEX(CdP,2,i_P+0))/(INDEX(CdP,1,i_P+1)-INDEX(CdP,1,i_P+0))*(t-pas/2-T_ini-INDEX(CdP,1,i_P+0))+INDEX(CdP,2,i_P+0)</f>
        <v>0</v>
      </c>
      <c r="R709" s="306">
        <f t="shared" ref="R709:R772" ca="1" si="339">Poussee/(g*ISP)</f>
        <v>0</v>
      </c>
      <c r="S709" s="307">
        <f t="shared" ref="S709:S772" ca="1" si="340">S708-Débit*pas</f>
        <v>2.5949999999999998</v>
      </c>
      <c r="T709" s="304">
        <f t="shared" ca="1" si="320"/>
        <v>25.456949999999999</v>
      </c>
      <c r="U709" s="311">
        <f t="shared" ca="1" si="321"/>
        <v>0</v>
      </c>
      <c r="V709" s="306">
        <f t="shared" ca="1" si="322"/>
        <v>1.226286725488718</v>
      </c>
      <c r="W709" s="304">
        <f t="shared" ca="1" si="323"/>
        <v>23.563966809069029</v>
      </c>
      <c r="Y709" s="314" t="str">
        <f t="shared" ref="Y709:Y772" ca="1" si="341">IF(AND(pos_z&lt;=0,K708&gt;0),"Impact balistique","") &amp; IF(AND(H710&lt;0,vit_z&gt;=0),"Apogée","") &amp; IF(AND(Poussee=0,Q708&gt;0),"Fin de propulsion","") &amp; IF(AND(L710&gt;L_rampe,pos_xz&lt;=L_rampe),"Sortie de rampe","")</f>
        <v/>
      </c>
      <c r="Z709" s="315" t="str">
        <f t="shared" ref="Z709:Z772" ca="1" si="342">IF(ABS(t-T_para)&lt;pas/2,"Para","")</f>
        <v/>
      </c>
      <c r="AA709" s="316" t="str">
        <f t="shared" ref="AA709:AA772" ca="1" si="343">IF(ABS(t-T_satellite)&lt;pas/2,"Satellite","")</f>
        <v/>
      </c>
      <c r="AC709" s="310" t="e">
        <f t="shared" ref="AC709:AC772" ca="1" si="344">IF(ABS(t-ROUND(t,0))&lt;0.001,t,NA())</f>
        <v>#N/A</v>
      </c>
      <c r="AD709" s="323" t="e">
        <f t="shared" ref="AD709:AD772" ca="1" si="345">IF(ABS(t-ROUND(t,0))&lt;0.001,pos_x,NA())</f>
        <v>#N/A</v>
      </c>
      <c r="AE709" s="324" t="e">
        <f t="shared" ca="1" si="324"/>
        <v>#N/A</v>
      </c>
      <c r="AG709" s="306">
        <f t="shared" ref="AG709:AG772" ca="1" si="346">IF(AND(L708&lt;L_rampe,Poussee&lt;Poids*SIN(M708)),0,(-W708+Poussee)/m-Poids*SIN(M708)/m)</f>
        <v>0.71098452862893247</v>
      </c>
      <c r="AH709" s="304">
        <f t="shared" ref="AH709:AH772" ca="1" si="347">IF(AND(L708&lt;L_rampe,Poussee&lt;Poids*SIN(M708)), g*SIN(M708), (-W708+Poussee)/m)</f>
        <v>-9.0805045995943843</v>
      </c>
    </row>
    <row r="710" spans="1:34" x14ac:dyDescent="0.2">
      <c r="A710" s="347">
        <f t="shared" ca="1" si="325"/>
        <v>1E-4</v>
      </c>
      <c r="B710" s="304">
        <f t="shared" ca="1" si="326"/>
        <v>32.532300000001243</v>
      </c>
      <c r="D710" s="306">
        <f t="shared" ca="1" si="327"/>
        <v>-0.55756513898194182</v>
      </c>
      <c r="E710" s="307">
        <f t="shared" ca="1" si="328"/>
        <v>-0.74660734475473411</v>
      </c>
      <c r="F710" s="304">
        <f t="shared" ca="1" si="329"/>
        <v>0.93182692140207379</v>
      </c>
      <c r="G710" s="306">
        <f t="shared" ca="1" si="330"/>
        <v>5.9480177241628827</v>
      </c>
      <c r="H710" s="307">
        <f t="shared" ca="1" si="331"/>
        <v>-96.687836732909346</v>
      </c>
      <c r="I710" s="304">
        <f t="shared" ca="1" si="332"/>
        <v>96.87061828509556</v>
      </c>
      <c r="J710" s="306">
        <f t="shared" ca="1" si="333"/>
        <v>588.9746359926213</v>
      </c>
      <c r="K710" s="307">
        <f t="shared" ca="1" si="334"/>
        <v>-10.508036639876231</v>
      </c>
      <c r="L710" s="304">
        <f t="shared" ca="1" si="319"/>
        <v>589.06836672551492</v>
      </c>
      <c r="M710" s="306">
        <f t="shared" ca="1" si="335"/>
        <v>-1.5093560089133877</v>
      </c>
      <c r="N710" s="304">
        <f t="shared" ca="1" si="336"/>
        <v>-86.479729093447375</v>
      </c>
      <c r="P710" s="310">
        <f t="shared" ca="1" si="337"/>
        <v>23</v>
      </c>
      <c r="Q710" s="304">
        <f t="shared" ca="1" si="338"/>
        <v>0</v>
      </c>
      <c r="R710" s="306">
        <f t="shared" ca="1" si="339"/>
        <v>0</v>
      </c>
      <c r="S710" s="307">
        <f t="shared" ca="1" si="340"/>
        <v>2.5949999999999998</v>
      </c>
      <c r="T710" s="304">
        <f t="shared" ca="1" si="320"/>
        <v>25.456949999999999</v>
      </c>
      <c r="U710" s="311">
        <f t="shared" ca="1" si="321"/>
        <v>0</v>
      </c>
      <c r="V710" s="306">
        <f t="shared" ca="1" si="322"/>
        <v>1.2262879111592675</v>
      </c>
      <c r="W710" s="304">
        <f t="shared" ca="1" si="323"/>
        <v>23.56402418126515</v>
      </c>
      <c r="Y710" s="314" t="str">
        <f t="shared" ca="1" si="341"/>
        <v/>
      </c>
      <c r="Z710" s="315" t="str">
        <f t="shared" ca="1" si="342"/>
        <v/>
      </c>
      <c r="AA710" s="316" t="str">
        <f t="shared" ca="1" si="343"/>
        <v/>
      </c>
      <c r="AC710" s="310" t="e">
        <f t="shared" ca="1" si="344"/>
        <v>#N/A</v>
      </c>
      <c r="AD710" s="323" t="e">
        <f t="shared" ca="1" si="345"/>
        <v>#N/A</v>
      </c>
      <c r="AE710" s="324" t="e">
        <f t="shared" ca="1" si="324"/>
        <v>#N/A</v>
      </c>
      <c r="AG710" s="306">
        <f t="shared" ca="1" si="346"/>
        <v>0.71096279408670782</v>
      </c>
      <c r="AH710" s="304">
        <f t="shared" ca="1" si="347"/>
        <v>-9.0805267086971213</v>
      </c>
    </row>
    <row r="711" spans="1:34" x14ac:dyDescent="0.2">
      <c r="A711" s="347">
        <f t="shared" ca="1" si="325"/>
        <v>1E-4</v>
      </c>
      <c r="B711" s="304">
        <f t="shared" ca="1" si="326"/>
        <v>32.532400000001246</v>
      </c>
      <c r="D711" s="306">
        <f t="shared" ca="1" si="327"/>
        <v>-0.55756086073819067</v>
      </c>
      <c r="E711" s="307">
        <f t="shared" ca="1" si="328"/>
        <v>-0.74658493102393919</v>
      </c>
      <c r="F711" s="304">
        <f t="shared" ca="1" si="329"/>
        <v>0.93180640299320339</v>
      </c>
      <c r="G711" s="306">
        <f t="shared" ca="1" si="330"/>
        <v>5.9479619680768092</v>
      </c>
      <c r="H711" s="307">
        <f t="shared" ca="1" si="331"/>
        <v>-96.687911391402451</v>
      </c>
      <c r="I711" s="304">
        <f t="shared" ca="1" si="332"/>
        <v>96.870689379220266</v>
      </c>
      <c r="J711" s="306">
        <f t="shared" ca="1" si="333"/>
        <v>588.9746359926213</v>
      </c>
      <c r="K711" s="307">
        <f t="shared" ca="1" si="334"/>
        <v>-10.517705427282447</v>
      </c>
      <c r="L711" s="304">
        <f t="shared" ca="1" si="319"/>
        <v>589.06853928052874</v>
      </c>
      <c r="M711" s="306">
        <f t="shared" ca="1" si="335"/>
        <v>-1.5093566307220951</v>
      </c>
      <c r="N711" s="304">
        <f t="shared" ca="1" si="336"/>
        <v>-86.479764720461986</v>
      </c>
      <c r="P711" s="310">
        <f t="shared" ca="1" si="337"/>
        <v>23</v>
      </c>
      <c r="Q711" s="304">
        <f t="shared" ca="1" si="338"/>
        <v>0</v>
      </c>
      <c r="R711" s="306">
        <f t="shared" ca="1" si="339"/>
        <v>0</v>
      </c>
      <c r="S711" s="307">
        <f t="shared" ca="1" si="340"/>
        <v>2.5949999999999998</v>
      </c>
      <c r="T711" s="304">
        <f t="shared" ca="1" si="320"/>
        <v>25.456949999999999</v>
      </c>
      <c r="U711" s="311">
        <f t="shared" ca="1" si="321"/>
        <v>0</v>
      </c>
      <c r="V711" s="306">
        <f t="shared" ca="1" si="322"/>
        <v>1.2262890968318794</v>
      </c>
      <c r="W711" s="304">
        <f t="shared" ca="1" si="323"/>
        <v>23.564081552535786</v>
      </c>
      <c r="Y711" s="314" t="str">
        <f t="shared" ca="1" si="341"/>
        <v/>
      </c>
      <c r="Z711" s="315" t="str">
        <f t="shared" ca="1" si="342"/>
        <v/>
      </c>
      <c r="AA711" s="316" t="str">
        <f t="shared" ca="1" si="343"/>
        <v/>
      </c>
      <c r="AC711" s="310" t="e">
        <f t="shared" ca="1" si="344"/>
        <v>#N/A</v>
      </c>
      <c r="AD711" s="323" t="e">
        <f t="shared" ca="1" si="345"/>
        <v>#N/A</v>
      </c>
      <c r="AE711" s="324" t="e">
        <f t="shared" ca="1" si="324"/>
        <v>#N/A</v>
      </c>
      <c r="AG711" s="306">
        <f t="shared" ca="1" si="346"/>
        <v>0.71094105989327616</v>
      </c>
      <c r="AH711" s="304">
        <f t="shared" ca="1" si="347"/>
        <v>-9.0805488174432192</v>
      </c>
    </row>
    <row r="712" spans="1:34" x14ac:dyDescent="0.2">
      <c r="A712" s="347">
        <f t="shared" ca="1" si="325"/>
        <v>1E-4</v>
      </c>
      <c r="B712" s="304">
        <f t="shared" ca="1" si="326"/>
        <v>32.532500000001249</v>
      </c>
      <c r="D712" s="306">
        <f t="shared" ca="1" si="327"/>
        <v>-0.5575565825059835</v>
      </c>
      <c r="E712" s="307">
        <f t="shared" ca="1" si="328"/>
        <v>-0.74656251765468973</v>
      </c>
      <c r="F712" s="304">
        <f t="shared" ca="1" si="329"/>
        <v>0.93178588498788739</v>
      </c>
      <c r="G712" s="306">
        <f t="shared" ca="1" si="330"/>
        <v>5.9479062124185589</v>
      </c>
      <c r="H712" s="307">
        <f t="shared" ca="1" si="331"/>
        <v>-96.687986047654221</v>
      </c>
      <c r="I712" s="304">
        <f t="shared" ca="1" si="332"/>
        <v>96.870760471171607</v>
      </c>
      <c r="J712" s="306">
        <f t="shared" ca="1" si="333"/>
        <v>588.9746359926213</v>
      </c>
      <c r="K712" s="307">
        <f t="shared" ca="1" si="334"/>
        <v>-10.5273742221544</v>
      </c>
      <c r="L712" s="304">
        <f t="shared" ca="1" si="319"/>
        <v>589.06871199432578</v>
      </c>
      <c r="M712" s="306">
        <f t="shared" ca="1" si="335"/>
        <v>-1.5093572525240611</v>
      </c>
      <c r="N712" s="304">
        <f t="shared" ca="1" si="336"/>
        <v>-86.479800347090318</v>
      </c>
      <c r="P712" s="310">
        <f t="shared" ca="1" si="337"/>
        <v>23</v>
      </c>
      <c r="Q712" s="304">
        <f t="shared" ca="1" si="338"/>
        <v>0</v>
      </c>
      <c r="R712" s="306">
        <f t="shared" ca="1" si="339"/>
        <v>0</v>
      </c>
      <c r="S712" s="307">
        <f t="shared" ca="1" si="340"/>
        <v>2.5949999999999998</v>
      </c>
      <c r="T712" s="304">
        <f t="shared" ca="1" si="320"/>
        <v>25.456949999999999</v>
      </c>
      <c r="U712" s="311">
        <f t="shared" ca="1" si="321"/>
        <v>0</v>
      </c>
      <c r="V712" s="306">
        <f t="shared" ca="1" si="322"/>
        <v>1.226290282506554</v>
      </c>
      <c r="W712" s="304">
        <f t="shared" ca="1" si="323"/>
        <v>23.564138922880964</v>
      </c>
      <c r="Y712" s="314" t="str">
        <f t="shared" ca="1" si="341"/>
        <v/>
      </c>
      <c r="Z712" s="315" t="str">
        <f t="shared" ca="1" si="342"/>
        <v/>
      </c>
      <c r="AA712" s="316" t="str">
        <f t="shared" ca="1" si="343"/>
        <v/>
      </c>
      <c r="AC712" s="310" t="e">
        <f t="shared" ca="1" si="344"/>
        <v>#N/A</v>
      </c>
      <c r="AD712" s="323" t="e">
        <f t="shared" ca="1" si="345"/>
        <v>#N/A</v>
      </c>
      <c r="AE712" s="324" t="e">
        <f t="shared" ca="1" si="324"/>
        <v>#N/A</v>
      </c>
      <c r="AG712" s="306">
        <f t="shared" ca="1" si="346"/>
        <v>0.71091932604863928</v>
      </c>
      <c r="AH712" s="304">
        <f t="shared" ca="1" si="347"/>
        <v>-9.0805709258326743</v>
      </c>
    </row>
    <row r="713" spans="1:34" x14ac:dyDescent="0.2">
      <c r="A713" s="347">
        <f t="shared" ca="1" si="325"/>
        <v>1E-4</v>
      </c>
      <c r="B713" s="304">
        <f t="shared" ca="1" si="326"/>
        <v>32.532600000001253</v>
      </c>
      <c r="D713" s="306">
        <f t="shared" ca="1" si="327"/>
        <v>-0.55755230428532221</v>
      </c>
      <c r="E713" s="307">
        <f t="shared" ca="1" si="328"/>
        <v>-0.74654010464697151</v>
      </c>
      <c r="F713" s="304">
        <f t="shared" ca="1" si="329"/>
        <v>0.93176536738611604</v>
      </c>
      <c r="G713" s="306">
        <f t="shared" ca="1" si="330"/>
        <v>5.9478504571881308</v>
      </c>
      <c r="H713" s="307">
        <f t="shared" ca="1" si="331"/>
        <v>-96.688060701664682</v>
      </c>
      <c r="I713" s="304">
        <f t="shared" ca="1" si="332"/>
        <v>96.870831560949597</v>
      </c>
      <c r="J713" s="306">
        <f t="shared" ca="1" si="333"/>
        <v>588.9746359926213</v>
      </c>
      <c r="K713" s="307">
        <f t="shared" ca="1" si="334"/>
        <v>-10.537043024491865</v>
      </c>
      <c r="L713" s="304">
        <f t="shared" ca="1" si="319"/>
        <v>589.0688848669065</v>
      </c>
      <c r="M713" s="306">
        <f t="shared" ca="1" si="335"/>
        <v>-1.5093578743192855</v>
      </c>
      <c r="N713" s="304">
        <f t="shared" ca="1" si="336"/>
        <v>-86.479835973332399</v>
      </c>
      <c r="P713" s="310">
        <f t="shared" ca="1" si="337"/>
        <v>23</v>
      </c>
      <c r="Q713" s="304">
        <f t="shared" ca="1" si="338"/>
        <v>0</v>
      </c>
      <c r="R713" s="306">
        <f t="shared" ca="1" si="339"/>
        <v>0</v>
      </c>
      <c r="S713" s="307">
        <f t="shared" ca="1" si="340"/>
        <v>2.5949999999999998</v>
      </c>
      <c r="T713" s="304">
        <f t="shared" ca="1" si="320"/>
        <v>25.456949999999999</v>
      </c>
      <c r="U713" s="311">
        <f t="shared" ca="1" si="321"/>
        <v>0</v>
      </c>
      <c r="V713" s="306">
        <f t="shared" ca="1" si="322"/>
        <v>1.2262914681832908</v>
      </c>
      <c r="W713" s="304">
        <f t="shared" ca="1" si="323"/>
        <v>23.564196292300686</v>
      </c>
      <c r="Y713" s="314" t="str">
        <f t="shared" ca="1" si="341"/>
        <v/>
      </c>
      <c r="Z713" s="315" t="str">
        <f t="shared" ca="1" si="342"/>
        <v/>
      </c>
      <c r="AA713" s="316" t="str">
        <f t="shared" ca="1" si="343"/>
        <v/>
      </c>
      <c r="AC713" s="310" t="e">
        <f t="shared" ca="1" si="344"/>
        <v>#N/A</v>
      </c>
      <c r="AD713" s="323" t="e">
        <f t="shared" ca="1" si="345"/>
        <v>#N/A</v>
      </c>
      <c r="AE713" s="324" t="e">
        <f t="shared" ca="1" si="324"/>
        <v>#N/A</v>
      </c>
      <c r="AG713" s="306">
        <f t="shared" ca="1" si="346"/>
        <v>0.71089759255279006</v>
      </c>
      <c r="AH713" s="304">
        <f t="shared" ca="1" si="347"/>
        <v>-9.0805930338654974</v>
      </c>
    </row>
    <row r="714" spans="1:34" x14ac:dyDescent="0.2">
      <c r="A714" s="347">
        <f t="shared" ca="1" si="325"/>
        <v>1E-4</v>
      </c>
      <c r="B714" s="304">
        <f t="shared" ca="1" si="326"/>
        <v>32.532700000001256</v>
      </c>
      <c r="D714" s="306">
        <f t="shared" ca="1" si="327"/>
        <v>-0.55754802607620801</v>
      </c>
      <c r="E714" s="307">
        <f t="shared" ca="1" si="328"/>
        <v>-0.7465176920007881</v>
      </c>
      <c r="F714" s="304">
        <f t="shared" ca="1" si="329"/>
        <v>0.93174485018789321</v>
      </c>
      <c r="G714" s="306">
        <f t="shared" ca="1" si="330"/>
        <v>5.9477947023855231</v>
      </c>
      <c r="H714" s="307">
        <f t="shared" ca="1" si="331"/>
        <v>-96.688135353433879</v>
      </c>
      <c r="I714" s="304">
        <f t="shared" ca="1" si="332"/>
        <v>96.870902648554249</v>
      </c>
      <c r="J714" s="306">
        <f t="shared" ca="1" si="333"/>
        <v>588.9746359926213</v>
      </c>
      <c r="K714" s="307">
        <f t="shared" ca="1" si="334"/>
        <v>-10.546711834294619</v>
      </c>
      <c r="L714" s="304">
        <f t="shared" ca="1" si="319"/>
        <v>589.0690578982709</v>
      </c>
      <c r="M714" s="306">
        <f t="shared" ca="1" si="335"/>
        <v>-1.5093584961077688</v>
      </c>
      <c r="N714" s="304">
        <f t="shared" ca="1" si="336"/>
        <v>-86.479871599188243</v>
      </c>
      <c r="P714" s="310">
        <f t="shared" ca="1" si="337"/>
        <v>23</v>
      </c>
      <c r="Q714" s="304">
        <f t="shared" ca="1" si="338"/>
        <v>0</v>
      </c>
      <c r="R714" s="306">
        <f t="shared" ca="1" si="339"/>
        <v>0</v>
      </c>
      <c r="S714" s="307">
        <f t="shared" ca="1" si="340"/>
        <v>2.5949999999999998</v>
      </c>
      <c r="T714" s="304">
        <f t="shared" ca="1" si="320"/>
        <v>25.456949999999999</v>
      </c>
      <c r="U714" s="311">
        <f t="shared" ca="1" si="321"/>
        <v>0</v>
      </c>
      <c r="V714" s="306">
        <f t="shared" ca="1" si="322"/>
        <v>1.2262926538620902</v>
      </c>
      <c r="W714" s="304">
        <f t="shared" ca="1" si="323"/>
        <v>23.564253660794957</v>
      </c>
      <c r="Y714" s="314" t="str">
        <f t="shared" ca="1" si="341"/>
        <v/>
      </c>
      <c r="Z714" s="315" t="str">
        <f t="shared" ca="1" si="342"/>
        <v/>
      </c>
      <c r="AA714" s="316" t="str">
        <f t="shared" ca="1" si="343"/>
        <v/>
      </c>
      <c r="AC714" s="310" t="e">
        <f t="shared" ca="1" si="344"/>
        <v>#N/A</v>
      </c>
      <c r="AD714" s="323" t="e">
        <f t="shared" ca="1" si="345"/>
        <v>#N/A</v>
      </c>
      <c r="AE714" s="324" t="e">
        <f t="shared" ca="1" si="324"/>
        <v>#N/A</v>
      </c>
      <c r="AG714" s="306">
        <f t="shared" ca="1" si="346"/>
        <v>0.71087585940572318</v>
      </c>
      <c r="AH714" s="304">
        <f t="shared" ca="1" si="347"/>
        <v>-9.0806151415416902</v>
      </c>
    </row>
    <row r="715" spans="1:34" x14ac:dyDescent="0.2">
      <c r="A715" s="347">
        <f t="shared" ca="1" si="325"/>
        <v>1E-4</v>
      </c>
      <c r="B715" s="304">
        <f t="shared" ca="1" si="326"/>
        <v>32.532800000001259</v>
      </c>
      <c r="D715" s="306">
        <f t="shared" ca="1" si="327"/>
        <v>-0.55754374787863814</v>
      </c>
      <c r="E715" s="307">
        <f t="shared" ca="1" si="328"/>
        <v>-0.74649527971613239</v>
      </c>
      <c r="F715" s="304">
        <f t="shared" ca="1" si="329"/>
        <v>0.93172433339321192</v>
      </c>
      <c r="G715" s="306">
        <f t="shared" ca="1" si="330"/>
        <v>5.947738948010735</v>
      </c>
      <c r="H715" s="307">
        <f t="shared" ca="1" si="331"/>
        <v>-96.688210002961853</v>
      </c>
      <c r="I715" s="304">
        <f t="shared" ca="1" si="332"/>
        <v>96.870973733985636</v>
      </c>
      <c r="J715" s="306">
        <f t="shared" ca="1" si="333"/>
        <v>588.9746359926213</v>
      </c>
      <c r="K715" s="307">
        <f t="shared" ca="1" si="334"/>
        <v>-10.556380651562439</v>
      </c>
      <c r="L715" s="304">
        <f t="shared" ca="1" si="319"/>
        <v>589.0692310884192</v>
      </c>
      <c r="M715" s="306">
        <f t="shared" ca="1" si="335"/>
        <v>-1.5093591178895109</v>
      </c>
      <c r="N715" s="304">
        <f t="shared" ca="1" si="336"/>
        <v>-86.47990722465785</v>
      </c>
      <c r="P715" s="310">
        <f t="shared" ca="1" si="337"/>
        <v>23</v>
      </c>
      <c r="Q715" s="304">
        <f t="shared" ca="1" si="338"/>
        <v>0</v>
      </c>
      <c r="R715" s="306">
        <f t="shared" ca="1" si="339"/>
        <v>0</v>
      </c>
      <c r="S715" s="307">
        <f t="shared" ca="1" si="340"/>
        <v>2.5949999999999998</v>
      </c>
      <c r="T715" s="304">
        <f t="shared" ca="1" si="320"/>
        <v>25.456949999999999</v>
      </c>
      <c r="U715" s="311">
        <f t="shared" ca="1" si="321"/>
        <v>0</v>
      </c>
      <c r="V715" s="306">
        <f t="shared" ca="1" si="322"/>
        <v>1.2262938395429526</v>
      </c>
      <c r="W715" s="304">
        <f t="shared" ca="1" si="323"/>
        <v>23.564311028363822</v>
      </c>
      <c r="Y715" s="314" t="str">
        <f t="shared" ca="1" si="341"/>
        <v/>
      </c>
      <c r="Z715" s="315" t="str">
        <f t="shared" ca="1" si="342"/>
        <v/>
      </c>
      <c r="AA715" s="316" t="str">
        <f t="shared" ca="1" si="343"/>
        <v/>
      </c>
      <c r="AC715" s="310" t="e">
        <f t="shared" ca="1" si="344"/>
        <v>#N/A</v>
      </c>
      <c r="AD715" s="323" t="e">
        <f t="shared" ca="1" si="345"/>
        <v>#N/A</v>
      </c>
      <c r="AE715" s="324" t="e">
        <f t="shared" ca="1" si="324"/>
        <v>#N/A</v>
      </c>
      <c r="AG715" s="306">
        <f t="shared" ca="1" si="346"/>
        <v>0.71085412660743685</v>
      </c>
      <c r="AH715" s="304">
        <f t="shared" ca="1" si="347"/>
        <v>-9.0806372488612563</v>
      </c>
    </row>
    <row r="716" spans="1:34" x14ac:dyDescent="0.2">
      <c r="A716" s="347">
        <f t="shared" ca="1" si="325"/>
        <v>1E-4</v>
      </c>
      <c r="B716" s="304">
        <f t="shared" ca="1" si="326"/>
        <v>32.532900000001263</v>
      </c>
      <c r="D716" s="306">
        <f t="shared" ca="1" si="327"/>
        <v>-0.5575394696926167</v>
      </c>
      <c r="E716" s="307">
        <f t="shared" ca="1" si="328"/>
        <v>-0.74647286779299016</v>
      </c>
      <c r="F716" s="304">
        <f t="shared" ca="1" si="329"/>
        <v>0.93170381700206384</v>
      </c>
      <c r="G716" s="306">
        <f t="shared" ca="1" si="330"/>
        <v>5.9476831940637656</v>
      </c>
      <c r="H716" s="307">
        <f t="shared" ca="1" si="331"/>
        <v>-96.688284650248633</v>
      </c>
      <c r="I716" s="304">
        <f t="shared" ca="1" si="332"/>
        <v>96.871044817243785</v>
      </c>
      <c r="J716" s="306">
        <f t="shared" ca="1" si="333"/>
        <v>588.9746359926213</v>
      </c>
      <c r="K716" s="307">
        <f t="shared" ca="1" si="334"/>
        <v>-10.566049476295099</v>
      </c>
      <c r="L716" s="304">
        <f t="shared" ca="1" si="319"/>
        <v>589.06940443735175</v>
      </c>
      <c r="M716" s="306">
        <f t="shared" ca="1" si="335"/>
        <v>-1.509359739664512</v>
      </c>
      <c r="N716" s="304">
        <f t="shared" ca="1" si="336"/>
        <v>-86.479942849741221</v>
      </c>
      <c r="P716" s="310">
        <f t="shared" ca="1" si="337"/>
        <v>23</v>
      </c>
      <c r="Q716" s="304">
        <f t="shared" ca="1" si="338"/>
        <v>0</v>
      </c>
      <c r="R716" s="306">
        <f t="shared" ca="1" si="339"/>
        <v>0</v>
      </c>
      <c r="S716" s="307">
        <f t="shared" ca="1" si="340"/>
        <v>2.5949999999999998</v>
      </c>
      <c r="T716" s="304">
        <f t="shared" ca="1" si="320"/>
        <v>25.456949999999999</v>
      </c>
      <c r="U716" s="311">
        <f t="shared" ca="1" si="321"/>
        <v>0</v>
      </c>
      <c r="V716" s="306">
        <f t="shared" ca="1" si="322"/>
        <v>1.2262950252258769</v>
      </c>
      <c r="W716" s="304">
        <f t="shared" ca="1" si="323"/>
        <v>23.56436839500725</v>
      </c>
      <c r="Y716" s="314" t="str">
        <f t="shared" ca="1" si="341"/>
        <v/>
      </c>
      <c r="Z716" s="315" t="str">
        <f t="shared" ca="1" si="342"/>
        <v/>
      </c>
      <c r="AA716" s="316" t="str">
        <f t="shared" ca="1" si="343"/>
        <v/>
      </c>
      <c r="AC716" s="310" t="e">
        <f t="shared" ca="1" si="344"/>
        <v>#N/A</v>
      </c>
      <c r="AD716" s="323" t="e">
        <f t="shared" ca="1" si="345"/>
        <v>#N/A</v>
      </c>
      <c r="AE716" s="324" t="e">
        <f t="shared" ca="1" si="324"/>
        <v>#N/A</v>
      </c>
      <c r="AG716" s="306">
        <f t="shared" ca="1" si="346"/>
        <v>0.71083239415791866</v>
      </c>
      <c r="AH716" s="304">
        <f t="shared" ca="1" si="347"/>
        <v>-9.0806593558242099</v>
      </c>
    </row>
    <row r="717" spans="1:34" x14ac:dyDescent="0.2">
      <c r="A717" s="347">
        <f t="shared" ca="1" si="325"/>
        <v>1E-4</v>
      </c>
      <c r="B717" s="304">
        <f t="shared" ca="1" si="326"/>
        <v>32.533000000001266</v>
      </c>
      <c r="D717" s="306">
        <f t="shared" ca="1" si="327"/>
        <v>-0.55753519151814213</v>
      </c>
      <c r="E717" s="307">
        <f t="shared" ca="1" si="328"/>
        <v>-0.74645045623137385</v>
      </c>
      <c r="F717" s="304">
        <f t="shared" ca="1" si="329"/>
        <v>0.93168330101445829</v>
      </c>
      <c r="G717" s="306">
        <f t="shared" ca="1" si="330"/>
        <v>5.9476274405446139</v>
      </c>
      <c r="H717" s="307">
        <f t="shared" ca="1" si="331"/>
        <v>-96.688359295294262</v>
      </c>
      <c r="I717" s="304">
        <f t="shared" ca="1" si="332"/>
        <v>96.871115898328725</v>
      </c>
      <c r="J717" s="306">
        <f t="shared" ca="1" si="333"/>
        <v>588.9746359926213</v>
      </c>
      <c r="K717" s="307">
        <f t="shared" ca="1" si="334"/>
        <v>-10.575718308492377</v>
      </c>
      <c r="L717" s="304">
        <f t="shared" ca="1" si="319"/>
        <v>589.06957794506866</v>
      </c>
      <c r="M717" s="306">
        <f t="shared" ca="1" si="335"/>
        <v>-1.5093603614327722</v>
      </c>
      <c r="N717" s="304">
        <f t="shared" ca="1" si="336"/>
        <v>-86.479978474438354</v>
      </c>
      <c r="P717" s="310">
        <f t="shared" ca="1" si="337"/>
        <v>23</v>
      </c>
      <c r="Q717" s="304">
        <f t="shared" ca="1" si="338"/>
        <v>0</v>
      </c>
      <c r="R717" s="306">
        <f t="shared" ca="1" si="339"/>
        <v>0</v>
      </c>
      <c r="S717" s="307">
        <f t="shared" ca="1" si="340"/>
        <v>2.5949999999999998</v>
      </c>
      <c r="T717" s="304">
        <f t="shared" ca="1" si="320"/>
        <v>25.456949999999999</v>
      </c>
      <c r="U717" s="311">
        <f t="shared" ca="1" si="321"/>
        <v>0</v>
      </c>
      <c r="V717" s="306">
        <f t="shared" ca="1" si="322"/>
        <v>1.2262962109108637</v>
      </c>
      <c r="W717" s="304">
        <f t="shared" ca="1" si="323"/>
        <v>23.564425760725282</v>
      </c>
      <c r="Y717" s="314" t="str">
        <f t="shared" ca="1" si="341"/>
        <v/>
      </c>
      <c r="Z717" s="315" t="str">
        <f t="shared" ca="1" si="342"/>
        <v/>
      </c>
      <c r="AA717" s="316" t="str">
        <f t="shared" ca="1" si="343"/>
        <v/>
      </c>
      <c r="AC717" s="310" t="e">
        <f t="shared" ca="1" si="344"/>
        <v>#N/A</v>
      </c>
      <c r="AD717" s="323" t="e">
        <f t="shared" ca="1" si="345"/>
        <v>#N/A</v>
      </c>
      <c r="AE717" s="324" t="e">
        <f t="shared" ca="1" si="324"/>
        <v>#N/A</v>
      </c>
      <c r="AG717" s="306">
        <f t="shared" ca="1" si="346"/>
        <v>0.71081066205717569</v>
      </c>
      <c r="AH717" s="304">
        <f t="shared" ca="1" si="347"/>
        <v>-9.0806814624305403</v>
      </c>
    </row>
    <row r="718" spans="1:34" x14ac:dyDescent="0.2">
      <c r="A718" s="347">
        <f t="shared" ca="1" si="325"/>
        <v>1E-4</v>
      </c>
      <c r="B718" s="304">
        <f t="shared" ca="1" si="326"/>
        <v>32.533100000001269</v>
      </c>
      <c r="D718" s="306">
        <f t="shared" ca="1" si="327"/>
        <v>-0.55753091335521443</v>
      </c>
      <c r="E718" s="307">
        <f t="shared" ca="1" si="328"/>
        <v>-0.7464280450312657</v>
      </c>
      <c r="F718" s="304">
        <f t="shared" ca="1" si="329"/>
        <v>0.93166278543038128</v>
      </c>
      <c r="G718" s="306">
        <f t="shared" ca="1" si="330"/>
        <v>5.9475716874532782</v>
      </c>
      <c r="H718" s="307">
        <f t="shared" ca="1" si="331"/>
        <v>-96.688433938098768</v>
      </c>
      <c r="I718" s="304">
        <f t="shared" ca="1" si="332"/>
        <v>96.871186977240484</v>
      </c>
      <c r="J718" s="306">
        <f t="shared" ca="1" si="333"/>
        <v>588.9746359926213</v>
      </c>
      <c r="K718" s="307">
        <f t="shared" ca="1" si="334"/>
        <v>-10.585387148154046</v>
      </c>
      <c r="L718" s="304">
        <f t="shared" ca="1" si="319"/>
        <v>589.06975161157027</v>
      </c>
      <c r="M718" s="306">
        <f t="shared" ca="1" si="335"/>
        <v>-1.5093609831942914</v>
      </c>
      <c r="N718" s="304">
        <f t="shared" ca="1" si="336"/>
        <v>-86.480014098749265</v>
      </c>
      <c r="P718" s="310">
        <f t="shared" ca="1" si="337"/>
        <v>23</v>
      </c>
      <c r="Q718" s="304">
        <f t="shared" ca="1" si="338"/>
        <v>0</v>
      </c>
      <c r="R718" s="306">
        <f t="shared" ca="1" si="339"/>
        <v>0</v>
      </c>
      <c r="S718" s="307">
        <f t="shared" ca="1" si="340"/>
        <v>2.5949999999999998</v>
      </c>
      <c r="T718" s="304">
        <f t="shared" ca="1" si="320"/>
        <v>25.456949999999999</v>
      </c>
      <c r="U718" s="311">
        <f t="shared" ca="1" si="321"/>
        <v>0</v>
      </c>
      <c r="V718" s="306">
        <f t="shared" ca="1" si="322"/>
        <v>1.2262973965979129</v>
      </c>
      <c r="W718" s="304">
        <f t="shared" ca="1" si="323"/>
        <v>23.56448312551791</v>
      </c>
      <c r="Y718" s="314" t="str">
        <f t="shared" ca="1" si="341"/>
        <v/>
      </c>
      <c r="Z718" s="315" t="str">
        <f t="shared" ca="1" si="342"/>
        <v/>
      </c>
      <c r="AA718" s="316" t="str">
        <f t="shared" ca="1" si="343"/>
        <v/>
      </c>
      <c r="AC718" s="310" t="e">
        <f t="shared" ca="1" si="344"/>
        <v>#N/A</v>
      </c>
      <c r="AD718" s="323" t="e">
        <f t="shared" ca="1" si="345"/>
        <v>#N/A</v>
      </c>
      <c r="AE718" s="324" t="e">
        <f t="shared" ca="1" si="324"/>
        <v>#N/A</v>
      </c>
      <c r="AG718" s="306">
        <f t="shared" ca="1" si="346"/>
        <v>0.71078893030519552</v>
      </c>
      <c r="AH718" s="304">
        <f t="shared" ca="1" si="347"/>
        <v>-9.0807035686802635</v>
      </c>
    </row>
    <row r="719" spans="1:34" x14ac:dyDescent="0.2">
      <c r="A719" s="347">
        <f t="shared" ca="1" si="325"/>
        <v>1E-4</v>
      </c>
      <c r="B719" s="304">
        <f t="shared" ca="1" si="326"/>
        <v>32.533200000001273</v>
      </c>
      <c r="D719" s="306">
        <f t="shared" ca="1" si="327"/>
        <v>-0.55752663520383661</v>
      </c>
      <c r="E719" s="307">
        <f t="shared" ca="1" si="328"/>
        <v>-0.74640563419267103</v>
      </c>
      <c r="F719" s="304">
        <f t="shared" ca="1" si="329"/>
        <v>0.9316422702498397</v>
      </c>
      <c r="G719" s="306">
        <f t="shared" ca="1" si="330"/>
        <v>5.9475159347897577</v>
      </c>
      <c r="H719" s="307">
        <f t="shared" ca="1" si="331"/>
        <v>-96.688508578662194</v>
      </c>
      <c r="I719" s="304">
        <f t="shared" ca="1" si="332"/>
        <v>96.871258053979091</v>
      </c>
      <c r="J719" s="306">
        <f t="shared" ca="1" si="333"/>
        <v>588.9746359926213</v>
      </c>
      <c r="K719" s="307">
        <f t="shared" ca="1" si="334"/>
        <v>-10.595055995279884</v>
      </c>
      <c r="L719" s="304">
        <f t="shared" ca="1" si="319"/>
        <v>589.06992543685669</v>
      </c>
      <c r="M719" s="306">
        <f t="shared" ca="1" si="335"/>
        <v>-1.5093616049490697</v>
      </c>
      <c r="N719" s="304">
        <f t="shared" ca="1" si="336"/>
        <v>-86.480049722673968</v>
      </c>
      <c r="P719" s="310">
        <f t="shared" ca="1" si="337"/>
        <v>23</v>
      </c>
      <c r="Q719" s="304">
        <f t="shared" ca="1" si="338"/>
        <v>0</v>
      </c>
      <c r="R719" s="306">
        <f t="shared" ca="1" si="339"/>
        <v>0</v>
      </c>
      <c r="S719" s="307">
        <f t="shared" ca="1" si="340"/>
        <v>2.5949999999999998</v>
      </c>
      <c r="T719" s="304">
        <f t="shared" ca="1" si="320"/>
        <v>25.456949999999999</v>
      </c>
      <c r="U719" s="311">
        <f t="shared" ca="1" si="321"/>
        <v>0</v>
      </c>
      <c r="V719" s="306">
        <f t="shared" ca="1" si="322"/>
        <v>1.226298582287024</v>
      </c>
      <c r="W719" s="304">
        <f t="shared" ca="1" si="323"/>
        <v>23.564540489385134</v>
      </c>
      <c r="Y719" s="314" t="str">
        <f t="shared" ca="1" si="341"/>
        <v/>
      </c>
      <c r="Z719" s="315" t="str">
        <f t="shared" ca="1" si="342"/>
        <v/>
      </c>
      <c r="AA719" s="316" t="str">
        <f t="shared" ca="1" si="343"/>
        <v/>
      </c>
      <c r="AC719" s="310" t="e">
        <f t="shared" ca="1" si="344"/>
        <v>#N/A</v>
      </c>
      <c r="AD719" s="323" t="e">
        <f t="shared" ca="1" si="345"/>
        <v>#N/A</v>
      </c>
      <c r="AE719" s="324" t="e">
        <f t="shared" ca="1" si="324"/>
        <v>#N/A</v>
      </c>
      <c r="AG719" s="306">
        <f t="shared" ca="1" si="346"/>
        <v>0.7107671989019817</v>
      </c>
      <c r="AH719" s="304">
        <f t="shared" ca="1" si="347"/>
        <v>-9.080725674573376</v>
      </c>
    </row>
    <row r="720" spans="1:34" x14ac:dyDescent="0.2">
      <c r="A720" s="347">
        <f t="shared" ca="1" si="325"/>
        <v>1E-4</v>
      </c>
      <c r="B720" s="304">
        <f t="shared" ca="1" si="326"/>
        <v>32.533300000001276</v>
      </c>
      <c r="D720" s="306">
        <f t="shared" ca="1" si="327"/>
        <v>-0.55752235706400777</v>
      </c>
      <c r="E720" s="307">
        <f t="shared" ca="1" si="328"/>
        <v>-0.74638322371558452</v>
      </c>
      <c r="F720" s="304">
        <f t="shared" ca="1" si="329"/>
        <v>0.93162175547282888</v>
      </c>
      <c r="G720" s="306">
        <f t="shared" ca="1" si="330"/>
        <v>5.9474601825540514</v>
      </c>
      <c r="H720" s="307">
        <f t="shared" ca="1" si="331"/>
        <v>-96.688583216984568</v>
      </c>
      <c r="I720" s="304">
        <f t="shared" ca="1" si="332"/>
        <v>96.871329128544616</v>
      </c>
      <c r="J720" s="306">
        <f t="shared" ca="1" si="333"/>
        <v>588.9746359926213</v>
      </c>
      <c r="K720" s="307">
        <f t="shared" ca="1" si="334"/>
        <v>-10.604724849869665</v>
      </c>
      <c r="L720" s="304">
        <f t="shared" ca="1" si="319"/>
        <v>589.07009942092816</v>
      </c>
      <c r="M720" s="306">
        <f t="shared" ca="1" si="335"/>
        <v>-1.5093622266971072</v>
      </c>
      <c r="N720" s="304">
        <f t="shared" ca="1" si="336"/>
        <v>-86.480085346212434</v>
      </c>
      <c r="P720" s="310">
        <f t="shared" ca="1" si="337"/>
        <v>23</v>
      </c>
      <c r="Q720" s="304">
        <f t="shared" ca="1" si="338"/>
        <v>0</v>
      </c>
      <c r="R720" s="306">
        <f t="shared" ca="1" si="339"/>
        <v>0</v>
      </c>
      <c r="S720" s="307">
        <f t="shared" ca="1" si="340"/>
        <v>2.5949999999999998</v>
      </c>
      <c r="T720" s="304">
        <f t="shared" ca="1" si="320"/>
        <v>25.456949999999999</v>
      </c>
      <c r="U720" s="311">
        <f t="shared" ca="1" si="321"/>
        <v>0</v>
      </c>
      <c r="V720" s="306">
        <f t="shared" ca="1" si="322"/>
        <v>1.226299767978198</v>
      </c>
      <c r="W720" s="304">
        <f t="shared" ca="1" si="323"/>
        <v>23.564597852327012</v>
      </c>
      <c r="Y720" s="314" t="str">
        <f t="shared" ca="1" si="341"/>
        <v/>
      </c>
      <c r="Z720" s="315" t="str">
        <f t="shared" ca="1" si="342"/>
        <v/>
      </c>
      <c r="AA720" s="316" t="str">
        <f t="shared" ca="1" si="343"/>
        <v/>
      </c>
      <c r="AC720" s="310" t="e">
        <f t="shared" ca="1" si="344"/>
        <v>#N/A</v>
      </c>
      <c r="AD720" s="323" t="e">
        <f t="shared" ca="1" si="345"/>
        <v>#N/A</v>
      </c>
      <c r="AE720" s="324" t="e">
        <f t="shared" ca="1" si="324"/>
        <v>#N/A</v>
      </c>
      <c r="AG720" s="306">
        <f t="shared" ca="1" si="346"/>
        <v>0.71074546784753068</v>
      </c>
      <c r="AH720" s="304">
        <f t="shared" ca="1" si="347"/>
        <v>-9.0807477801098795</v>
      </c>
    </row>
    <row r="721" spans="1:34" x14ac:dyDescent="0.2">
      <c r="A721" s="347">
        <f t="shared" ca="1" si="325"/>
        <v>1E-4</v>
      </c>
      <c r="B721" s="304">
        <f t="shared" ca="1" si="326"/>
        <v>32.533400000001279</v>
      </c>
      <c r="D721" s="306">
        <f t="shared" ca="1" si="327"/>
        <v>-0.55751807893573035</v>
      </c>
      <c r="E721" s="307">
        <f t="shared" ca="1" si="328"/>
        <v>-0.74636081359999196</v>
      </c>
      <c r="F721" s="304">
        <f t="shared" ca="1" si="329"/>
        <v>0.93160124109933928</v>
      </c>
      <c r="G721" s="306">
        <f t="shared" ca="1" si="330"/>
        <v>5.9474044307461575</v>
      </c>
      <c r="H721" s="307">
        <f t="shared" ca="1" si="331"/>
        <v>-96.688657853065934</v>
      </c>
      <c r="I721" s="304">
        <f t="shared" ca="1" si="332"/>
        <v>96.87140020093706</v>
      </c>
      <c r="J721" s="306">
        <f t="shared" ca="1" si="333"/>
        <v>588.9746359926213</v>
      </c>
      <c r="K721" s="307">
        <f t="shared" ca="1" si="334"/>
        <v>-10.614393711923167</v>
      </c>
      <c r="L721" s="304">
        <f t="shared" ca="1" si="319"/>
        <v>589.07027356378501</v>
      </c>
      <c r="M721" s="306">
        <f t="shared" ca="1" si="335"/>
        <v>-1.5093628484384043</v>
      </c>
      <c r="N721" s="304">
        <f t="shared" ca="1" si="336"/>
        <v>-86.480120969364705</v>
      </c>
      <c r="P721" s="310">
        <f t="shared" ca="1" si="337"/>
        <v>23</v>
      </c>
      <c r="Q721" s="304">
        <f t="shared" ca="1" si="338"/>
        <v>0</v>
      </c>
      <c r="R721" s="306">
        <f t="shared" ca="1" si="339"/>
        <v>0</v>
      </c>
      <c r="S721" s="307">
        <f t="shared" ca="1" si="340"/>
        <v>2.5949999999999998</v>
      </c>
      <c r="T721" s="304">
        <f t="shared" ca="1" si="320"/>
        <v>25.456949999999999</v>
      </c>
      <c r="U721" s="311">
        <f t="shared" ca="1" si="321"/>
        <v>0</v>
      </c>
      <c r="V721" s="306">
        <f t="shared" ca="1" si="322"/>
        <v>1.226300953671434</v>
      </c>
      <c r="W721" s="304">
        <f t="shared" ca="1" si="323"/>
        <v>23.564655214343517</v>
      </c>
      <c r="Y721" s="314" t="str">
        <f t="shared" ca="1" si="341"/>
        <v/>
      </c>
      <c r="Z721" s="315" t="str">
        <f t="shared" ca="1" si="342"/>
        <v/>
      </c>
      <c r="AA721" s="316" t="str">
        <f t="shared" ca="1" si="343"/>
        <v/>
      </c>
      <c r="AC721" s="310" t="e">
        <f t="shared" ca="1" si="344"/>
        <v>#N/A</v>
      </c>
      <c r="AD721" s="323" t="e">
        <f t="shared" ca="1" si="345"/>
        <v>#N/A</v>
      </c>
      <c r="AE721" s="324" t="e">
        <f t="shared" ca="1" si="324"/>
        <v>#N/A</v>
      </c>
      <c r="AG721" s="306">
        <f t="shared" ca="1" si="346"/>
        <v>0.71072373714182291</v>
      </c>
      <c r="AH721" s="304">
        <f t="shared" ca="1" si="347"/>
        <v>-9.0807698852897936</v>
      </c>
    </row>
    <row r="722" spans="1:34" x14ac:dyDescent="0.2">
      <c r="A722" s="347">
        <f t="shared" ca="1" si="325"/>
        <v>1E-4</v>
      </c>
      <c r="B722" s="304">
        <f t="shared" ca="1" si="326"/>
        <v>32.533500000001283</v>
      </c>
      <c r="D722" s="306">
        <f t="shared" ca="1" si="327"/>
        <v>-0.55751380081900082</v>
      </c>
      <c r="E722" s="307">
        <f t="shared" ca="1" si="328"/>
        <v>-0.74633840384589689</v>
      </c>
      <c r="F722" s="304">
        <f t="shared" ca="1" si="329"/>
        <v>0.93158072712937212</v>
      </c>
      <c r="G722" s="306">
        <f t="shared" ca="1" si="330"/>
        <v>5.9473486793660753</v>
      </c>
      <c r="H722" s="307">
        <f t="shared" ca="1" si="331"/>
        <v>-96.688732486906318</v>
      </c>
      <c r="I722" s="304">
        <f t="shared" ca="1" si="332"/>
        <v>96.871471271156466</v>
      </c>
      <c r="J722" s="306">
        <f t="shared" ca="1" si="333"/>
        <v>588.9746359926213</v>
      </c>
      <c r="K722" s="307">
        <f t="shared" ca="1" si="334"/>
        <v>-10.624062581440166</v>
      </c>
      <c r="L722" s="304">
        <f t="shared" ca="1" si="319"/>
        <v>589.07044786542724</v>
      </c>
      <c r="M722" s="306">
        <f t="shared" ca="1" si="335"/>
        <v>-1.5093634701729608</v>
      </c>
      <c r="N722" s="304">
        <f t="shared" ca="1" si="336"/>
        <v>-86.480156592130768</v>
      </c>
      <c r="P722" s="310">
        <f t="shared" ca="1" si="337"/>
        <v>23</v>
      </c>
      <c r="Q722" s="304">
        <f t="shared" ca="1" si="338"/>
        <v>0</v>
      </c>
      <c r="R722" s="306">
        <f t="shared" ca="1" si="339"/>
        <v>0</v>
      </c>
      <c r="S722" s="307">
        <f t="shared" ca="1" si="340"/>
        <v>2.5949999999999998</v>
      </c>
      <c r="T722" s="304">
        <f t="shared" ca="1" si="320"/>
        <v>25.456949999999999</v>
      </c>
      <c r="U722" s="311">
        <f t="shared" ca="1" si="321"/>
        <v>0</v>
      </c>
      <c r="V722" s="306">
        <f t="shared" ca="1" si="322"/>
        <v>1.2263021393667326</v>
      </c>
      <c r="W722" s="304">
        <f t="shared" ca="1" si="323"/>
        <v>23.564712575434676</v>
      </c>
      <c r="Y722" s="314" t="str">
        <f t="shared" ca="1" si="341"/>
        <v/>
      </c>
      <c r="Z722" s="315" t="str">
        <f t="shared" ca="1" si="342"/>
        <v/>
      </c>
      <c r="AA722" s="316" t="str">
        <f t="shared" ca="1" si="343"/>
        <v/>
      </c>
      <c r="AC722" s="310" t="e">
        <f t="shared" ca="1" si="344"/>
        <v>#N/A</v>
      </c>
      <c r="AD722" s="323" t="e">
        <f t="shared" ca="1" si="345"/>
        <v>#N/A</v>
      </c>
      <c r="AE722" s="324" t="e">
        <f t="shared" ca="1" si="324"/>
        <v>#N/A</v>
      </c>
      <c r="AG722" s="306">
        <f t="shared" ca="1" si="346"/>
        <v>0.71070200678487083</v>
      </c>
      <c r="AH722" s="304">
        <f t="shared" ca="1" si="347"/>
        <v>-9.0807919901131093</v>
      </c>
    </row>
    <row r="723" spans="1:34" x14ac:dyDescent="0.2">
      <c r="A723" s="347">
        <f t="shared" ca="1" si="325"/>
        <v>1E-4</v>
      </c>
      <c r="B723" s="304">
        <f t="shared" ca="1" si="326"/>
        <v>32.533600000001286</v>
      </c>
      <c r="D723" s="306">
        <f t="shared" ca="1" si="327"/>
        <v>-0.55750952271382292</v>
      </c>
      <c r="E723" s="307">
        <f t="shared" ca="1" si="328"/>
        <v>-0.74631599445329222</v>
      </c>
      <c r="F723" s="304">
        <f t="shared" ca="1" si="329"/>
        <v>0.93156021356292429</v>
      </c>
      <c r="G723" s="306">
        <f t="shared" ca="1" si="330"/>
        <v>5.9472929284138036</v>
      </c>
      <c r="H723" s="307">
        <f t="shared" ca="1" si="331"/>
        <v>-96.688807118505764</v>
      </c>
      <c r="I723" s="304">
        <f t="shared" ca="1" si="332"/>
        <v>96.871542339202847</v>
      </c>
      <c r="J723" s="306">
        <f t="shared" ca="1" si="333"/>
        <v>588.9746359926213</v>
      </c>
      <c r="K723" s="307">
        <f t="shared" ca="1" si="334"/>
        <v>-10.633731458420437</v>
      </c>
      <c r="L723" s="304">
        <f t="shared" ca="1" si="319"/>
        <v>589.07062232585542</v>
      </c>
      <c r="M723" s="306">
        <f t="shared" ca="1" si="335"/>
        <v>-1.5093640919007769</v>
      </c>
      <c r="N723" s="304">
        <f t="shared" ca="1" si="336"/>
        <v>-86.480192214510637</v>
      </c>
      <c r="P723" s="310">
        <f t="shared" ca="1" si="337"/>
        <v>23</v>
      </c>
      <c r="Q723" s="304">
        <f t="shared" ca="1" si="338"/>
        <v>0</v>
      </c>
      <c r="R723" s="306">
        <f t="shared" ca="1" si="339"/>
        <v>0</v>
      </c>
      <c r="S723" s="307">
        <f t="shared" ca="1" si="340"/>
        <v>2.5949999999999998</v>
      </c>
      <c r="T723" s="304">
        <f t="shared" ca="1" si="320"/>
        <v>25.456949999999999</v>
      </c>
      <c r="U723" s="311">
        <f t="shared" ca="1" si="321"/>
        <v>0</v>
      </c>
      <c r="V723" s="306">
        <f t="shared" ca="1" si="322"/>
        <v>1.2263033250640933</v>
      </c>
      <c r="W723" s="304">
        <f t="shared" ca="1" si="323"/>
        <v>23.564769935600484</v>
      </c>
      <c r="Y723" s="314" t="str">
        <f t="shared" ca="1" si="341"/>
        <v/>
      </c>
      <c r="Z723" s="315" t="str">
        <f t="shared" ca="1" si="342"/>
        <v/>
      </c>
      <c r="AA723" s="316" t="str">
        <f t="shared" ca="1" si="343"/>
        <v/>
      </c>
      <c r="AC723" s="310" t="e">
        <f t="shared" ca="1" si="344"/>
        <v>#N/A</v>
      </c>
      <c r="AD723" s="323" t="e">
        <f t="shared" ca="1" si="345"/>
        <v>#N/A</v>
      </c>
      <c r="AE723" s="324" t="e">
        <f t="shared" ca="1" si="324"/>
        <v>#N/A</v>
      </c>
      <c r="AG723" s="306">
        <f t="shared" ca="1" si="346"/>
        <v>0.71068027677666024</v>
      </c>
      <c r="AH723" s="304">
        <f t="shared" ca="1" si="347"/>
        <v>-9.0808140945798375</v>
      </c>
    </row>
    <row r="724" spans="1:34" x14ac:dyDescent="0.2">
      <c r="A724" s="347">
        <f t="shared" ca="1" si="325"/>
        <v>1E-4</v>
      </c>
      <c r="B724" s="304">
        <f t="shared" ca="1" si="326"/>
        <v>32.533700000001289</v>
      </c>
      <c r="D724" s="306">
        <f t="shared" ca="1" si="327"/>
        <v>-0.55750524462019579</v>
      </c>
      <c r="E724" s="307">
        <f t="shared" ca="1" si="328"/>
        <v>-0.74629358542217616</v>
      </c>
      <c r="F724" s="304">
        <f t="shared" ca="1" si="329"/>
        <v>0.93153970039999445</v>
      </c>
      <c r="G724" s="306">
        <f t="shared" ca="1" si="330"/>
        <v>5.9472371778893418</v>
      </c>
      <c r="H724" s="307">
        <f t="shared" ca="1" si="331"/>
        <v>-96.688881747864301</v>
      </c>
      <c r="I724" s="304">
        <f t="shared" ca="1" si="332"/>
        <v>96.871613405076289</v>
      </c>
      <c r="J724" s="306">
        <f t="shared" ca="1" si="333"/>
        <v>588.9746359926213</v>
      </c>
      <c r="K724" s="307">
        <f t="shared" ca="1" si="334"/>
        <v>-10.643400342863755</v>
      </c>
      <c r="L724" s="304">
        <f t="shared" ca="1" si="319"/>
        <v>589.07079694506945</v>
      </c>
      <c r="M724" s="306">
        <f t="shared" ca="1" si="335"/>
        <v>-1.5093647136218526</v>
      </c>
      <c r="N724" s="304">
        <f t="shared" ca="1" si="336"/>
        <v>-86.480227836504312</v>
      </c>
      <c r="P724" s="310">
        <f t="shared" ca="1" si="337"/>
        <v>23</v>
      </c>
      <c r="Q724" s="304">
        <f t="shared" ca="1" si="338"/>
        <v>0</v>
      </c>
      <c r="R724" s="306">
        <f t="shared" ca="1" si="339"/>
        <v>0</v>
      </c>
      <c r="S724" s="307">
        <f t="shared" ca="1" si="340"/>
        <v>2.5949999999999998</v>
      </c>
      <c r="T724" s="304">
        <f t="shared" ca="1" si="320"/>
        <v>25.456949999999999</v>
      </c>
      <c r="U724" s="311">
        <f t="shared" ca="1" si="321"/>
        <v>0</v>
      </c>
      <c r="V724" s="306">
        <f t="shared" ca="1" si="322"/>
        <v>1.226304510763516</v>
      </c>
      <c r="W724" s="304">
        <f t="shared" ca="1" si="323"/>
        <v>23.56482729484096</v>
      </c>
      <c r="Y724" s="314" t="str">
        <f t="shared" ca="1" si="341"/>
        <v/>
      </c>
      <c r="Z724" s="315" t="str">
        <f t="shared" ca="1" si="342"/>
        <v/>
      </c>
      <c r="AA724" s="316" t="str">
        <f t="shared" ca="1" si="343"/>
        <v/>
      </c>
      <c r="AC724" s="310" t="e">
        <f t="shared" ca="1" si="344"/>
        <v>#N/A</v>
      </c>
      <c r="AD724" s="323" t="e">
        <f t="shared" ca="1" si="345"/>
        <v>#N/A</v>
      </c>
      <c r="AE724" s="324" t="e">
        <f t="shared" ca="1" si="324"/>
        <v>#N/A</v>
      </c>
      <c r="AG724" s="306">
        <f t="shared" ca="1" si="346"/>
        <v>0.7106585471171929</v>
      </c>
      <c r="AH724" s="304">
        <f t="shared" ca="1" si="347"/>
        <v>-9.0808361986899762</v>
      </c>
    </row>
    <row r="725" spans="1:34" x14ac:dyDescent="0.2">
      <c r="A725" s="347">
        <f t="shared" ca="1" si="325"/>
        <v>1E-4</v>
      </c>
      <c r="B725" s="304">
        <f t="shared" ca="1" si="326"/>
        <v>32.533800000001293</v>
      </c>
      <c r="D725" s="306">
        <f t="shared" ca="1" si="327"/>
        <v>-0.55750096653812076</v>
      </c>
      <c r="E725" s="307">
        <f t="shared" ca="1" si="328"/>
        <v>-0.74627117675254695</v>
      </c>
      <c r="F725" s="304">
        <f t="shared" ca="1" si="329"/>
        <v>0.93151918764058206</v>
      </c>
      <c r="G725" s="306">
        <f t="shared" ca="1" si="330"/>
        <v>5.947181427792688</v>
      </c>
      <c r="H725" s="307">
        <f t="shared" ca="1" si="331"/>
        <v>-96.68895637498197</v>
      </c>
      <c r="I725" s="304">
        <f t="shared" ca="1" si="332"/>
        <v>96.871684468776792</v>
      </c>
      <c r="J725" s="306">
        <f t="shared" ca="1" si="333"/>
        <v>588.9746359926213</v>
      </c>
      <c r="K725" s="307">
        <f t="shared" ca="1" si="334"/>
        <v>-10.653069234769898</v>
      </c>
      <c r="L725" s="304">
        <f t="shared" ca="1" si="319"/>
        <v>589.07097172306965</v>
      </c>
      <c r="M725" s="306">
        <f t="shared" ca="1" si="335"/>
        <v>-1.509365335336188</v>
      </c>
      <c r="N725" s="304">
        <f t="shared" ca="1" si="336"/>
        <v>-86.480263458111793</v>
      </c>
      <c r="P725" s="310">
        <f t="shared" ca="1" si="337"/>
        <v>23</v>
      </c>
      <c r="Q725" s="304">
        <f t="shared" ca="1" si="338"/>
        <v>0</v>
      </c>
      <c r="R725" s="306">
        <f t="shared" ca="1" si="339"/>
        <v>0</v>
      </c>
      <c r="S725" s="307">
        <f t="shared" ca="1" si="340"/>
        <v>2.5949999999999998</v>
      </c>
      <c r="T725" s="304">
        <f t="shared" ca="1" si="320"/>
        <v>25.456949999999999</v>
      </c>
      <c r="U725" s="311">
        <f t="shared" ca="1" si="321"/>
        <v>0</v>
      </c>
      <c r="V725" s="306">
        <f t="shared" ca="1" si="322"/>
        <v>1.2263056964650014</v>
      </c>
      <c r="W725" s="304">
        <f t="shared" ca="1" si="323"/>
        <v>23.564884653156138</v>
      </c>
      <c r="Y725" s="314" t="str">
        <f t="shared" ca="1" si="341"/>
        <v/>
      </c>
      <c r="Z725" s="315" t="str">
        <f t="shared" ca="1" si="342"/>
        <v/>
      </c>
      <c r="AA725" s="316" t="str">
        <f t="shared" ca="1" si="343"/>
        <v/>
      </c>
      <c r="AC725" s="310" t="e">
        <f t="shared" ca="1" si="344"/>
        <v>#N/A</v>
      </c>
      <c r="AD725" s="323" t="e">
        <f t="shared" ca="1" si="345"/>
        <v>#N/A</v>
      </c>
      <c r="AE725" s="324" t="e">
        <f t="shared" ca="1" si="324"/>
        <v>#N/A</v>
      </c>
      <c r="AG725" s="306">
        <f t="shared" ca="1" si="346"/>
        <v>0.71063681780646881</v>
      </c>
      <c r="AH725" s="304">
        <f t="shared" ca="1" si="347"/>
        <v>-9.0808583024435308</v>
      </c>
    </row>
    <row r="726" spans="1:34" x14ac:dyDescent="0.2">
      <c r="A726" s="347">
        <f t="shared" ca="1" si="325"/>
        <v>1E-4</v>
      </c>
      <c r="B726" s="304">
        <f t="shared" ca="1" si="326"/>
        <v>32.533900000001296</v>
      </c>
      <c r="D726" s="306">
        <f t="shared" ca="1" si="327"/>
        <v>-0.55749668846760003</v>
      </c>
      <c r="E726" s="307">
        <f t="shared" ca="1" si="328"/>
        <v>-0.74624876844438681</v>
      </c>
      <c r="F726" s="304">
        <f t="shared" ca="1" si="329"/>
        <v>0.931498675284675</v>
      </c>
      <c r="G726" s="306">
        <f t="shared" ca="1" si="330"/>
        <v>5.9471256781238413</v>
      </c>
      <c r="H726" s="307">
        <f t="shared" ca="1" si="331"/>
        <v>-96.689030999858815</v>
      </c>
      <c r="I726" s="304">
        <f t="shared" ca="1" si="332"/>
        <v>96.871755530304384</v>
      </c>
      <c r="J726" s="306">
        <f t="shared" ca="1" si="333"/>
        <v>588.9746359926213</v>
      </c>
      <c r="K726" s="307">
        <f t="shared" ca="1" si="334"/>
        <v>-10.662738134138641</v>
      </c>
      <c r="L726" s="304">
        <f t="shared" ca="1" si="319"/>
        <v>589.07114665985625</v>
      </c>
      <c r="M726" s="306">
        <f t="shared" ca="1" si="335"/>
        <v>-1.5093659570437834</v>
      </c>
      <c r="N726" s="304">
        <f t="shared" ca="1" si="336"/>
        <v>-86.480299079333093</v>
      </c>
      <c r="P726" s="310">
        <f t="shared" ca="1" si="337"/>
        <v>23</v>
      </c>
      <c r="Q726" s="304">
        <f t="shared" ca="1" si="338"/>
        <v>0</v>
      </c>
      <c r="R726" s="306">
        <f t="shared" ca="1" si="339"/>
        <v>0</v>
      </c>
      <c r="S726" s="307">
        <f t="shared" ca="1" si="340"/>
        <v>2.5949999999999998</v>
      </c>
      <c r="T726" s="304">
        <f t="shared" ca="1" si="320"/>
        <v>25.456949999999999</v>
      </c>
      <c r="U726" s="311">
        <f t="shared" ca="1" si="321"/>
        <v>0</v>
      </c>
      <c r="V726" s="306">
        <f t="shared" ca="1" si="322"/>
        <v>1.2263068821685488</v>
      </c>
      <c r="W726" s="304">
        <f t="shared" ca="1" si="323"/>
        <v>23.564942010545987</v>
      </c>
      <c r="Y726" s="314" t="str">
        <f t="shared" ca="1" si="341"/>
        <v/>
      </c>
      <c r="Z726" s="315" t="str">
        <f t="shared" ca="1" si="342"/>
        <v/>
      </c>
      <c r="AA726" s="316" t="str">
        <f t="shared" ca="1" si="343"/>
        <v/>
      </c>
      <c r="AC726" s="310" t="e">
        <f t="shared" ca="1" si="344"/>
        <v>#N/A</v>
      </c>
      <c r="AD726" s="323" t="e">
        <f t="shared" ca="1" si="345"/>
        <v>#N/A</v>
      </c>
      <c r="AE726" s="324" t="e">
        <f t="shared" ca="1" si="324"/>
        <v>#N/A</v>
      </c>
      <c r="AG726" s="306">
        <f t="shared" ca="1" si="346"/>
        <v>0.71061508884446667</v>
      </c>
      <c r="AH726" s="304">
        <f t="shared" ca="1" si="347"/>
        <v>-9.0808804058405173</v>
      </c>
    </row>
    <row r="727" spans="1:34" x14ac:dyDescent="0.2">
      <c r="A727" s="347">
        <f t="shared" ca="1" si="325"/>
        <v>1E-4</v>
      </c>
      <c r="B727" s="304">
        <f t="shared" ca="1" si="326"/>
        <v>32.534000000001299</v>
      </c>
      <c r="D727" s="306">
        <f t="shared" ca="1" si="327"/>
        <v>-0.55749241040862973</v>
      </c>
      <c r="E727" s="307">
        <f t="shared" ca="1" si="328"/>
        <v>-0.74622636049770996</v>
      </c>
      <c r="F727" s="304">
        <f t="shared" ca="1" si="329"/>
        <v>0.93147816333228239</v>
      </c>
      <c r="G727" s="306">
        <f t="shared" ca="1" si="330"/>
        <v>5.9470699288828008</v>
      </c>
      <c r="H727" s="307">
        <f t="shared" ca="1" si="331"/>
        <v>-96.689105622494864</v>
      </c>
      <c r="I727" s="304">
        <f t="shared" ca="1" si="332"/>
        <v>96.871826589659122</v>
      </c>
      <c r="J727" s="306">
        <f t="shared" ca="1" si="333"/>
        <v>588.9746359926213</v>
      </c>
      <c r="K727" s="307">
        <f t="shared" ca="1" si="334"/>
        <v>-10.672407040969759</v>
      </c>
      <c r="L727" s="304">
        <f t="shared" ca="1" si="319"/>
        <v>589.07132175542961</v>
      </c>
      <c r="M727" s="306">
        <f t="shared" ca="1" si="335"/>
        <v>-1.5093665787446386</v>
      </c>
      <c r="N727" s="304">
        <f t="shared" ca="1" si="336"/>
        <v>-86.480334700168228</v>
      </c>
      <c r="P727" s="310">
        <f t="shared" ca="1" si="337"/>
        <v>23</v>
      </c>
      <c r="Q727" s="304">
        <f t="shared" ca="1" si="338"/>
        <v>0</v>
      </c>
      <c r="R727" s="306">
        <f t="shared" ca="1" si="339"/>
        <v>0</v>
      </c>
      <c r="S727" s="307">
        <f t="shared" ca="1" si="340"/>
        <v>2.5949999999999998</v>
      </c>
      <c r="T727" s="304">
        <f t="shared" ca="1" si="320"/>
        <v>25.456949999999999</v>
      </c>
      <c r="U727" s="311">
        <f t="shared" ca="1" si="321"/>
        <v>0</v>
      </c>
      <c r="V727" s="306">
        <f t="shared" ca="1" si="322"/>
        <v>1.2263080678741585</v>
      </c>
      <c r="W727" s="304">
        <f t="shared" ca="1" si="323"/>
        <v>23.564999367010554</v>
      </c>
      <c r="Y727" s="314" t="str">
        <f t="shared" ca="1" si="341"/>
        <v/>
      </c>
      <c r="Z727" s="315" t="str">
        <f t="shared" ca="1" si="342"/>
        <v/>
      </c>
      <c r="AA727" s="316" t="str">
        <f t="shared" ca="1" si="343"/>
        <v/>
      </c>
      <c r="AC727" s="310" t="e">
        <f t="shared" ca="1" si="344"/>
        <v>#N/A</v>
      </c>
      <c r="AD727" s="323" t="e">
        <f t="shared" ca="1" si="345"/>
        <v>#N/A</v>
      </c>
      <c r="AE727" s="324" t="e">
        <f t="shared" ca="1" si="324"/>
        <v>#N/A</v>
      </c>
      <c r="AG727" s="306">
        <f t="shared" ca="1" si="346"/>
        <v>0.71059336023120423</v>
      </c>
      <c r="AH727" s="304">
        <f t="shared" ca="1" si="347"/>
        <v>-9.0809025088809214</v>
      </c>
    </row>
    <row r="728" spans="1:34" x14ac:dyDescent="0.2">
      <c r="A728" s="347">
        <f t="shared" ca="1" si="325"/>
        <v>1E-4</v>
      </c>
      <c r="B728" s="304">
        <f t="shared" ca="1" si="326"/>
        <v>32.534100000001303</v>
      </c>
      <c r="D728" s="306">
        <f t="shared" ca="1" si="327"/>
        <v>-0.55748813236121408</v>
      </c>
      <c r="E728" s="307">
        <f t="shared" ca="1" si="328"/>
        <v>-0.74620395291250041</v>
      </c>
      <c r="F728" s="304">
        <f t="shared" ca="1" si="329"/>
        <v>0.93145765178339468</v>
      </c>
      <c r="G728" s="306">
        <f t="shared" ca="1" si="330"/>
        <v>5.9470141800695648</v>
      </c>
      <c r="H728" s="307">
        <f t="shared" ca="1" si="331"/>
        <v>-96.68918024289016</v>
      </c>
      <c r="I728" s="304">
        <f t="shared" ca="1" si="332"/>
        <v>96.871897646841049</v>
      </c>
      <c r="J728" s="306">
        <f t="shared" ca="1" si="333"/>
        <v>588.9746359926213</v>
      </c>
      <c r="K728" s="307">
        <f t="shared" ca="1" si="334"/>
        <v>-10.682075955263029</v>
      </c>
      <c r="L728" s="304">
        <f t="shared" ca="1" si="319"/>
        <v>589.07149700978971</v>
      </c>
      <c r="M728" s="306">
        <f t="shared" ca="1" si="335"/>
        <v>-1.5093672004387539</v>
      </c>
      <c r="N728" s="304">
        <f t="shared" ca="1" si="336"/>
        <v>-86.480370320617183</v>
      </c>
      <c r="P728" s="310">
        <f t="shared" ca="1" si="337"/>
        <v>23</v>
      </c>
      <c r="Q728" s="304">
        <f t="shared" ca="1" si="338"/>
        <v>0</v>
      </c>
      <c r="R728" s="306">
        <f t="shared" ca="1" si="339"/>
        <v>0</v>
      </c>
      <c r="S728" s="307">
        <f t="shared" ca="1" si="340"/>
        <v>2.5949999999999998</v>
      </c>
      <c r="T728" s="304">
        <f t="shared" ca="1" si="320"/>
        <v>25.456949999999999</v>
      </c>
      <c r="U728" s="311">
        <f t="shared" ca="1" si="321"/>
        <v>0</v>
      </c>
      <c r="V728" s="306">
        <f t="shared" ca="1" si="322"/>
        <v>1.2263092535818303</v>
      </c>
      <c r="W728" s="304">
        <f t="shared" ca="1" si="323"/>
        <v>23.565056722549844</v>
      </c>
      <c r="Y728" s="314" t="str">
        <f t="shared" ca="1" si="341"/>
        <v/>
      </c>
      <c r="Z728" s="315" t="str">
        <f t="shared" ca="1" si="342"/>
        <v/>
      </c>
      <c r="AA728" s="316" t="str">
        <f t="shared" ca="1" si="343"/>
        <v/>
      </c>
      <c r="AC728" s="310" t="e">
        <f t="shared" ca="1" si="344"/>
        <v>#N/A</v>
      </c>
      <c r="AD728" s="323" t="e">
        <f t="shared" ca="1" si="345"/>
        <v>#N/A</v>
      </c>
      <c r="AE728" s="324" t="e">
        <f t="shared" ca="1" si="324"/>
        <v>#N/A</v>
      </c>
      <c r="AG728" s="306">
        <f t="shared" ca="1" si="346"/>
        <v>0.71057163196666018</v>
      </c>
      <c r="AH728" s="304">
        <f t="shared" ca="1" si="347"/>
        <v>-9.0809246115647611</v>
      </c>
    </row>
    <row r="729" spans="1:34" x14ac:dyDescent="0.2">
      <c r="A729" s="347">
        <f t="shared" ca="1" si="325"/>
        <v>1E-4</v>
      </c>
      <c r="B729" s="304">
        <f t="shared" ca="1" si="326"/>
        <v>32.534200000001306</v>
      </c>
      <c r="D729" s="306">
        <f t="shared" ca="1" si="327"/>
        <v>-0.55748385432535252</v>
      </c>
      <c r="E729" s="307">
        <f t="shared" ca="1" si="328"/>
        <v>-0.74618154568874751</v>
      </c>
      <c r="F729" s="304">
        <f t="shared" ca="1" si="329"/>
        <v>0.9314371406380032</v>
      </c>
      <c r="G729" s="306">
        <f t="shared" ca="1" si="330"/>
        <v>5.9469584316841324</v>
      </c>
      <c r="H729" s="307">
        <f t="shared" ca="1" si="331"/>
        <v>-96.689254861044731</v>
      </c>
      <c r="I729" s="304">
        <f t="shared" ca="1" si="332"/>
        <v>96.871968701850179</v>
      </c>
      <c r="J729" s="306">
        <f t="shared" ca="1" si="333"/>
        <v>588.9746359926213</v>
      </c>
      <c r="K729" s="307">
        <f t="shared" ca="1" si="334"/>
        <v>-10.691744877018225</v>
      </c>
      <c r="L729" s="304">
        <f t="shared" ca="1" si="319"/>
        <v>589.07167242293701</v>
      </c>
      <c r="M729" s="306">
        <f t="shared" ca="1" si="335"/>
        <v>-1.5093678221261293</v>
      </c>
      <c r="N729" s="304">
        <f t="shared" ca="1" si="336"/>
        <v>-86.480405940679958</v>
      </c>
      <c r="P729" s="310">
        <f t="shared" ca="1" si="337"/>
        <v>23</v>
      </c>
      <c r="Q729" s="304">
        <f t="shared" ca="1" si="338"/>
        <v>0</v>
      </c>
      <c r="R729" s="306">
        <f t="shared" ca="1" si="339"/>
        <v>0</v>
      </c>
      <c r="S729" s="307">
        <f t="shared" ca="1" si="340"/>
        <v>2.5949999999999998</v>
      </c>
      <c r="T729" s="304">
        <f t="shared" ca="1" si="320"/>
        <v>25.456949999999999</v>
      </c>
      <c r="U729" s="311">
        <f t="shared" ca="1" si="321"/>
        <v>0</v>
      </c>
      <c r="V729" s="306">
        <f t="shared" ca="1" si="322"/>
        <v>1.226310439291564</v>
      </c>
      <c r="W729" s="304">
        <f t="shared" ca="1" si="323"/>
        <v>23.565114077163862</v>
      </c>
      <c r="Y729" s="314" t="str">
        <f t="shared" ca="1" si="341"/>
        <v/>
      </c>
      <c r="Z729" s="315" t="str">
        <f t="shared" ca="1" si="342"/>
        <v/>
      </c>
      <c r="AA729" s="316" t="str">
        <f t="shared" ca="1" si="343"/>
        <v/>
      </c>
      <c r="AC729" s="310" t="e">
        <f t="shared" ca="1" si="344"/>
        <v>#N/A</v>
      </c>
      <c r="AD729" s="323" t="e">
        <f t="shared" ca="1" si="345"/>
        <v>#N/A</v>
      </c>
      <c r="AE729" s="324" t="e">
        <f t="shared" ca="1" si="324"/>
        <v>#N/A</v>
      </c>
      <c r="AG729" s="306">
        <f t="shared" ca="1" si="346"/>
        <v>0.71054990405083451</v>
      </c>
      <c r="AH729" s="304">
        <f t="shared" ca="1" si="347"/>
        <v>-9.0809467138920414</v>
      </c>
    </row>
    <row r="730" spans="1:34" x14ac:dyDescent="0.2">
      <c r="A730" s="347">
        <f t="shared" ca="1" si="325"/>
        <v>1E-4</v>
      </c>
      <c r="B730" s="304">
        <f t="shared" ca="1" si="326"/>
        <v>32.534300000001309</v>
      </c>
      <c r="D730" s="306">
        <f t="shared" ca="1" si="327"/>
        <v>-0.55747957630104605</v>
      </c>
      <c r="E730" s="307">
        <f t="shared" ca="1" si="328"/>
        <v>-0.74615913882646012</v>
      </c>
      <c r="F730" s="304">
        <f t="shared" ca="1" si="329"/>
        <v>0.93141662989611607</v>
      </c>
      <c r="G730" s="306">
        <f t="shared" ca="1" si="330"/>
        <v>5.9469026837265027</v>
      </c>
      <c r="H730" s="307">
        <f t="shared" ca="1" si="331"/>
        <v>-96.689329476958619</v>
      </c>
      <c r="I730" s="304">
        <f t="shared" ca="1" si="332"/>
        <v>96.872039754686554</v>
      </c>
      <c r="J730" s="306">
        <f t="shared" ca="1" si="333"/>
        <v>588.9746359926213</v>
      </c>
      <c r="K730" s="307">
        <f t="shared" ca="1" si="334"/>
        <v>-10.701413806235125</v>
      </c>
      <c r="L730" s="304">
        <f t="shared" ca="1" si="319"/>
        <v>589.07184799487152</v>
      </c>
      <c r="M730" s="306">
        <f t="shared" ca="1" si="335"/>
        <v>-1.5093684438067647</v>
      </c>
      <c r="N730" s="304">
        <f t="shared" ca="1" si="336"/>
        <v>-86.480441560356581</v>
      </c>
      <c r="P730" s="310">
        <f t="shared" ca="1" si="337"/>
        <v>23</v>
      </c>
      <c r="Q730" s="304">
        <f t="shared" ca="1" si="338"/>
        <v>0</v>
      </c>
      <c r="R730" s="306">
        <f t="shared" ca="1" si="339"/>
        <v>0</v>
      </c>
      <c r="S730" s="307">
        <f t="shared" ca="1" si="340"/>
        <v>2.5949999999999998</v>
      </c>
      <c r="T730" s="304">
        <f t="shared" ca="1" si="320"/>
        <v>25.456949999999999</v>
      </c>
      <c r="U730" s="311">
        <f t="shared" ca="1" si="321"/>
        <v>0</v>
      </c>
      <c r="V730" s="306">
        <f t="shared" ca="1" si="322"/>
        <v>1.2263116250033599</v>
      </c>
      <c r="W730" s="304">
        <f t="shared" ca="1" si="323"/>
        <v>23.565171430852612</v>
      </c>
      <c r="Y730" s="314" t="str">
        <f t="shared" ca="1" si="341"/>
        <v/>
      </c>
      <c r="Z730" s="315" t="str">
        <f t="shared" ca="1" si="342"/>
        <v/>
      </c>
      <c r="AA730" s="316" t="str">
        <f t="shared" ca="1" si="343"/>
        <v/>
      </c>
      <c r="AC730" s="310" t="e">
        <f t="shared" ca="1" si="344"/>
        <v>#N/A</v>
      </c>
      <c r="AD730" s="323" t="e">
        <f t="shared" ca="1" si="345"/>
        <v>#N/A</v>
      </c>
      <c r="AE730" s="324" t="e">
        <f t="shared" ca="1" si="324"/>
        <v>#N/A</v>
      </c>
      <c r="AG730" s="306">
        <f t="shared" ca="1" si="346"/>
        <v>0.71052817648372368</v>
      </c>
      <c r="AH730" s="304">
        <f t="shared" ca="1" si="347"/>
        <v>-9.0809688158627608</v>
      </c>
    </row>
    <row r="731" spans="1:34" x14ac:dyDescent="0.2">
      <c r="A731" s="347">
        <f t="shared" ca="1" si="325"/>
        <v>1E-4</v>
      </c>
      <c r="B731" s="304">
        <f t="shared" ca="1" si="326"/>
        <v>32.534400000001312</v>
      </c>
      <c r="D731" s="306">
        <f t="shared" ca="1" si="327"/>
        <v>-0.55747529828829612</v>
      </c>
      <c r="E731" s="307">
        <f t="shared" ca="1" si="328"/>
        <v>-0.74613673232562938</v>
      </c>
      <c r="F731" s="304">
        <f t="shared" ca="1" si="329"/>
        <v>0.9313961195577275</v>
      </c>
      <c r="G731" s="306">
        <f t="shared" ca="1" si="330"/>
        <v>5.9468469361966738</v>
      </c>
      <c r="H731" s="307">
        <f t="shared" ca="1" si="331"/>
        <v>-96.689404090631854</v>
      </c>
      <c r="I731" s="304">
        <f t="shared" ca="1" si="332"/>
        <v>96.872110805350204</v>
      </c>
      <c r="J731" s="306">
        <f t="shared" ca="1" si="333"/>
        <v>588.9746359926213</v>
      </c>
      <c r="K731" s="307">
        <f t="shared" ca="1" si="334"/>
        <v>-10.711082742913504</v>
      </c>
      <c r="L731" s="304">
        <f t="shared" ca="1" si="319"/>
        <v>589.07202372559357</v>
      </c>
      <c r="M731" s="306">
        <f t="shared" ca="1" si="335"/>
        <v>-1.5093690654806606</v>
      </c>
      <c r="N731" s="304">
        <f t="shared" ca="1" si="336"/>
        <v>-86.480477179647053</v>
      </c>
      <c r="P731" s="310">
        <f t="shared" ca="1" si="337"/>
        <v>23</v>
      </c>
      <c r="Q731" s="304">
        <f t="shared" ca="1" si="338"/>
        <v>0</v>
      </c>
      <c r="R731" s="306">
        <f t="shared" ca="1" si="339"/>
        <v>0</v>
      </c>
      <c r="S731" s="307">
        <f t="shared" ca="1" si="340"/>
        <v>2.5949999999999998</v>
      </c>
      <c r="T731" s="304">
        <f t="shared" ca="1" si="320"/>
        <v>25.456949999999999</v>
      </c>
      <c r="U731" s="311">
        <f t="shared" ca="1" si="321"/>
        <v>0</v>
      </c>
      <c r="V731" s="306">
        <f t="shared" ca="1" si="322"/>
        <v>1.2263128107172179</v>
      </c>
      <c r="W731" s="304">
        <f t="shared" ca="1" si="323"/>
        <v>23.565228783616121</v>
      </c>
      <c r="Y731" s="314" t="str">
        <f t="shared" ca="1" si="341"/>
        <v/>
      </c>
      <c r="Z731" s="315" t="str">
        <f t="shared" ca="1" si="342"/>
        <v/>
      </c>
      <c r="AA731" s="316" t="str">
        <f t="shared" ca="1" si="343"/>
        <v/>
      </c>
      <c r="AC731" s="310" t="e">
        <f t="shared" ca="1" si="344"/>
        <v>#N/A</v>
      </c>
      <c r="AD731" s="323" t="e">
        <f t="shared" ca="1" si="345"/>
        <v>#N/A</v>
      </c>
      <c r="AE731" s="324" t="e">
        <f t="shared" ca="1" si="324"/>
        <v>#N/A</v>
      </c>
      <c r="AG731" s="306">
        <f t="shared" ca="1" si="346"/>
        <v>0.71050644926532769</v>
      </c>
      <c r="AH731" s="304">
        <f t="shared" ca="1" si="347"/>
        <v>-9.0809909174769228</v>
      </c>
    </row>
    <row r="732" spans="1:34" x14ac:dyDescent="0.2">
      <c r="A732" s="347">
        <f t="shared" ca="1" si="325"/>
        <v>1E-4</v>
      </c>
      <c r="B732" s="304">
        <f t="shared" ca="1" si="326"/>
        <v>32.534500000001316</v>
      </c>
      <c r="D732" s="306">
        <f t="shared" ca="1" si="327"/>
        <v>-0.55747102028710027</v>
      </c>
      <c r="E732" s="307">
        <f t="shared" ca="1" si="328"/>
        <v>-0.74611432618624818</v>
      </c>
      <c r="F732" s="304">
        <f t="shared" ca="1" si="329"/>
        <v>0.93137560962283072</v>
      </c>
      <c r="G732" s="306">
        <f t="shared" ca="1" si="330"/>
        <v>5.946791189094645</v>
      </c>
      <c r="H732" s="307">
        <f t="shared" ca="1" si="331"/>
        <v>-96.689478702064477</v>
      </c>
      <c r="I732" s="304">
        <f t="shared" ca="1" si="332"/>
        <v>96.87218185384117</v>
      </c>
      <c r="J732" s="306">
        <f t="shared" ca="1" si="333"/>
        <v>588.9746359926213</v>
      </c>
      <c r="K732" s="307">
        <f t="shared" ca="1" si="334"/>
        <v>-10.72075168705314</v>
      </c>
      <c r="L732" s="304">
        <f t="shared" ca="1" si="319"/>
        <v>589.07219961510339</v>
      </c>
      <c r="M732" s="306">
        <f t="shared" ca="1" si="335"/>
        <v>-1.5093696871478168</v>
      </c>
      <c r="N732" s="304">
        <f t="shared" ca="1" si="336"/>
        <v>-86.480512798551359</v>
      </c>
      <c r="P732" s="310">
        <f t="shared" ca="1" si="337"/>
        <v>23</v>
      </c>
      <c r="Q732" s="304">
        <f t="shared" ca="1" si="338"/>
        <v>0</v>
      </c>
      <c r="R732" s="306">
        <f t="shared" ca="1" si="339"/>
        <v>0</v>
      </c>
      <c r="S732" s="307">
        <f t="shared" ca="1" si="340"/>
        <v>2.5949999999999998</v>
      </c>
      <c r="T732" s="304">
        <f t="shared" ca="1" si="320"/>
        <v>25.456949999999999</v>
      </c>
      <c r="U732" s="311">
        <f t="shared" ca="1" si="321"/>
        <v>0</v>
      </c>
      <c r="V732" s="306">
        <f t="shared" ca="1" si="322"/>
        <v>1.2263139964331382</v>
      </c>
      <c r="W732" s="304">
        <f t="shared" ca="1" si="323"/>
        <v>23.565286135454389</v>
      </c>
      <c r="Y732" s="314" t="str">
        <f t="shared" ca="1" si="341"/>
        <v/>
      </c>
      <c r="Z732" s="315" t="str">
        <f t="shared" ca="1" si="342"/>
        <v/>
      </c>
      <c r="AA732" s="316" t="str">
        <f t="shared" ca="1" si="343"/>
        <v/>
      </c>
      <c r="AC732" s="310" t="e">
        <f t="shared" ca="1" si="344"/>
        <v>#N/A</v>
      </c>
      <c r="AD732" s="323" t="e">
        <f t="shared" ca="1" si="345"/>
        <v>#N/A</v>
      </c>
      <c r="AE732" s="324" t="e">
        <f t="shared" ca="1" si="324"/>
        <v>#N/A</v>
      </c>
      <c r="AG732" s="306">
        <f t="shared" ca="1" si="346"/>
        <v>0.71048472239563942</v>
      </c>
      <c r="AH732" s="304">
        <f t="shared" ca="1" si="347"/>
        <v>-9.0810130187345361</v>
      </c>
    </row>
    <row r="733" spans="1:34" x14ac:dyDescent="0.2">
      <c r="A733" s="347">
        <f t="shared" ca="1" si="325"/>
        <v>1E-4</v>
      </c>
      <c r="B733" s="304">
        <f t="shared" ca="1" si="326"/>
        <v>32.534600000001319</v>
      </c>
      <c r="D733" s="306">
        <f t="shared" ca="1" si="327"/>
        <v>-0.55746674229746185</v>
      </c>
      <c r="E733" s="307">
        <f t="shared" ca="1" si="328"/>
        <v>-0.74609192040831118</v>
      </c>
      <c r="F733" s="304">
        <f t="shared" ca="1" si="329"/>
        <v>0.93135510009142397</v>
      </c>
      <c r="G733" s="306">
        <f t="shared" ca="1" si="330"/>
        <v>5.9467354424204153</v>
      </c>
      <c r="H733" s="307">
        <f t="shared" ca="1" si="331"/>
        <v>-96.689553311256518</v>
      </c>
      <c r="I733" s="304">
        <f t="shared" ca="1" si="332"/>
        <v>96.872252900159481</v>
      </c>
      <c r="J733" s="306">
        <f t="shared" ca="1" si="333"/>
        <v>588.9746359926213</v>
      </c>
      <c r="K733" s="307">
        <f t="shared" ca="1" si="334"/>
        <v>-10.730420638653806</v>
      </c>
      <c r="L733" s="304">
        <f t="shared" ca="1" si="319"/>
        <v>589.07237566340109</v>
      </c>
      <c r="M733" s="306">
        <f t="shared" ca="1" si="335"/>
        <v>-1.5093703088082338</v>
      </c>
      <c r="N733" s="304">
        <f t="shared" ca="1" si="336"/>
        <v>-86.480548417069542</v>
      </c>
      <c r="P733" s="310">
        <f t="shared" ca="1" si="337"/>
        <v>23</v>
      </c>
      <c r="Q733" s="304">
        <f t="shared" ca="1" si="338"/>
        <v>0</v>
      </c>
      <c r="R733" s="306">
        <f t="shared" ca="1" si="339"/>
        <v>0</v>
      </c>
      <c r="S733" s="307">
        <f t="shared" ca="1" si="340"/>
        <v>2.5949999999999998</v>
      </c>
      <c r="T733" s="304">
        <f t="shared" ca="1" si="320"/>
        <v>25.456949999999999</v>
      </c>
      <c r="U733" s="311">
        <f t="shared" ca="1" si="321"/>
        <v>0</v>
      </c>
      <c r="V733" s="306">
        <f t="shared" ca="1" si="322"/>
        <v>1.22631518215112</v>
      </c>
      <c r="W733" s="304">
        <f t="shared" ca="1" si="323"/>
        <v>23.565343486367428</v>
      </c>
      <c r="Y733" s="314" t="str">
        <f t="shared" ca="1" si="341"/>
        <v/>
      </c>
      <c r="Z733" s="315" t="str">
        <f t="shared" ca="1" si="342"/>
        <v/>
      </c>
      <c r="AA733" s="316" t="str">
        <f t="shared" ca="1" si="343"/>
        <v/>
      </c>
      <c r="AC733" s="310" t="e">
        <f t="shared" ca="1" si="344"/>
        <v>#N/A</v>
      </c>
      <c r="AD733" s="323" t="e">
        <f t="shared" ca="1" si="345"/>
        <v>#N/A</v>
      </c>
      <c r="AE733" s="324" t="e">
        <f t="shared" ca="1" si="324"/>
        <v>#N/A</v>
      </c>
      <c r="AG733" s="306">
        <f t="shared" ca="1" si="346"/>
        <v>0.71046299587465001</v>
      </c>
      <c r="AH733" s="304">
        <f t="shared" ca="1" si="347"/>
        <v>-9.0810351196356045</v>
      </c>
    </row>
    <row r="734" spans="1:34" x14ac:dyDescent="0.2">
      <c r="A734" s="347">
        <f t="shared" ca="1" si="325"/>
        <v>1E-4</v>
      </c>
      <c r="B734" s="304">
        <f t="shared" ca="1" si="326"/>
        <v>32.534700000001322</v>
      </c>
      <c r="D734" s="306">
        <f t="shared" ca="1" si="327"/>
        <v>-0.55746246431937785</v>
      </c>
      <c r="E734" s="307">
        <f t="shared" ca="1" si="328"/>
        <v>-0.74606951499182195</v>
      </c>
      <c r="F734" s="304">
        <f t="shared" ca="1" si="329"/>
        <v>0.93133459096350868</v>
      </c>
      <c r="G734" s="306">
        <f t="shared" ca="1" si="330"/>
        <v>5.946679696173983</v>
      </c>
      <c r="H734" s="307">
        <f t="shared" ca="1" si="331"/>
        <v>-96.689627918208018</v>
      </c>
      <c r="I734" s="304">
        <f t="shared" ca="1" si="332"/>
        <v>96.872323944305165</v>
      </c>
      <c r="J734" s="306">
        <f t="shared" ca="1" si="333"/>
        <v>588.9746359926213</v>
      </c>
      <c r="K734" s="307">
        <f t="shared" ca="1" si="334"/>
        <v>-10.740089597715279</v>
      </c>
      <c r="L734" s="304">
        <f t="shared" ca="1" si="319"/>
        <v>589.07255187048713</v>
      </c>
      <c r="M734" s="306">
        <f t="shared" ca="1" si="335"/>
        <v>-1.509370930461911</v>
      </c>
      <c r="N734" s="304">
        <f t="shared" ca="1" si="336"/>
        <v>-86.480584035201559</v>
      </c>
      <c r="P734" s="310">
        <f t="shared" ca="1" si="337"/>
        <v>23</v>
      </c>
      <c r="Q734" s="304">
        <f t="shared" ca="1" si="338"/>
        <v>0</v>
      </c>
      <c r="R734" s="306">
        <f t="shared" ca="1" si="339"/>
        <v>0</v>
      </c>
      <c r="S734" s="307">
        <f t="shared" ca="1" si="340"/>
        <v>2.5949999999999998</v>
      </c>
      <c r="T734" s="304">
        <f t="shared" ca="1" si="320"/>
        <v>25.456949999999999</v>
      </c>
      <c r="U734" s="311">
        <f t="shared" ca="1" si="321"/>
        <v>0</v>
      </c>
      <c r="V734" s="306">
        <f t="shared" ca="1" si="322"/>
        <v>1.2263163678711642</v>
      </c>
      <c r="W734" s="304">
        <f t="shared" ca="1" si="323"/>
        <v>23.565400836355256</v>
      </c>
      <c r="Y734" s="314" t="str">
        <f t="shared" ca="1" si="341"/>
        <v/>
      </c>
      <c r="Z734" s="315" t="str">
        <f t="shared" ca="1" si="342"/>
        <v/>
      </c>
      <c r="AA734" s="316" t="str">
        <f t="shared" ca="1" si="343"/>
        <v/>
      </c>
      <c r="AC734" s="310" t="e">
        <f t="shared" ca="1" si="344"/>
        <v>#N/A</v>
      </c>
      <c r="AD734" s="323" t="e">
        <f t="shared" ca="1" si="345"/>
        <v>#N/A</v>
      </c>
      <c r="AE734" s="324" t="e">
        <f t="shared" ca="1" si="324"/>
        <v>#N/A</v>
      </c>
      <c r="AG734" s="306">
        <f t="shared" ca="1" si="346"/>
        <v>0.71044126970236476</v>
      </c>
      <c r="AH734" s="304">
        <f t="shared" ca="1" si="347"/>
        <v>-9.0810572201801278</v>
      </c>
    </row>
    <row r="735" spans="1:34" x14ac:dyDescent="0.2">
      <c r="A735" s="347">
        <f t="shared" ca="1" si="325"/>
        <v>1E-4</v>
      </c>
      <c r="B735" s="304">
        <f t="shared" ca="1" si="326"/>
        <v>32.534800000001326</v>
      </c>
      <c r="D735" s="306">
        <f t="shared" ca="1" si="327"/>
        <v>-0.55745818635285416</v>
      </c>
      <c r="E735" s="307">
        <f t="shared" ca="1" si="328"/>
        <v>-0.74604710993676804</v>
      </c>
      <c r="F735" s="304">
        <f t="shared" ca="1" si="329"/>
        <v>0.93131408223907874</v>
      </c>
      <c r="G735" s="306">
        <f t="shared" ca="1" si="330"/>
        <v>5.946623950355348</v>
      </c>
      <c r="H735" s="307">
        <f t="shared" ca="1" si="331"/>
        <v>-96.689702522919006</v>
      </c>
      <c r="I735" s="304">
        <f t="shared" ca="1" si="332"/>
        <v>96.872394986278252</v>
      </c>
      <c r="J735" s="306">
        <f t="shared" ca="1" si="333"/>
        <v>588.9746359926213</v>
      </c>
      <c r="K735" s="307">
        <f t="shared" ca="1" si="334"/>
        <v>-10.749758564237336</v>
      </c>
      <c r="L735" s="304">
        <f t="shared" ca="1" si="319"/>
        <v>589.0727282363614</v>
      </c>
      <c r="M735" s="306">
        <f t="shared" ca="1" si="335"/>
        <v>-1.5093715521088489</v>
      </c>
      <c r="N735" s="304">
        <f t="shared" ca="1" si="336"/>
        <v>-86.480619652947453</v>
      </c>
      <c r="P735" s="310">
        <f t="shared" ca="1" si="337"/>
        <v>23</v>
      </c>
      <c r="Q735" s="304">
        <f t="shared" ca="1" si="338"/>
        <v>0</v>
      </c>
      <c r="R735" s="306">
        <f t="shared" ca="1" si="339"/>
        <v>0</v>
      </c>
      <c r="S735" s="307">
        <f t="shared" ca="1" si="340"/>
        <v>2.5949999999999998</v>
      </c>
      <c r="T735" s="304">
        <f t="shared" ca="1" si="320"/>
        <v>25.456949999999999</v>
      </c>
      <c r="U735" s="311">
        <f t="shared" ca="1" si="321"/>
        <v>0</v>
      </c>
      <c r="V735" s="306">
        <f t="shared" ca="1" si="322"/>
        <v>1.2263175535932704</v>
      </c>
      <c r="W735" s="304">
        <f t="shared" ca="1" si="323"/>
        <v>23.565458185417871</v>
      </c>
      <c r="Y735" s="314" t="str">
        <f t="shared" ca="1" si="341"/>
        <v/>
      </c>
      <c r="Z735" s="315" t="str">
        <f t="shared" ca="1" si="342"/>
        <v/>
      </c>
      <c r="AA735" s="316" t="str">
        <f t="shared" ca="1" si="343"/>
        <v/>
      </c>
      <c r="AC735" s="310" t="e">
        <f t="shared" ca="1" si="344"/>
        <v>#N/A</v>
      </c>
      <c r="AD735" s="323" t="e">
        <f t="shared" ca="1" si="345"/>
        <v>#N/A</v>
      </c>
      <c r="AE735" s="324" t="e">
        <f t="shared" ca="1" si="324"/>
        <v>#N/A</v>
      </c>
      <c r="AG735" s="306">
        <f t="shared" ca="1" si="346"/>
        <v>0.71041954387877482</v>
      </c>
      <c r="AH735" s="304">
        <f t="shared" ca="1" si="347"/>
        <v>-9.081079320368115</v>
      </c>
    </row>
    <row r="736" spans="1:34" x14ac:dyDescent="0.2">
      <c r="A736" s="347">
        <f t="shared" ca="1" si="325"/>
        <v>1E-4</v>
      </c>
      <c r="B736" s="304">
        <f t="shared" ca="1" si="326"/>
        <v>32.534900000001329</v>
      </c>
      <c r="D736" s="306">
        <f t="shared" ca="1" si="327"/>
        <v>-0.55745390839788789</v>
      </c>
      <c r="E736" s="307">
        <f t="shared" ca="1" si="328"/>
        <v>-0.74602470524315123</v>
      </c>
      <c r="F736" s="304">
        <f t="shared" ca="1" si="329"/>
        <v>0.93129357391813428</v>
      </c>
      <c r="G736" s="306">
        <f t="shared" ca="1" si="330"/>
        <v>5.9465682049645086</v>
      </c>
      <c r="H736" s="307">
        <f t="shared" ca="1" si="331"/>
        <v>-96.689777125389526</v>
      </c>
      <c r="I736" s="304">
        <f t="shared" ca="1" si="332"/>
        <v>96.872466026078811</v>
      </c>
      <c r="J736" s="306">
        <f t="shared" ca="1" si="333"/>
        <v>588.9746359926213</v>
      </c>
      <c r="K736" s="307">
        <f t="shared" ca="1" si="334"/>
        <v>-10.759427538219752</v>
      </c>
      <c r="L736" s="304">
        <f t="shared" ca="1" si="319"/>
        <v>589.07290476102435</v>
      </c>
      <c r="M736" s="306">
        <f t="shared" ca="1" si="335"/>
        <v>-1.5093721737490478</v>
      </c>
      <c r="N736" s="304">
        <f t="shared" ca="1" si="336"/>
        <v>-86.480655270307224</v>
      </c>
      <c r="P736" s="310">
        <f t="shared" ca="1" si="337"/>
        <v>23</v>
      </c>
      <c r="Q736" s="304">
        <f t="shared" ca="1" si="338"/>
        <v>0</v>
      </c>
      <c r="R736" s="306">
        <f t="shared" ca="1" si="339"/>
        <v>0</v>
      </c>
      <c r="S736" s="307">
        <f t="shared" ca="1" si="340"/>
        <v>2.5949999999999998</v>
      </c>
      <c r="T736" s="304">
        <f t="shared" ca="1" si="320"/>
        <v>25.456949999999999</v>
      </c>
      <c r="U736" s="311">
        <f t="shared" ca="1" si="321"/>
        <v>0</v>
      </c>
      <c r="V736" s="306">
        <f t="shared" ca="1" si="322"/>
        <v>1.2263187393174382</v>
      </c>
      <c r="W736" s="304">
        <f t="shared" ca="1" si="323"/>
        <v>23.565515533555295</v>
      </c>
      <c r="Y736" s="314" t="str">
        <f t="shared" ca="1" si="341"/>
        <v/>
      </c>
      <c r="Z736" s="315" t="str">
        <f t="shared" ca="1" si="342"/>
        <v/>
      </c>
      <c r="AA736" s="316" t="str">
        <f t="shared" ca="1" si="343"/>
        <v/>
      </c>
      <c r="AC736" s="310" t="e">
        <f t="shared" ca="1" si="344"/>
        <v>#N/A</v>
      </c>
      <c r="AD736" s="323" t="e">
        <f t="shared" ca="1" si="345"/>
        <v>#N/A</v>
      </c>
      <c r="AE736" s="324" t="e">
        <f t="shared" ca="1" si="324"/>
        <v>#N/A</v>
      </c>
      <c r="AG736" s="306">
        <f t="shared" ca="1" si="346"/>
        <v>0.71039781840387484</v>
      </c>
      <c r="AH736" s="304">
        <f t="shared" ca="1" si="347"/>
        <v>-9.0811014201995661</v>
      </c>
    </row>
    <row r="737" spans="1:34" x14ac:dyDescent="0.2">
      <c r="A737" s="347">
        <f t="shared" ca="1" si="325"/>
        <v>1E-4</v>
      </c>
      <c r="B737" s="304">
        <f t="shared" ca="1" si="326"/>
        <v>32.535000000001332</v>
      </c>
      <c r="D737" s="306">
        <f t="shared" ca="1" si="327"/>
        <v>-0.55744963045447837</v>
      </c>
      <c r="E737" s="307">
        <f t="shared" ca="1" si="328"/>
        <v>-0.74600230091096442</v>
      </c>
      <c r="F737" s="304">
        <f t="shared" ca="1" si="329"/>
        <v>0.93127306600066961</v>
      </c>
      <c r="G737" s="306">
        <f t="shared" ca="1" si="330"/>
        <v>5.9465124600014629</v>
      </c>
      <c r="H737" s="307">
        <f t="shared" ca="1" si="331"/>
        <v>-96.689851725619619</v>
      </c>
      <c r="I737" s="304">
        <f t="shared" ca="1" si="332"/>
        <v>96.872537063706858</v>
      </c>
      <c r="J737" s="306">
        <f t="shared" ca="1" si="333"/>
        <v>588.9746359926213</v>
      </c>
      <c r="K737" s="307">
        <f t="shared" ca="1" si="334"/>
        <v>-10.769096519662302</v>
      </c>
      <c r="L737" s="304">
        <f t="shared" ca="1" si="319"/>
        <v>589.0730814444762</v>
      </c>
      <c r="M737" s="306">
        <f t="shared" ca="1" si="335"/>
        <v>-1.5093727953825073</v>
      </c>
      <c r="N737" s="304">
        <f t="shared" ca="1" si="336"/>
        <v>-86.480690887280858</v>
      </c>
      <c r="P737" s="310">
        <f t="shared" ca="1" si="337"/>
        <v>23</v>
      </c>
      <c r="Q737" s="304">
        <f t="shared" ca="1" si="338"/>
        <v>0</v>
      </c>
      <c r="R737" s="306">
        <f t="shared" ca="1" si="339"/>
        <v>0</v>
      </c>
      <c r="S737" s="307">
        <f t="shared" ca="1" si="340"/>
        <v>2.5949999999999998</v>
      </c>
      <c r="T737" s="304">
        <f t="shared" ca="1" si="320"/>
        <v>25.456949999999999</v>
      </c>
      <c r="U737" s="311">
        <f t="shared" ca="1" si="321"/>
        <v>0</v>
      </c>
      <c r="V737" s="306">
        <f t="shared" ca="1" si="322"/>
        <v>1.2263199250436685</v>
      </c>
      <c r="W737" s="304">
        <f t="shared" ca="1" si="323"/>
        <v>23.565572880767551</v>
      </c>
      <c r="Y737" s="314" t="str">
        <f t="shared" ca="1" si="341"/>
        <v/>
      </c>
      <c r="Z737" s="315" t="str">
        <f t="shared" ca="1" si="342"/>
        <v/>
      </c>
      <c r="AA737" s="316" t="str">
        <f t="shared" ca="1" si="343"/>
        <v/>
      </c>
      <c r="AC737" s="310" t="e">
        <f t="shared" ca="1" si="344"/>
        <v>#N/A</v>
      </c>
      <c r="AD737" s="323" t="e">
        <f t="shared" ca="1" si="345"/>
        <v>#N/A</v>
      </c>
      <c r="AE737" s="324" t="e">
        <f t="shared" ca="1" si="324"/>
        <v>#N/A</v>
      </c>
      <c r="AG737" s="306">
        <f t="shared" ca="1" si="346"/>
        <v>0.71037609327766482</v>
      </c>
      <c r="AH737" s="304">
        <f t="shared" ca="1" si="347"/>
        <v>-9.0811235196744882</v>
      </c>
    </row>
    <row r="738" spans="1:34" x14ac:dyDescent="0.2">
      <c r="A738" s="347">
        <f t="shared" ca="1" si="325"/>
        <v>1E-4</v>
      </c>
      <c r="B738" s="304">
        <f t="shared" ca="1" si="326"/>
        <v>32.535100000001336</v>
      </c>
      <c r="D738" s="306">
        <f t="shared" ca="1" si="327"/>
        <v>-0.55744535252262939</v>
      </c>
      <c r="E738" s="307">
        <f t="shared" ca="1" si="328"/>
        <v>-0.74597989694019695</v>
      </c>
      <c r="F738" s="304">
        <f t="shared" ca="1" si="329"/>
        <v>0.93125255848667898</v>
      </c>
      <c r="G738" s="306">
        <f t="shared" ca="1" si="330"/>
        <v>5.9464567154662102</v>
      </c>
      <c r="H738" s="307">
        <f t="shared" ca="1" si="331"/>
        <v>-96.689926323609313</v>
      </c>
      <c r="I738" s="304">
        <f t="shared" ca="1" si="332"/>
        <v>96.872608099162434</v>
      </c>
      <c r="J738" s="306">
        <f t="shared" ca="1" si="333"/>
        <v>588.9746359926213</v>
      </c>
      <c r="K738" s="307">
        <f t="shared" ca="1" si="334"/>
        <v>-10.778765508564764</v>
      </c>
      <c r="L738" s="304">
        <f t="shared" ca="1" si="319"/>
        <v>589.07325828671719</v>
      </c>
      <c r="M738" s="306">
        <f t="shared" ca="1" si="335"/>
        <v>-1.5093734170092279</v>
      </c>
      <c r="N738" s="304">
        <f t="shared" ca="1" si="336"/>
        <v>-86.480726503868382</v>
      </c>
      <c r="P738" s="310">
        <f t="shared" ca="1" si="337"/>
        <v>23</v>
      </c>
      <c r="Q738" s="304">
        <f t="shared" ca="1" si="338"/>
        <v>0</v>
      </c>
      <c r="R738" s="306">
        <f t="shared" ca="1" si="339"/>
        <v>0</v>
      </c>
      <c r="S738" s="307">
        <f t="shared" ca="1" si="340"/>
        <v>2.5949999999999998</v>
      </c>
      <c r="T738" s="304">
        <f t="shared" ca="1" si="320"/>
        <v>25.456949999999999</v>
      </c>
      <c r="U738" s="311">
        <f t="shared" ca="1" si="321"/>
        <v>0</v>
      </c>
      <c r="V738" s="306">
        <f t="shared" ca="1" si="322"/>
        <v>1.22632111077196</v>
      </c>
      <c r="W738" s="304">
        <f t="shared" ca="1" si="323"/>
        <v>23.565630227054626</v>
      </c>
      <c r="Y738" s="314" t="str">
        <f t="shared" ca="1" si="341"/>
        <v/>
      </c>
      <c r="Z738" s="315" t="str">
        <f t="shared" ca="1" si="342"/>
        <v/>
      </c>
      <c r="AA738" s="316" t="str">
        <f t="shared" ca="1" si="343"/>
        <v/>
      </c>
      <c r="AC738" s="310" t="e">
        <f t="shared" ca="1" si="344"/>
        <v>#N/A</v>
      </c>
      <c r="AD738" s="323" t="e">
        <f t="shared" ca="1" si="345"/>
        <v>#N/A</v>
      </c>
      <c r="AE738" s="324" t="e">
        <f t="shared" ca="1" si="324"/>
        <v>#N/A</v>
      </c>
      <c r="AG738" s="306">
        <f t="shared" ca="1" si="346"/>
        <v>0.71035436850013056</v>
      </c>
      <c r="AH738" s="304">
        <f t="shared" ca="1" si="347"/>
        <v>-9.0811456187928918</v>
      </c>
    </row>
    <row r="739" spans="1:34" x14ac:dyDescent="0.2">
      <c r="A739" s="347">
        <f t="shared" ca="1" si="325"/>
        <v>1E-4</v>
      </c>
      <c r="B739" s="304">
        <f t="shared" ca="1" si="326"/>
        <v>32.535200000001339</v>
      </c>
      <c r="D739" s="306">
        <f t="shared" ca="1" si="327"/>
        <v>-0.55744107460233983</v>
      </c>
      <c r="E739" s="307">
        <f t="shared" ca="1" si="328"/>
        <v>-0.74595749333085415</v>
      </c>
      <c r="F739" s="304">
        <f t="shared" ca="1" si="329"/>
        <v>0.93123205137616627</v>
      </c>
      <c r="G739" s="306">
        <f t="shared" ca="1" si="330"/>
        <v>5.9464009713587496</v>
      </c>
      <c r="H739" s="307">
        <f t="shared" ca="1" si="331"/>
        <v>-96.690000919358653</v>
      </c>
      <c r="I739" s="304">
        <f t="shared" ca="1" si="332"/>
        <v>96.872679132445555</v>
      </c>
      <c r="J739" s="306">
        <f t="shared" ca="1" si="333"/>
        <v>588.9746359926213</v>
      </c>
      <c r="K739" s="307">
        <f t="shared" ca="1" si="334"/>
        <v>-10.788434504926911</v>
      </c>
      <c r="L739" s="304">
        <f t="shared" ca="1" si="319"/>
        <v>589.07343528774732</v>
      </c>
      <c r="M739" s="306">
        <f t="shared" ca="1" si="335"/>
        <v>-1.5093740386292094</v>
      </c>
      <c r="N739" s="304">
        <f t="shared" ca="1" si="336"/>
        <v>-86.480762120069784</v>
      </c>
      <c r="P739" s="310">
        <f t="shared" ca="1" si="337"/>
        <v>23</v>
      </c>
      <c r="Q739" s="304">
        <f t="shared" ca="1" si="338"/>
        <v>0</v>
      </c>
      <c r="R739" s="306">
        <f t="shared" ca="1" si="339"/>
        <v>0</v>
      </c>
      <c r="S739" s="307">
        <f t="shared" ca="1" si="340"/>
        <v>2.5949999999999998</v>
      </c>
      <c r="T739" s="304">
        <f t="shared" ca="1" si="320"/>
        <v>25.456949999999999</v>
      </c>
      <c r="U739" s="311">
        <f t="shared" ca="1" si="321"/>
        <v>0</v>
      </c>
      <c r="V739" s="306">
        <f t="shared" ca="1" si="322"/>
        <v>1.2263222965023144</v>
      </c>
      <c r="W739" s="304">
        <f t="shared" ca="1" si="323"/>
        <v>23.565687572416557</v>
      </c>
      <c r="Y739" s="314" t="str">
        <f t="shared" ca="1" si="341"/>
        <v/>
      </c>
      <c r="Z739" s="315" t="str">
        <f t="shared" ca="1" si="342"/>
        <v/>
      </c>
      <c r="AA739" s="316" t="str">
        <f t="shared" ca="1" si="343"/>
        <v/>
      </c>
      <c r="AC739" s="310" t="e">
        <f t="shared" ca="1" si="344"/>
        <v>#N/A</v>
      </c>
      <c r="AD739" s="323" t="e">
        <f t="shared" ca="1" si="345"/>
        <v>#N/A</v>
      </c>
      <c r="AE739" s="324" t="e">
        <f t="shared" ca="1" si="324"/>
        <v>#N/A</v>
      </c>
      <c r="AG739" s="306">
        <f t="shared" ca="1" si="346"/>
        <v>0.71033264407127916</v>
      </c>
      <c r="AH739" s="304">
        <f t="shared" ca="1" si="347"/>
        <v>-9.08116771755477</v>
      </c>
    </row>
    <row r="740" spans="1:34" x14ac:dyDescent="0.2">
      <c r="A740" s="347">
        <f t="shared" ca="1" si="325"/>
        <v>1E-4</v>
      </c>
      <c r="B740" s="304">
        <f t="shared" ca="1" si="326"/>
        <v>32.535300000001342</v>
      </c>
      <c r="D740" s="306">
        <f t="shared" ca="1" si="327"/>
        <v>-0.55743679669361168</v>
      </c>
      <c r="E740" s="307">
        <f t="shared" ca="1" si="328"/>
        <v>-0.7459350900829218</v>
      </c>
      <c r="F740" s="304">
        <f t="shared" ca="1" si="329"/>
        <v>0.9312115446691217</v>
      </c>
      <c r="G740" s="306">
        <f t="shared" ca="1" si="330"/>
        <v>5.94634522767908</v>
      </c>
      <c r="H740" s="307">
        <f t="shared" ca="1" si="331"/>
        <v>-96.690075512867665</v>
      </c>
      <c r="I740" s="304">
        <f t="shared" ca="1" si="332"/>
        <v>96.872750163556276</v>
      </c>
      <c r="J740" s="306">
        <f t="shared" ca="1" si="333"/>
        <v>588.9746359926213</v>
      </c>
      <c r="K740" s="307">
        <f t="shared" ca="1" si="334"/>
        <v>-10.798103508748524</v>
      </c>
      <c r="L740" s="304">
        <f t="shared" ca="1" si="319"/>
        <v>589.07361244756703</v>
      </c>
      <c r="M740" s="306">
        <f t="shared" ca="1" si="335"/>
        <v>-1.509374660242452</v>
      </c>
      <c r="N740" s="304">
        <f t="shared" ca="1" si="336"/>
        <v>-86.480797735885076</v>
      </c>
      <c r="P740" s="310">
        <f t="shared" ca="1" si="337"/>
        <v>23</v>
      </c>
      <c r="Q740" s="304">
        <f t="shared" ca="1" si="338"/>
        <v>0</v>
      </c>
      <c r="R740" s="306">
        <f t="shared" ca="1" si="339"/>
        <v>0</v>
      </c>
      <c r="S740" s="307">
        <f t="shared" ca="1" si="340"/>
        <v>2.5949999999999998</v>
      </c>
      <c r="T740" s="304">
        <f t="shared" ca="1" si="320"/>
        <v>25.456949999999999</v>
      </c>
      <c r="U740" s="311">
        <f t="shared" ca="1" si="321"/>
        <v>0</v>
      </c>
      <c r="V740" s="306">
        <f t="shared" ca="1" si="322"/>
        <v>1.2263234822347298</v>
      </c>
      <c r="W740" s="304">
        <f t="shared" ca="1" si="323"/>
        <v>23.56574491685333</v>
      </c>
      <c r="Y740" s="314" t="str">
        <f t="shared" ca="1" si="341"/>
        <v/>
      </c>
      <c r="Z740" s="315" t="str">
        <f t="shared" ca="1" si="342"/>
        <v/>
      </c>
      <c r="AA740" s="316" t="str">
        <f t="shared" ca="1" si="343"/>
        <v/>
      </c>
      <c r="AC740" s="310" t="e">
        <f t="shared" ca="1" si="344"/>
        <v>#N/A</v>
      </c>
      <c r="AD740" s="323" t="e">
        <f t="shared" ca="1" si="345"/>
        <v>#N/A</v>
      </c>
      <c r="AE740" s="324" t="e">
        <f t="shared" ca="1" si="324"/>
        <v>#N/A</v>
      </c>
      <c r="AG740" s="306">
        <f t="shared" ca="1" si="346"/>
        <v>0.71031091999109464</v>
      </c>
      <c r="AH740" s="304">
        <f t="shared" ca="1" si="347"/>
        <v>-9.0811898159601387</v>
      </c>
    </row>
    <row r="741" spans="1:34" x14ac:dyDescent="0.2">
      <c r="A741" s="347">
        <f t="shared" ca="1" si="325"/>
        <v>1E-4</v>
      </c>
      <c r="B741" s="304">
        <f t="shared" ca="1" si="326"/>
        <v>32.535400000001346</v>
      </c>
      <c r="D741" s="306">
        <f t="shared" ca="1" si="327"/>
        <v>-0.55743251879644351</v>
      </c>
      <c r="E741" s="307">
        <f t="shared" ca="1" si="328"/>
        <v>-0.74591268719640702</v>
      </c>
      <c r="F741" s="304">
        <f t="shared" ca="1" si="329"/>
        <v>0.93119103836555051</v>
      </c>
      <c r="G741" s="306">
        <f t="shared" ca="1" si="330"/>
        <v>5.9462894844272007</v>
      </c>
      <c r="H741" s="307">
        <f t="shared" ca="1" si="331"/>
        <v>-96.690150104136379</v>
      </c>
      <c r="I741" s="304">
        <f t="shared" ca="1" si="332"/>
        <v>96.872821192494612</v>
      </c>
      <c r="J741" s="306">
        <f t="shared" ca="1" si="333"/>
        <v>588.9746359926213</v>
      </c>
      <c r="K741" s="307">
        <f t="shared" ca="1" si="334"/>
        <v>-10.807772520029374</v>
      </c>
      <c r="L741" s="304">
        <f t="shared" ca="1" si="319"/>
        <v>589.07378976617645</v>
      </c>
      <c r="M741" s="306">
        <f t="shared" ca="1" si="335"/>
        <v>-1.5093752818489559</v>
      </c>
      <c r="N741" s="304">
        <f t="shared" ca="1" si="336"/>
        <v>-86.48083335131426</v>
      </c>
      <c r="P741" s="310">
        <f t="shared" ca="1" si="337"/>
        <v>23</v>
      </c>
      <c r="Q741" s="304">
        <f t="shared" ca="1" si="338"/>
        <v>0</v>
      </c>
      <c r="R741" s="306">
        <f t="shared" ca="1" si="339"/>
        <v>0</v>
      </c>
      <c r="S741" s="307">
        <f t="shared" ca="1" si="340"/>
        <v>2.5949999999999998</v>
      </c>
      <c r="T741" s="304">
        <f t="shared" ca="1" si="320"/>
        <v>25.456949999999999</v>
      </c>
      <c r="U741" s="311">
        <f t="shared" ca="1" si="321"/>
        <v>0</v>
      </c>
      <c r="V741" s="306">
        <f t="shared" ca="1" si="322"/>
        <v>1.2263246679692077</v>
      </c>
      <c r="W741" s="304">
        <f t="shared" ca="1" si="323"/>
        <v>23.565802260364972</v>
      </c>
      <c r="Y741" s="314" t="str">
        <f t="shared" ca="1" si="341"/>
        <v/>
      </c>
      <c r="Z741" s="315" t="str">
        <f t="shared" ca="1" si="342"/>
        <v/>
      </c>
      <c r="AA741" s="316" t="str">
        <f t="shared" ca="1" si="343"/>
        <v/>
      </c>
      <c r="AC741" s="310" t="e">
        <f t="shared" ca="1" si="344"/>
        <v>#N/A</v>
      </c>
      <c r="AD741" s="323" t="e">
        <f t="shared" ca="1" si="345"/>
        <v>#N/A</v>
      </c>
      <c r="AE741" s="324" t="e">
        <f t="shared" ca="1" si="324"/>
        <v>#N/A</v>
      </c>
      <c r="AG741" s="306">
        <f t="shared" ca="1" si="346"/>
        <v>0.71028919625958764</v>
      </c>
      <c r="AH741" s="304">
        <f t="shared" ca="1" si="347"/>
        <v>-9.0812119140089909</v>
      </c>
    </row>
    <row r="742" spans="1:34" x14ac:dyDescent="0.2">
      <c r="A742" s="347">
        <f t="shared" ca="1" si="325"/>
        <v>1E-4</v>
      </c>
      <c r="B742" s="304">
        <f t="shared" ca="1" si="326"/>
        <v>32.535500000001349</v>
      </c>
      <c r="D742" s="306">
        <f t="shared" ca="1" si="327"/>
        <v>-0.55742824091083731</v>
      </c>
      <c r="E742" s="307">
        <f t="shared" ca="1" si="328"/>
        <v>-0.74589028467129381</v>
      </c>
      <c r="F742" s="304">
        <f t="shared" ca="1" si="329"/>
        <v>0.93117053246544168</v>
      </c>
      <c r="G742" s="306">
        <f t="shared" ca="1" si="330"/>
        <v>5.9462337416031099</v>
      </c>
      <c r="H742" s="307">
        <f t="shared" ca="1" si="331"/>
        <v>-96.690224693164851</v>
      </c>
      <c r="I742" s="304">
        <f t="shared" ca="1" si="332"/>
        <v>96.872892219260621</v>
      </c>
      <c r="J742" s="306">
        <f t="shared" ca="1" si="333"/>
        <v>588.9746359926213</v>
      </c>
      <c r="K742" s="307">
        <f t="shared" ca="1" si="334"/>
        <v>-10.81744153876924</v>
      </c>
      <c r="L742" s="304">
        <f t="shared" ca="1" si="319"/>
        <v>589.07396724357579</v>
      </c>
      <c r="M742" s="306">
        <f t="shared" ca="1" si="335"/>
        <v>-1.5093759034487211</v>
      </c>
      <c r="N742" s="304">
        <f t="shared" ca="1" si="336"/>
        <v>-86.480868966357349</v>
      </c>
      <c r="P742" s="310">
        <f t="shared" ca="1" si="337"/>
        <v>23</v>
      </c>
      <c r="Q742" s="304">
        <f t="shared" ca="1" si="338"/>
        <v>0</v>
      </c>
      <c r="R742" s="306">
        <f t="shared" ca="1" si="339"/>
        <v>0</v>
      </c>
      <c r="S742" s="307">
        <f t="shared" ca="1" si="340"/>
        <v>2.5949999999999998</v>
      </c>
      <c r="T742" s="304">
        <f t="shared" ca="1" si="320"/>
        <v>25.456949999999999</v>
      </c>
      <c r="U742" s="311">
        <f t="shared" ca="1" si="321"/>
        <v>0</v>
      </c>
      <c r="V742" s="306">
        <f t="shared" ca="1" si="322"/>
        <v>1.2263258537057469</v>
      </c>
      <c r="W742" s="304">
        <f t="shared" ca="1" si="323"/>
        <v>23.565859602951491</v>
      </c>
      <c r="Y742" s="314" t="str">
        <f t="shared" ca="1" si="341"/>
        <v/>
      </c>
      <c r="Z742" s="315" t="str">
        <f t="shared" ca="1" si="342"/>
        <v/>
      </c>
      <c r="AA742" s="316" t="str">
        <f t="shared" ca="1" si="343"/>
        <v/>
      </c>
      <c r="AC742" s="310" t="e">
        <f t="shared" ca="1" si="344"/>
        <v>#N/A</v>
      </c>
      <c r="AD742" s="323" t="e">
        <f t="shared" ca="1" si="345"/>
        <v>#N/A</v>
      </c>
      <c r="AE742" s="324" t="e">
        <f t="shared" ca="1" si="324"/>
        <v>#N/A</v>
      </c>
      <c r="AG742" s="306">
        <f t="shared" ca="1" si="346"/>
        <v>0.71026747287674041</v>
      </c>
      <c r="AH742" s="304">
        <f t="shared" ca="1" si="347"/>
        <v>-9.0812340117013388</v>
      </c>
    </row>
    <row r="743" spans="1:34" x14ac:dyDescent="0.2">
      <c r="A743" s="347">
        <f t="shared" ca="1" si="325"/>
        <v>1E-4</v>
      </c>
      <c r="B743" s="304">
        <f t="shared" ca="1" si="326"/>
        <v>32.535600000001352</v>
      </c>
      <c r="D743" s="306">
        <f t="shared" ca="1" si="327"/>
        <v>-0.55742396303679231</v>
      </c>
      <c r="E743" s="307">
        <f t="shared" ca="1" si="328"/>
        <v>-0.74586788250758573</v>
      </c>
      <c r="F743" s="304">
        <f t="shared" ca="1" si="329"/>
        <v>0.93115002696879778</v>
      </c>
      <c r="G743" s="306">
        <f t="shared" ca="1" si="330"/>
        <v>5.9461779992068067</v>
      </c>
      <c r="H743" s="307">
        <f t="shared" ca="1" si="331"/>
        <v>-96.690299279953095</v>
      </c>
      <c r="I743" s="304">
        <f t="shared" ca="1" si="332"/>
        <v>96.872963243854315</v>
      </c>
      <c r="J743" s="306">
        <f t="shared" ca="1" si="333"/>
        <v>588.9746359926213</v>
      </c>
      <c r="K743" s="307">
        <f t="shared" ca="1" si="334"/>
        <v>-10.827110564967896</v>
      </c>
      <c r="L743" s="304">
        <f t="shared" ca="1" si="319"/>
        <v>589.0741448797653</v>
      </c>
      <c r="M743" s="306">
        <f t="shared" ca="1" si="335"/>
        <v>-1.5093765250417477</v>
      </c>
      <c r="N743" s="304">
        <f t="shared" ca="1" si="336"/>
        <v>-86.480904581014357</v>
      </c>
      <c r="P743" s="310">
        <f t="shared" ca="1" si="337"/>
        <v>23</v>
      </c>
      <c r="Q743" s="304">
        <f t="shared" ca="1" si="338"/>
        <v>0</v>
      </c>
      <c r="R743" s="306">
        <f t="shared" ca="1" si="339"/>
        <v>0</v>
      </c>
      <c r="S743" s="307">
        <f t="shared" ca="1" si="340"/>
        <v>2.5949999999999998</v>
      </c>
      <c r="T743" s="304">
        <f t="shared" ca="1" si="320"/>
        <v>25.456949999999999</v>
      </c>
      <c r="U743" s="311">
        <f t="shared" ca="1" si="321"/>
        <v>0</v>
      </c>
      <c r="V743" s="306">
        <f t="shared" ca="1" si="322"/>
        <v>1.2263270394443482</v>
      </c>
      <c r="W743" s="304">
        <f t="shared" ca="1" si="323"/>
        <v>23.565916944612898</v>
      </c>
      <c r="Y743" s="314" t="str">
        <f t="shared" ca="1" si="341"/>
        <v/>
      </c>
      <c r="Z743" s="315" t="str">
        <f t="shared" ca="1" si="342"/>
        <v/>
      </c>
      <c r="AA743" s="316" t="str">
        <f t="shared" ca="1" si="343"/>
        <v/>
      </c>
      <c r="AC743" s="310" t="e">
        <f t="shared" ca="1" si="344"/>
        <v>#N/A</v>
      </c>
      <c r="AD743" s="323" t="e">
        <f t="shared" ca="1" si="345"/>
        <v>#N/A</v>
      </c>
      <c r="AE743" s="324" t="e">
        <f t="shared" ca="1" si="324"/>
        <v>#N/A</v>
      </c>
      <c r="AG743" s="306">
        <f t="shared" ca="1" si="346"/>
        <v>0.71024574984255651</v>
      </c>
      <c r="AH743" s="304">
        <f t="shared" ca="1" si="347"/>
        <v>-9.0812561090371844</v>
      </c>
    </row>
    <row r="744" spans="1:34" x14ac:dyDescent="0.2">
      <c r="A744" s="347">
        <f t="shared" ca="1" si="325"/>
        <v>1E-4</v>
      </c>
      <c r="B744" s="304">
        <f t="shared" ca="1" si="326"/>
        <v>32.535700000001356</v>
      </c>
      <c r="D744" s="306">
        <f t="shared" ca="1" si="327"/>
        <v>-0.55741968517430984</v>
      </c>
      <c r="E744" s="307">
        <f t="shared" ca="1" si="328"/>
        <v>-0.7458454807052739</v>
      </c>
      <c r="F744" s="304">
        <f t="shared" ca="1" si="329"/>
        <v>0.93112952187561304</v>
      </c>
      <c r="G744" s="306">
        <f t="shared" ca="1" si="330"/>
        <v>5.9461222572382892</v>
      </c>
      <c r="H744" s="307">
        <f t="shared" ca="1" si="331"/>
        <v>-96.690373864501169</v>
      </c>
      <c r="I744" s="304">
        <f t="shared" ca="1" si="332"/>
        <v>96.873034266275752</v>
      </c>
      <c r="J744" s="306">
        <f t="shared" ca="1" si="333"/>
        <v>588.9746359926213</v>
      </c>
      <c r="K744" s="307">
        <f t="shared" ca="1" si="334"/>
        <v>-10.836779598625119</v>
      </c>
      <c r="L744" s="304">
        <f t="shared" ca="1" si="319"/>
        <v>589.0743226747453</v>
      </c>
      <c r="M744" s="306">
        <f t="shared" ca="1" si="335"/>
        <v>-1.5093771466280357</v>
      </c>
      <c r="N744" s="304">
        <f t="shared" ca="1" si="336"/>
        <v>-86.480940195285257</v>
      </c>
      <c r="P744" s="310">
        <f t="shared" ca="1" si="337"/>
        <v>23</v>
      </c>
      <c r="Q744" s="304">
        <f t="shared" ca="1" si="338"/>
        <v>0</v>
      </c>
      <c r="R744" s="306">
        <f t="shared" ca="1" si="339"/>
        <v>0</v>
      </c>
      <c r="S744" s="307">
        <f t="shared" ca="1" si="340"/>
        <v>2.5949999999999998</v>
      </c>
      <c r="T744" s="304">
        <f t="shared" ca="1" si="320"/>
        <v>25.456949999999999</v>
      </c>
      <c r="U744" s="311">
        <f t="shared" ca="1" si="321"/>
        <v>0</v>
      </c>
      <c r="V744" s="306">
        <f t="shared" ca="1" si="322"/>
        <v>1.2263282251850112</v>
      </c>
      <c r="W744" s="304">
        <f t="shared" ca="1" si="323"/>
        <v>23.565974285349203</v>
      </c>
      <c r="Y744" s="314" t="str">
        <f t="shared" ca="1" si="341"/>
        <v/>
      </c>
      <c r="Z744" s="315" t="str">
        <f t="shared" ca="1" si="342"/>
        <v/>
      </c>
      <c r="AA744" s="316" t="str">
        <f t="shared" ca="1" si="343"/>
        <v/>
      </c>
      <c r="AC744" s="310" t="e">
        <f t="shared" ca="1" si="344"/>
        <v>#N/A</v>
      </c>
      <c r="AD744" s="323" t="e">
        <f t="shared" ca="1" si="345"/>
        <v>#N/A</v>
      </c>
      <c r="AE744" s="324" t="e">
        <f t="shared" ca="1" si="324"/>
        <v>#N/A</v>
      </c>
      <c r="AG744" s="306">
        <f t="shared" ca="1" si="346"/>
        <v>0.71022402715703059</v>
      </c>
      <c r="AH744" s="304">
        <f t="shared" ca="1" si="347"/>
        <v>-9.0812782060165311</v>
      </c>
    </row>
    <row r="745" spans="1:34" x14ac:dyDescent="0.2">
      <c r="A745" s="347">
        <f t="shared" ca="1" si="325"/>
        <v>1E-4</v>
      </c>
      <c r="B745" s="304">
        <f t="shared" ca="1" si="326"/>
        <v>32.535800000001359</v>
      </c>
      <c r="D745" s="306">
        <f t="shared" ca="1" si="327"/>
        <v>-0.55741540732339134</v>
      </c>
      <c r="E745" s="307">
        <f t="shared" ca="1" si="328"/>
        <v>-0.74582307926435654</v>
      </c>
      <c r="F745" s="304">
        <f t="shared" ca="1" si="329"/>
        <v>0.93110901718588734</v>
      </c>
      <c r="G745" s="306">
        <f t="shared" ca="1" si="330"/>
        <v>5.9460665156975567</v>
      </c>
      <c r="H745" s="307">
        <f t="shared" ca="1" si="331"/>
        <v>-96.6904484468091</v>
      </c>
      <c r="I745" s="304">
        <f t="shared" ca="1" si="332"/>
        <v>96.873105286524947</v>
      </c>
      <c r="J745" s="306">
        <f t="shared" ca="1" si="333"/>
        <v>588.9746359926213</v>
      </c>
      <c r="K745" s="307">
        <f t="shared" ca="1" si="334"/>
        <v>-10.846448639740684</v>
      </c>
      <c r="L745" s="304">
        <f t="shared" ca="1" si="319"/>
        <v>589.07450062851581</v>
      </c>
      <c r="M745" s="306">
        <f t="shared" ca="1" si="335"/>
        <v>-1.5093777682075855</v>
      </c>
      <c r="N745" s="304">
        <f t="shared" ca="1" si="336"/>
        <v>-86.48097580917009</v>
      </c>
      <c r="P745" s="310">
        <f t="shared" ca="1" si="337"/>
        <v>23</v>
      </c>
      <c r="Q745" s="304">
        <f t="shared" ca="1" si="338"/>
        <v>0</v>
      </c>
      <c r="R745" s="306">
        <f t="shared" ca="1" si="339"/>
        <v>0</v>
      </c>
      <c r="S745" s="307">
        <f t="shared" ca="1" si="340"/>
        <v>2.5949999999999998</v>
      </c>
      <c r="T745" s="304">
        <f t="shared" ca="1" si="320"/>
        <v>25.456949999999999</v>
      </c>
      <c r="U745" s="311">
        <f t="shared" ca="1" si="321"/>
        <v>0</v>
      </c>
      <c r="V745" s="306">
        <f t="shared" ca="1" si="322"/>
        <v>1.2263294109277361</v>
      </c>
      <c r="W745" s="304">
        <f t="shared" ca="1" si="323"/>
        <v>23.56603162516042</v>
      </c>
      <c r="Y745" s="314" t="str">
        <f t="shared" ca="1" si="341"/>
        <v/>
      </c>
      <c r="Z745" s="315" t="str">
        <f t="shared" ca="1" si="342"/>
        <v/>
      </c>
      <c r="AA745" s="316" t="str">
        <f t="shared" ca="1" si="343"/>
        <v/>
      </c>
      <c r="AC745" s="310" t="e">
        <f t="shared" ca="1" si="344"/>
        <v>#N/A</v>
      </c>
      <c r="AD745" s="323" t="e">
        <f t="shared" ca="1" si="345"/>
        <v>#N/A</v>
      </c>
      <c r="AE745" s="324" t="e">
        <f t="shared" ca="1" si="324"/>
        <v>#N/A</v>
      </c>
      <c r="AG745" s="306">
        <f t="shared" ca="1" si="346"/>
        <v>0.71020230482015556</v>
      </c>
      <c r="AH745" s="304">
        <f t="shared" ca="1" si="347"/>
        <v>-9.0813003026393861</v>
      </c>
    </row>
    <row r="746" spans="1:34" x14ac:dyDescent="0.2">
      <c r="A746" s="347">
        <f t="shared" ca="1" si="325"/>
        <v>1E-4</v>
      </c>
      <c r="B746" s="304">
        <f t="shared" ca="1" si="326"/>
        <v>32.535900000001362</v>
      </c>
      <c r="D746" s="306">
        <f t="shared" ca="1" si="327"/>
        <v>-0.55741112948403415</v>
      </c>
      <c r="E746" s="307">
        <f t="shared" ca="1" si="328"/>
        <v>-0.74580067818482654</v>
      </c>
      <c r="F746" s="304">
        <f t="shared" ca="1" si="329"/>
        <v>0.93108851289961359</v>
      </c>
      <c r="G746" s="306">
        <f t="shared" ca="1" si="330"/>
        <v>5.9460107745846082</v>
      </c>
      <c r="H746" s="307">
        <f t="shared" ca="1" si="331"/>
        <v>-96.690523026876917</v>
      </c>
      <c r="I746" s="304">
        <f t="shared" ca="1" si="332"/>
        <v>96.873176304601941</v>
      </c>
      <c r="J746" s="306">
        <f t="shared" ca="1" si="333"/>
        <v>588.9746359926213</v>
      </c>
      <c r="K746" s="307">
        <f t="shared" ca="1" si="334"/>
        <v>-10.856117688314368</v>
      </c>
      <c r="L746" s="304">
        <f t="shared" ca="1" si="319"/>
        <v>589.07467874107715</v>
      </c>
      <c r="M746" s="306">
        <f t="shared" ca="1" si="335"/>
        <v>-1.5093783897803967</v>
      </c>
      <c r="N746" s="304">
        <f t="shared" ca="1" si="336"/>
        <v>-86.481011422668843</v>
      </c>
      <c r="P746" s="310">
        <f t="shared" ca="1" si="337"/>
        <v>23</v>
      </c>
      <c r="Q746" s="304">
        <f t="shared" ca="1" si="338"/>
        <v>0</v>
      </c>
      <c r="R746" s="306">
        <f t="shared" ca="1" si="339"/>
        <v>0</v>
      </c>
      <c r="S746" s="307">
        <f t="shared" ca="1" si="340"/>
        <v>2.5949999999999998</v>
      </c>
      <c r="T746" s="304">
        <f t="shared" ca="1" si="320"/>
        <v>25.456949999999999</v>
      </c>
      <c r="U746" s="311">
        <f t="shared" ca="1" si="321"/>
        <v>0</v>
      </c>
      <c r="V746" s="306">
        <f t="shared" ca="1" si="322"/>
        <v>1.2263305966725224</v>
      </c>
      <c r="W746" s="304">
        <f t="shared" ca="1" si="323"/>
        <v>23.566088964046553</v>
      </c>
      <c r="Y746" s="314" t="str">
        <f t="shared" ca="1" si="341"/>
        <v/>
      </c>
      <c r="Z746" s="315" t="str">
        <f t="shared" ca="1" si="342"/>
        <v/>
      </c>
      <c r="AA746" s="316" t="str">
        <f t="shared" ca="1" si="343"/>
        <v/>
      </c>
      <c r="AC746" s="310" t="e">
        <f t="shared" ca="1" si="344"/>
        <v>#N/A</v>
      </c>
      <c r="AD746" s="323" t="e">
        <f t="shared" ca="1" si="345"/>
        <v>#N/A</v>
      </c>
      <c r="AE746" s="324" t="e">
        <f t="shared" ca="1" si="324"/>
        <v>#N/A</v>
      </c>
      <c r="AG746" s="306">
        <f t="shared" ca="1" si="346"/>
        <v>0.71018058283192964</v>
      </c>
      <c r="AH746" s="304">
        <f t="shared" ca="1" si="347"/>
        <v>-9.0813223989057512</v>
      </c>
    </row>
    <row r="747" spans="1:34" x14ac:dyDescent="0.2">
      <c r="A747" s="347">
        <f t="shared" ca="1" si="325"/>
        <v>1E-4</v>
      </c>
      <c r="B747" s="304">
        <f t="shared" ca="1" si="326"/>
        <v>32.536000000001366</v>
      </c>
      <c r="D747" s="306">
        <f t="shared" ca="1" si="327"/>
        <v>-0.55740685165624348</v>
      </c>
      <c r="E747" s="307">
        <f t="shared" ca="1" si="328"/>
        <v>-0.74577827746668568</v>
      </c>
      <c r="F747" s="304">
        <f t="shared" ca="1" si="329"/>
        <v>0.93106800901679698</v>
      </c>
      <c r="G747" s="306">
        <f t="shared" ca="1" si="330"/>
        <v>5.9459550338994429</v>
      </c>
      <c r="H747" s="307">
        <f t="shared" ca="1" si="331"/>
        <v>-96.690597604704664</v>
      </c>
      <c r="I747" s="304">
        <f t="shared" ca="1" si="332"/>
        <v>96.873247320506778</v>
      </c>
      <c r="J747" s="306">
        <f t="shared" ca="1" si="333"/>
        <v>588.9746359926213</v>
      </c>
      <c r="K747" s="307">
        <f t="shared" ca="1" si="334"/>
        <v>-10.865786744345947</v>
      </c>
      <c r="L747" s="304">
        <f t="shared" ca="1" si="319"/>
        <v>589.07485701242956</v>
      </c>
      <c r="M747" s="306">
        <f t="shared" ca="1" si="335"/>
        <v>-1.5093790113464698</v>
      </c>
      <c r="N747" s="304">
        <f t="shared" ca="1" si="336"/>
        <v>-86.481047035781515</v>
      </c>
      <c r="P747" s="310">
        <f t="shared" ca="1" si="337"/>
        <v>23</v>
      </c>
      <c r="Q747" s="304">
        <f t="shared" ca="1" si="338"/>
        <v>0</v>
      </c>
      <c r="R747" s="306">
        <f t="shared" ca="1" si="339"/>
        <v>0</v>
      </c>
      <c r="S747" s="307">
        <f t="shared" ca="1" si="340"/>
        <v>2.5949999999999998</v>
      </c>
      <c r="T747" s="304">
        <f t="shared" ca="1" si="320"/>
        <v>25.456949999999999</v>
      </c>
      <c r="U747" s="311">
        <f t="shared" ca="1" si="321"/>
        <v>0</v>
      </c>
      <c r="V747" s="306">
        <f t="shared" ca="1" si="322"/>
        <v>1.2263317824193705</v>
      </c>
      <c r="W747" s="304">
        <f t="shared" ca="1" si="323"/>
        <v>23.566146302007628</v>
      </c>
      <c r="Y747" s="314" t="str">
        <f t="shared" ca="1" si="341"/>
        <v/>
      </c>
      <c r="Z747" s="315" t="str">
        <f t="shared" ca="1" si="342"/>
        <v/>
      </c>
      <c r="AA747" s="316" t="str">
        <f t="shared" ca="1" si="343"/>
        <v/>
      </c>
      <c r="AC747" s="310" t="e">
        <f t="shared" ca="1" si="344"/>
        <v>#N/A</v>
      </c>
      <c r="AD747" s="323" t="e">
        <f t="shared" ca="1" si="345"/>
        <v>#N/A</v>
      </c>
      <c r="AE747" s="324" t="e">
        <f t="shared" ca="1" si="324"/>
        <v>#N/A</v>
      </c>
      <c r="AG747" s="306">
        <f t="shared" ca="1" si="346"/>
        <v>0.71015886119235105</v>
      </c>
      <c r="AH747" s="304">
        <f t="shared" ca="1" si="347"/>
        <v>-9.0813444948156281</v>
      </c>
    </row>
    <row r="748" spans="1:34" x14ac:dyDescent="0.2">
      <c r="A748" s="347">
        <f t="shared" ca="1" si="325"/>
        <v>1E-4</v>
      </c>
      <c r="B748" s="304">
        <f t="shared" ca="1" si="326"/>
        <v>32.536100000001369</v>
      </c>
      <c r="D748" s="306">
        <f t="shared" ca="1" si="327"/>
        <v>-0.55740257384001712</v>
      </c>
      <c r="E748" s="307">
        <f t="shared" ca="1" si="328"/>
        <v>-0.74575587710992153</v>
      </c>
      <c r="F748" s="304">
        <f t="shared" ca="1" si="329"/>
        <v>0.93104750553742643</v>
      </c>
      <c r="G748" s="306">
        <f t="shared" ca="1" si="330"/>
        <v>5.9458992936420589</v>
      </c>
      <c r="H748" s="307">
        <f t="shared" ca="1" si="331"/>
        <v>-96.690672180292381</v>
      </c>
      <c r="I748" s="304">
        <f t="shared" ca="1" si="332"/>
        <v>96.873318334239485</v>
      </c>
      <c r="J748" s="306">
        <f t="shared" ca="1" si="333"/>
        <v>588.9746359926213</v>
      </c>
      <c r="K748" s="307">
        <f t="shared" ca="1" si="334"/>
        <v>-10.875455807835197</v>
      </c>
      <c r="L748" s="304">
        <f t="shared" ca="1" si="319"/>
        <v>589.07503544257327</v>
      </c>
      <c r="M748" s="306">
        <f t="shared" ca="1" si="335"/>
        <v>-1.5093796329058049</v>
      </c>
      <c r="N748" s="304">
        <f t="shared" ca="1" si="336"/>
        <v>-86.481082648508135</v>
      </c>
      <c r="P748" s="310">
        <f t="shared" ca="1" si="337"/>
        <v>23</v>
      </c>
      <c r="Q748" s="304">
        <f t="shared" ca="1" si="338"/>
        <v>0</v>
      </c>
      <c r="R748" s="306">
        <f t="shared" ca="1" si="339"/>
        <v>0</v>
      </c>
      <c r="S748" s="307">
        <f t="shared" ca="1" si="340"/>
        <v>2.5949999999999998</v>
      </c>
      <c r="T748" s="304">
        <f t="shared" ca="1" si="320"/>
        <v>25.456949999999999</v>
      </c>
      <c r="U748" s="311">
        <f t="shared" ca="1" si="321"/>
        <v>0</v>
      </c>
      <c r="V748" s="306">
        <f t="shared" ca="1" si="322"/>
        <v>1.2263329681682804</v>
      </c>
      <c r="W748" s="304">
        <f t="shared" ca="1" si="323"/>
        <v>23.566203639043643</v>
      </c>
      <c r="Y748" s="314" t="str">
        <f t="shared" ca="1" si="341"/>
        <v/>
      </c>
      <c r="Z748" s="315" t="str">
        <f t="shared" ca="1" si="342"/>
        <v/>
      </c>
      <c r="AA748" s="316" t="str">
        <f t="shared" ca="1" si="343"/>
        <v/>
      </c>
      <c r="AC748" s="310" t="e">
        <f t="shared" ca="1" si="344"/>
        <v>#N/A</v>
      </c>
      <c r="AD748" s="323" t="e">
        <f t="shared" ca="1" si="345"/>
        <v>#N/A</v>
      </c>
      <c r="AE748" s="324" t="e">
        <f t="shared" ca="1" si="324"/>
        <v>#N/A</v>
      </c>
      <c r="AG748" s="306">
        <f t="shared" ca="1" si="346"/>
        <v>0.71013713990140914</v>
      </c>
      <c r="AH748" s="304">
        <f t="shared" ca="1" si="347"/>
        <v>-9.0813665903690293</v>
      </c>
    </row>
    <row r="749" spans="1:34" x14ac:dyDescent="0.2">
      <c r="A749" s="347">
        <f t="shared" ca="1" si="325"/>
        <v>1E-4</v>
      </c>
      <c r="B749" s="304">
        <f t="shared" ca="1" si="326"/>
        <v>32.536200000001372</v>
      </c>
      <c r="D749" s="306">
        <f t="shared" ca="1" si="327"/>
        <v>-0.55739829603535396</v>
      </c>
      <c r="E749" s="307">
        <f t="shared" ca="1" si="328"/>
        <v>-0.74573347711453586</v>
      </c>
      <c r="F749" s="304">
        <f t="shared" ca="1" si="329"/>
        <v>0.93102700246150327</v>
      </c>
      <c r="G749" s="306">
        <f t="shared" ca="1" si="330"/>
        <v>5.9458435538124554</v>
      </c>
      <c r="H749" s="307">
        <f t="shared" ca="1" si="331"/>
        <v>-96.690746753640099</v>
      </c>
      <c r="I749" s="304">
        <f t="shared" ca="1" si="332"/>
        <v>96.873389345800106</v>
      </c>
      <c r="J749" s="306">
        <f t="shared" ca="1" si="333"/>
        <v>588.9746359926213</v>
      </c>
      <c r="K749" s="307">
        <f t="shared" ca="1" si="334"/>
        <v>-10.885124878781893</v>
      </c>
      <c r="L749" s="304">
        <f t="shared" ca="1" si="319"/>
        <v>589.07521403150838</v>
      </c>
      <c r="M749" s="306">
        <f t="shared" ca="1" si="335"/>
        <v>-1.5093802544584016</v>
      </c>
      <c r="N749" s="304">
        <f t="shared" ca="1" si="336"/>
        <v>-86.481118260848675</v>
      </c>
      <c r="P749" s="310">
        <f t="shared" ca="1" si="337"/>
        <v>23</v>
      </c>
      <c r="Q749" s="304">
        <f t="shared" ca="1" si="338"/>
        <v>0</v>
      </c>
      <c r="R749" s="306">
        <f t="shared" ca="1" si="339"/>
        <v>0</v>
      </c>
      <c r="S749" s="307">
        <f t="shared" ca="1" si="340"/>
        <v>2.5949999999999998</v>
      </c>
      <c r="T749" s="304">
        <f t="shared" ca="1" si="320"/>
        <v>25.456949999999999</v>
      </c>
      <c r="U749" s="311">
        <f t="shared" ca="1" si="321"/>
        <v>0</v>
      </c>
      <c r="V749" s="306">
        <f t="shared" ca="1" si="322"/>
        <v>1.226334153919252</v>
      </c>
      <c r="W749" s="304">
        <f t="shared" ca="1" si="323"/>
        <v>23.566260975154616</v>
      </c>
      <c r="Y749" s="314" t="str">
        <f t="shared" ca="1" si="341"/>
        <v/>
      </c>
      <c r="Z749" s="315" t="str">
        <f t="shared" ca="1" si="342"/>
        <v/>
      </c>
      <c r="AA749" s="316" t="str">
        <f t="shared" ca="1" si="343"/>
        <v/>
      </c>
      <c r="AC749" s="310" t="e">
        <f t="shared" ca="1" si="344"/>
        <v>#N/A</v>
      </c>
      <c r="AD749" s="323" t="e">
        <f t="shared" ca="1" si="345"/>
        <v>#N/A</v>
      </c>
      <c r="AE749" s="324" t="e">
        <f t="shared" ca="1" si="324"/>
        <v>#N/A</v>
      </c>
      <c r="AG749" s="306">
        <f t="shared" ca="1" si="346"/>
        <v>0.71011541895910568</v>
      </c>
      <c r="AH749" s="304">
        <f t="shared" ca="1" si="347"/>
        <v>-9.0813886855659511</v>
      </c>
    </row>
    <row r="750" spans="1:34" x14ac:dyDescent="0.2">
      <c r="A750" s="347">
        <f t="shared" ca="1" si="325"/>
        <v>1E-4</v>
      </c>
      <c r="B750" s="304">
        <f t="shared" ca="1" si="326"/>
        <v>32.536300000001376</v>
      </c>
      <c r="D750" s="306">
        <f t="shared" ca="1" si="327"/>
        <v>-0.55739401824225998</v>
      </c>
      <c r="E750" s="307">
        <f t="shared" ca="1" si="328"/>
        <v>-0.74571107748051801</v>
      </c>
      <c r="F750" s="304">
        <f t="shared" ca="1" si="329"/>
        <v>0.93100649978902295</v>
      </c>
      <c r="G750" s="306">
        <f t="shared" ca="1" si="330"/>
        <v>5.9457878144106315</v>
      </c>
      <c r="H750" s="307">
        <f t="shared" ca="1" si="331"/>
        <v>-96.690821324747844</v>
      </c>
      <c r="I750" s="304">
        <f t="shared" ca="1" si="332"/>
        <v>96.873460355188641</v>
      </c>
      <c r="J750" s="306">
        <f t="shared" ca="1" si="333"/>
        <v>588.9746359926213</v>
      </c>
      <c r="K750" s="307">
        <f t="shared" ca="1" si="334"/>
        <v>-10.894793957185811</v>
      </c>
      <c r="L750" s="304">
        <f t="shared" ca="1" si="319"/>
        <v>589.07539277923524</v>
      </c>
      <c r="M750" s="306">
        <f t="shared" ca="1" si="335"/>
        <v>-1.5093808760042606</v>
      </c>
      <c r="N750" s="304">
        <f t="shared" ca="1" si="336"/>
        <v>-86.481153872803162</v>
      </c>
      <c r="P750" s="310">
        <f t="shared" ca="1" si="337"/>
        <v>23</v>
      </c>
      <c r="Q750" s="304">
        <f t="shared" ca="1" si="338"/>
        <v>0</v>
      </c>
      <c r="R750" s="306">
        <f t="shared" ca="1" si="339"/>
        <v>0</v>
      </c>
      <c r="S750" s="307">
        <f t="shared" ca="1" si="340"/>
        <v>2.5949999999999998</v>
      </c>
      <c r="T750" s="304">
        <f t="shared" ca="1" si="320"/>
        <v>25.456949999999999</v>
      </c>
      <c r="U750" s="311">
        <f t="shared" ca="1" si="321"/>
        <v>0</v>
      </c>
      <c r="V750" s="306">
        <f t="shared" ca="1" si="322"/>
        <v>1.2263353396722847</v>
      </c>
      <c r="W750" s="304">
        <f t="shared" ca="1" si="323"/>
        <v>23.566318310340542</v>
      </c>
      <c r="Y750" s="314" t="str">
        <f t="shared" ca="1" si="341"/>
        <v/>
      </c>
      <c r="Z750" s="315" t="str">
        <f t="shared" ca="1" si="342"/>
        <v/>
      </c>
      <c r="AA750" s="316" t="str">
        <f t="shared" ca="1" si="343"/>
        <v/>
      </c>
      <c r="AC750" s="310" t="e">
        <f t="shared" ca="1" si="344"/>
        <v>#N/A</v>
      </c>
      <c r="AD750" s="323" t="e">
        <f t="shared" ca="1" si="345"/>
        <v>#N/A</v>
      </c>
      <c r="AE750" s="324" t="e">
        <f t="shared" ca="1" si="324"/>
        <v>#N/A</v>
      </c>
      <c r="AG750" s="306">
        <f t="shared" ca="1" si="346"/>
        <v>0.71009369836543001</v>
      </c>
      <c r="AH750" s="304">
        <f t="shared" ca="1" si="347"/>
        <v>-9.0814107804064044</v>
      </c>
    </row>
    <row r="751" spans="1:34" x14ac:dyDescent="0.2">
      <c r="A751" s="347">
        <f t="shared" ca="1" si="325"/>
        <v>1E-4</v>
      </c>
      <c r="B751" s="304">
        <f t="shared" ca="1" si="326"/>
        <v>32.536400000001379</v>
      </c>
      <c r="D751" s="306">
        <f t="shared" ca="1" si="327"/>
        <v>-0.55738974046072964</v>
      </c>
      <c r="E751" s="307">
        <f t="shared" ca="1" si="328"/>
        <v>-0.74568867820787332</v>
      </c>
      <c r="F751" s="304">
        <f t="shared" ca="1" si="329"/>
        <v>0.93098599751998679</v>
      </c>
      <c r="G751" s="306">
        <f t="shared" ca="1" si="330"/>
        <v>5.9457320754365854</v>
      </c>
      <c r="H751" s="307">
        <f t="shared" ca="1" si="331"/>
        <v>-96.690895893615661</v>
      </c>
      <c r="I751" s="304">
        <f t="shared" ca="1" si="332"/>
        <v>96.87353136240516</v>
      </c>
      <c r="J751" s="306">
        <f t="shared" ca="1" si="333"/>
        <v>588.9746359926213</v>
      </c>
      <c r="K751" s="307">
        <f t="shared" ca="1" si="334"/>
        <v>-10.90446304304673</v>
      </c>
      <c r="L751" s="304">
        <f t="shared" ca="1" si="319"/>
        <v>589.07557168575397</v>
      </c>
      <c r="M751" s="306">
        <f t="shared" ca="1" si="335"/>
        <v>-1.5093814975433817</v>
      </c>
      <c r="N751" s="304">
        <f t="shared" ca="1" si="336"/>
        <v>-86.481189484371612</v>
      </c>
      <c r="P751" s="310">
        <f t="shared" ca="1" si="337"/>
        <v>23</v>
      </c>
      <c r="Q751" s="304">
        <f t="shared" ca="1" si="338"/>
        <v>0</v>
      </c>
      <c r="R751" s="306">
        <f t="shared" ca="1" si="339"/>
        <v>0</v>
      </c>
      <c r="S751" s="307">
        <f t="shared" ca="1" si="340"/>
        <v>2.5949999999999998</v>
      </c>
      <c r="T751" s="304">
        <f t="shared" ca="1" si="320"/>
        <v>25.456949999999999</v>
      </c>
      <c r="U751" s="311">
        <f t="shared" ca="1" si="321"/>
        <v>0</v>
      </c>
      <c r="V751" s="306">
        <f t="shared" ca="1" si="322"/>
        <v>1.2263365254273797</v>
      </c>
      <c r="W751" s="304">
        <f t="shared" ca="1" si="323"/>
        <v>23.566375644601454</v>
      </c>
      <c r="Y751" s="314" t="str">
        <f t="shared" ca="1" si="341"/>
        <v/>
      </c>
      <c r="Z751" s="315" t="str">
        <f t="shared" ca="1" si="342"/>
        <v/>
      </c>
      <c r="AA751" s="316" t="str">
        <f t="shared" ca="1" si="343"/>
        <v/>
      </c>
      <c r="AC751" s="310" t="e">
        <f t="shared" ca="1" si="344"/>
        <v>#N/A</v>
      </c>
      <c r="AD751" s="323" t="e">
        <f t="shared" ca="1" si="345"/>
        <v>#N/A</v>
      </c>
      <c r="AE751" s="324" t="e">
        <f t="shared" ca="1" si="324"/>
        <v>#N/A</v>
      </c>
      <c r="AG751" s="306">
        <f t="shared" ca="1" si="346"/>
        <v>0.71007197812038925</v>
      </c>
      <c r="AH751" s="304">
        <f t="shared" ca="1" si="347"/>
        <v>-9.0814328748903836</v>
      </c>
    </row>
    <row r="752" spans="1:34" x14ac:dyDescent="0.2">
      <c r="A752" s="347">
        <f t="shared" ca="1" si="325"/>
        <v>1E-4</v>
      </c>
      <c r="B752" s="304">
        <f t="shared" ca="1" si="326"/>
        <v>32.536500000001382</v>
      </c>
      <c r="D752" s="306">
        <f t="shared" ca="1" si="327"/>
        <v>-0.55738546269076705</v>
      </c>
      <c r="E752" s="307">
        <f t="shared" ca="1" si="328"/>
        <v>-0.74566627929658935</v>
      </c>
      <c r="F752" s="304">
        <f t="shared" ca="1" si="329"/>
        <v>0.93096549565438769</v>
      </c>
      <c r="G752" s="306">
        <f t="shared" ca="1" si="330"/>
        <v>5.9456763368903163</v>
      </c>
      <c r="H752" s="307">
        <f t="shared" ca="1" si="331"/>
        <v>-96.690970460243591</v>
      </c>
      <c r="I752" s="304">
        <f t="shared" ca="1" si="332"/>
        <v>96.873602367449706</v>
      </c>
      <c r="J752" s="306">
        <f t="shared" ca="1" si="333"/>
        <v>588.9746359926213</v>
      </c>
      <c r="K752" s="307">
        <f t="shared" ca="1" si="334"/>
        <v>-10.914132136364424</v>
      </c>
      <c r="L752" s="304">
        <f t="shared" ca="1" si="319"/>
        <v>589.0757507510649</v>
      </c>
      <c r="M752" s="306">
        <f t="shared" ca="1" si="335"/>
        <v>-1.509382119075765</v>
      </c>
      <c r="N752" s="304">
        <f t="shared" ca="1" si="336"/>
        <v>-86.481225095553995</v>
      </c>
      <c r="P752" s="310">
        <f t="shared" ca="1" si="337"/>
        <v>23</v>
      </c>
      <c r="Q752" s="304">
        <f t="shared" ca="1" si="338"/>
        <v>0</v>
      </c>
      <c r="R752" s="306">
        <f t="shared" ca="1" si="339"/>
        <v>0</v>
      </c>
      <c r="S752" s="307">
        <f t="shared" ca="1" si="340"/>
        <v>2.5949999999999998</v>
      </c>
      <c r="T752" s="304">
        <f t="shared" ca="1" si="320"/>
        <v>25.456949999999999</v>
      </c>
      <c r="U752" s="311">
        <f t="shared" ca="1" si="321"/>
        <v>0</v>
      </c>
      <c r="V752" s="306">
        <f t="shared" ca="1" si="322"/>
        <v>1.2263377111845362</v>
      </c>
      <c r="W752" s="304">
        <f t="shared" ca="1" si="323"/>
        <v>23.566432977937371</v>
      </c>
      <c r="Y752" s="314" t="str">
        <f t="shared" ca="1" si="341"/>
        <v/>
      </c>
      <c r="Z752" s="315" t="str">
        <f t="shared" ca="1" si="342"/>
        <v/>
      </c>
      <c r="AA752" s="316" t="str">
        <f t="shared" ca="1" si="343"/>
        <v/>
      </c>
      <c r="AC752" s="310" t="e">
        <f t="shared" ca="1" si="344"/>
        <v>#N/A</v>
      </c>
      <c r="AD752" s="323" t="e">
        <f t="shared" ca="1" si="345"/>
        <v>#N/A</v>
      </c>
      <c r="AE752" s="324" t="e">
        <f t="shared" ca="1" si="324"/>
        <v>#N/A</v>
      </c>
      <c r="AG752" s="306">
        <f t="shared" ca="1" si="346"/>
        <v>0.71005025822397272</v>
      </c>
      <c r="AH752" s="304">
        <f t="shared" ca="1" si="347"/>
        <v>-9.0814549690179014</v>
      </c>
    </row>
    <row r="753" spans="1:34" x14ac:dyDescent="0.2">
      <c r="A753" s="347">
        <f t="shared" ca="1" si="325"/>
        <v>1E-4</v>
      </c>
      <c r="B753" s="304">
        <f t="shared" ca="1" si="326"/>
        <v>32.536600000001386</v>
      </c>
      <c r="D753" s="306">
        <f t="shared" ca="1" si="327"/>
        <v>-0.55738118493237199</v>
      </c>
      <c r="E753" s="307">
        <f t="shared" ca="1" si="328"/>
        <v>-0.74564388074665722</v>
      </c>
      <c r="F753" s="304">
        <f t="shared" ca="1" si="329"/>
        <v>0.93094499419221877</v>
      </c>
      <c r="G753" s="306">
        <f t="shared" ca="1" si="330"/>
        <v>5.9456205987718231</v>
      </c>
      <c r="H753" s="307">
        <f t="shared" ca="1" si="331"/>
        <v>-96.691045024631663</v>
      </c>
      <c r="I753" s="304">
        <f t="shared" ca="1" si="332"/>
        <v>96.873673370322265</v>
      </c>
      <c r="J753" s="306">
        <f t="shared" ca="1" si="333"/>
        <v>588.9746359926213</v>
      </c>
      <c r="K753" s="307">
        <f t="shared" ca="1" si="334"/>
        <v>-10.923801237138667</v>
      </c>
      <c r="L753" s="304">
        <f t="shared" ca="1" si="319"/>
        <v>589.07592997516815</v>
      </c>
      <c r="M753" s="306">
        <f t="shared" ca="1" si="335"/>
        <v>-1.5093827406014106</v>
      </c>
      <c r="N753" s="304">
        <f t="shared" ca="1" si="336"/>
        <v>-86.481260706350355</v>
      </c>
      <c r="P753" s="310">
        <f t="shared" ca="1" si="337"/>
        <v>23</v>
      </c>
      <c r="Q753" s="304">
        <f t="shared" ca="1" si="338"/>
        <v>0</v>
      </c>
      <c r="R753" s="306">
        <f t="shared" ca="1" si="339"/>
        <v>0</v>
      </c>
      <c r="S753" s="307">
        <f t="shared" ca="1" si="340"/>
        <v>2.5949999999999998</v>
      </c>
      <c r="T753" s="304">
        <f t="shared" ca="1" si="320"/>
        <v>25.456949999999999</v>
      </c>
      <c r="U753" s="311">
        <f t="shared" ca="1" si="321"/>
        <v>0</v>
      </c>
      <c r="V753" s="306">
        <f t="shared" ca="1" si="322"/>
        <v>1.2263388969437541</v>
      </c>
      <c r="W753" s="304">
        <f t="shared" ca="1" si="323"/>
        <v>23.566490310348264</v>
      </c>
      <c r="Y753" s="314" t="str">
        <f t="shared" ca="1" si="341"/>
        <v/>
      </c>
      <c r="Z753" s="315" t="str">
        <f t="shared" ca="1" si="342"/>
        <v/>
      </c>
      <c r="AA753" s="316" t="str">
        <f t="shared" ca="1" si="343"/>
        <v/>
      </c>
      <c r="AC753" s="310" t="e">
        <f t="shared" ca="1" si="344"/>
        <v>#N/A</v>
      </c>
      <c r="AD753" s="323" t="e">
        <f t="shared" ca="1" si="345"/>
        <v>#N/A</v>
      </c>
      <c r="AE753" s="324" t="e">
        <f t="shared" ca="1" si="324"/>
        <v>#N/A</v>
      </c>
      <c r="AG753" s="306">
        <f t="shared" ca="1" si="346"/>
        <v>0.71002853867616444</v>
      </c>
      <c r="AH753" s="304">
        <f t="shared" ca="1" si="347"/>
        <v>-9.0814770627889683</v>
      </c>
    </row>
    <row r="754" spans="1:34" x14ac:dyDescent="0.2">
      <c r="A754" s="347">
        <f t="shared" ca="1" si="325"/>
        <v>1E-4</v>
      </c>
      <c r="B754" s="304">
        <f t="shared" ca="1" si="326"/>
        <v>32.536700000001389</v>
      </c>
      <c r="D754" s="306">
        <f t="shared" ca="1" si="327"/>
        <v>-0.55737690718554456</v>
      </c>
      <c r="E754" s="307">
        <f t="shared" ca="1" si="328"/>
        <v>-0.74562148255808935</v>
      </c>
      <c r="F754" s="304">
        <f t="shared" ca="1" si="329"/>
        <v>0.93092449313349057</v>
      </c>
      <c r="G754" s="306">
        <f t="shared" ca="1" si="330"/>
        <v>5.9455648610811043</v>
      </c>
      <c r="H754" s="307">
        <f t="shared" ca="1" si="331"/>
        <v>-96.691119586779919</v>
      </c>
      <c r="I754" s="304">
        <f t="shared" ca="1" si="332"/>
        <v>96.873744371022937</v>
      </c>
      <c r="J754" s="306">
        <f t="shared" ca="1" si="333"/>
        <v>588.9746359926213</v>
      </c>
      <c r="K754" s="307">
        <f t="shared" ca="1" si="334"/>
        <v>-10.933470345369237</v>
      </c>
      <c r="L754" s="304">
        <f t="shared" ca="1" si="319"/>
        <v>589.07610935806406</v>
      </c>
      <c r="M754" s="306">
        <f t="shared" ca="1" si="335"/>
        <v>-1.5093833621203188</v>
      </c>
      <c r="N754" s="304">
        <f t="shared" ca="1" si="336"/>
        <v>-86.481296316760677</v>
      </c>
      <c r="P754" s="310">
        <f t="shared" ca="1" si="337"/>
        <v>23</v>
      </c>
      <c r="Q754" s="304">
        <f t="shared" ca="1" si="338"/>
        <v>0</v>
      </c>
      <c r="R754" s="306">
        <f t="shared" ca="1" si="339"/>
        <v>0</v>
      </c>
      <c r="S754" s="307">
        <f t="shared" ca="1" si="340"/>
        <v>2.5949999999999998</v>
      </c>
      <c r="T754" s="304">
        <f t="shared" ca="1" si="320"/>
        <v>25.456949999999999</v>
      </c>
      <c r="U754" s="311">
        <f t="shared" ca="1" si="321"/>
        <v>0</v>
      </c>
      <c r="V754" s="306">
        <f t="shared" ca="1" si="322"/>
        <v>1.2263400827050335</v>
      </c>
      <c r="W754" s="304">
        <f t="shared" ca="1" si="323"/>
        <v>23.566547641834195</v>
      </c>
      <c r="Y754" s="314" t="str">
        <f t="shared" ca="1" si="341"/>
        <v/>
      </c>
      <c r="Z754" s="315" t="str">
        <f t="shared" ca="1" si="342"/>
        <v/>
      </c>
      <c r="AA754" s="316" t="str">
        <f t="shared" ca="1" si="343"/>
        <v/>
      </c>
      <c r="AC754" s="310" t="e">
        <f t="shared" ca="1" si="344"/>
        <v>#N/A</v>
      </c>
      <c r="AD754" s="323" t="e">
        <f t="shared" ca="1" si="345"/>
        <v>#N/A</v>
      </c>
      <c r="AE754" s="324" t="e">
        <f t="shared" ca="1" si="324"/>
        <v>#N/A</v>
      </c>
      <c r="AG754" s="306">
        <f t="shared" ca="1" si="346"/>
        <v>0.71000681947698396</v>
      </c>
      <c r="AH754" s="304">
        <f t="shared" ca="1" si="347"/>
        <v>-9.0814991562035701</v>
      </c>
    </row>
    <row r="755" spans="1:34" x14ac:dyDescent="0.2">
      <c r="A755" s="347">
        <f t="shared" ca="1" si="325"/>
        <v>1E-4</v>
      </c>
      <c r="B755" s="304">
        <f t="shared" ca="1" si="326"/>
        <v>32.536800000001392</v>
      </c>
      <c r="D755" s="306">
        <f t="shared" ca="1" si="327"/>
        <v>-0.55737262945028554</v>
      </c>
      <c r="E755" s="307">
        <f t="shared" ca="1" si="328"/>
        <v>-0.74559908473085912</v>
      </c>
      <c r="F755" s="304">
        <f t="shared" ca="1" si="329"/>
        <v>0.93090399247818256</v>
      </c>
      <c r="G755" s="306">
        <f t="shared" ca="1" si="330"/>
        <v>5.9455091238181597</v>
      </c>
      <c r="H755" s="307">
        <f t="shared" ca="1" si="331"/>
        <v>-96.691194146688389</v>
      </c>
      <c r="I755" s="304">
        <f t="shared" ca="1" si="332"/>
        <v>96.873815369551707</v>
      </c>
      <c r="J755" s="306">
        <f t="shared" ca="1" si="333"/>
        <v>588.9746359926213</v>
      </c>
      <c r="K755" s="307">
        <f t="shared" ca="1" si="334"/>
        <v>-10.94313946105591</v>
      </c>
      <c r="L755" s="304">
        <f t="shared" ca="1" si="319"/>
        <v>589.07628889975274</v>
      </c>
      <c r="M755" s="306">
        <f t="shared" ca="1" si="335"/>
        <v>-1.5093839836324892</v>
      </c>
      <c r="N755" s="304">
        <f t="shared" ca="1" si="336"/>
        <v>-86.481331926784961</v>
      </c>
      <c r="P755" s="310">
        <f t="shared" ca="1" si="337"/>
        <v>23</v>
      </c>
      <c r="Q755" s="304">
        <f t="shared" ca="1" si="338"/>
        <v>0</v>
      </c>
      <c r="R755" s="306">
        <f t="shared" ca="1" si="339"/>
        <v>0</v>
      </c>
      <c r="S755" s="307">
        <f t="shared" ca="1" si="340"/>
        <v>2.5949999999999998</v>
      </c>
      <c r="T755" s="304">
        <f t="shared" ca="1" si="320"/>
        <v>25.456949999999999</v>
      </c>
      <c r="U755" s="311">
        <f t="shared" ca="1" si="321"/>
        <v>0</v>
      </c>
      <c r="V755" s="306">
        <f t="shared" ca="1" si="322"/>
        <v>1.2263412684683745</v>
      </c>
      <c r="W755" s="304">
        <f t="shared" ca="1" si="323"/>
        <v>23.566604972395133</v>
      </c>
      <c r="Y755" s="314" t="str">
        <f t="shared" ca="1" si="341"/>
        <v/>
      </c>
      <c r="Z755" s="315" t="str">
        <f t="shared" ca="1" si="342"/>
        <v/>
      </c>
      <c r="AA755" s="316" t="str">
        <f t="shared" ca="1" si="343"/>
        <v/>
      </c>
      <c r="AC755" s="310" t="e">
        <f t="shared" ca="1" si="344"/>
        <v>#N/A</v>
      </c>
      <c r="AD755" s="323" t="e">
        <f t="shared" ca="1" si="345"/>
        <v>#N/A</v>
      </c>
      <c r="AE755" s="324" t="e">
        <f t="shared" ca="1" si="324"/>
        <v>#N/A</v>
      </c>
      <c r="AG755" s="306">
        <f t="shared" ca="1" si="346"/>
        <v>0.70998510062640108</v>
      </c>
      <c r="AH755" s="304">
        <f t="shared" ca="1" si="347"/>
        <v>-9.0815212492617334</v>
      </c>
    </row>
    <row r="756" spans="1:34" x14ac:dyDescent="0.2">
      <c r="A756" s="347">
        <f t="shared" ca="1" si="325"/>
        <v>1E-4</v>
      </c>
      <c r="B756" s="304">
        <f t="shared" ca="1" si="326"/>
        <v>32.536900000001395</v>
      </c>
      <c r="D756" s="306">
        <f t="shared" ca="1" si="327"/>
        <v>-0.55736835172659716</v>
      </c>
      <c r="E756" s="307">
        <f t="shared" ca="1" si="328"/>
        <v>-0.74557668726497894</v>
      </c>
      <c r="F756" s="304">
        <f t="shared" ca="1" si="329"/>
        <v>0.93088349222630651</v>
      </c>
      <c r="G756" s="306">
        <f t="shared" ca="1" si="330"/>
        <v>5.9454533869829866</v>
      </c>
      <c r="H756" s="307">
        <f t="shared" ca="1" si="331"/>
        <v>-96.691268704357114</v>
      </c>
      <c r="I756" s="304">
        <f t="shared" ca="1" si="332"/>
        <v>96.873886365908632</v>
      </c>
      <c r="J756" s="306">
        <f t="shared" ca="1" si="333"/>
        <v>588.9746359926213</v>
      </c>
      <c r="K756" s="307">
        <f t="shared" ca="1" si="334"/>
        <v>-10.952808584198463</v>
      </c>
      <c r="L756" s="304">
        <f t="shared" ca="1" si="319"/>
        <v>589.07646860023431</v>
      </c>
      <c r="M756" s="306">
        <f t="shared" ca="1" si="335"/>
        <v>-1.5093846051379223</v>
      </c>
      <c r="N756" s="304">
        <f t="shared" ca="1" si="336"/>
        <v>-86.481367536423221</v>
      </c>
      <c r="P756" s="310">
        <f t="shared" ca="1" si="337"/>
        <v>23</v>
      </c>
      <c r="Q756" s="304">
        <f t="shared" ca="1" si="338"/>
        <v>0</v>
      </c>
      <c r="R756" s="306">
        <f t="shared" ca="1" si="339"/>
        <v>0</v>
      </c>
      <c r="S756" s="307">
        <f t="shared" ca="1" si="340"/>
        <v>2.5949999999999998</v>
      </c>
      <c r="T756" s="304">
        <f t="shared" ca="1" si="320"/>
        <v>25.456949999999999</v>
      </c>
      <c r="U756" s="311">
        <f t="shared" ca="1" si="321"/>
        <v>0</v>
      </c>
      <c r="V756" s="306">
        <f t="shared" ca="1" si="322"/>
        <v>1.2263424542337773</v>
      </c>
      <c r="W756" s="304">
        <f t="shared" ca="1" si="323"/>
        <v>23.566662302031123</v>
      </c>
      <c r="Y756" s="314" t="str">
        <f t="shared" ca="1" si="341"/>
        <v/>
      </c>
      <c r="Z756" s="315" t="str">
        <f t="shared" ca="1" si="342"/>
        <v/>
      </c>
      <c r="AA756" s="316" t="str">
        <f t="shared" ca="1" si="343"/>
        <v/>
      </c>
      <c r="AC756" s="310" t="e">
        <f t="shared" ca="1" si="344"/>
        <v>#N/A</v>
      </c>
      <c r="AD756" s="323" t="e">
        <f t="shared" ca="1" si="345"/>
        <v>#N/A</v>
      </c>
      <c r="AE756" s="324" t="e">
        <f t="shared" ca="1" si="324"/>
        <v>#N/A</v>
      </c>
      <c r="AG756" s="306">
        <f t="shared" ca="1" si="346"/>
        <v>0.70996338212443355</v>
      </c>
      <c r="AH756" s="304">
        <f t="shared" ca="1" si="347"/>
        <v>-9.0815433419634441</v>
      </c>
    </row>
    <row r="757" spans="1:34" x14ac:dyDescent="0.2">
      <c r="A757" s="347">
        <f t="shared" ca="1" si="325"/>
        <v>1E-4</v>
      </c>
      <c r="B757" s="304">
        <f t="shared" ca="1" si="326"/>
        <v>32.537000000001399</v>
      </c>
      <c r="D757" s="306">
        <f t="shared" ca="1" si="327"/>
        <v>-0.55736407401447763</v>
      </c>
      <c r="E757" s="307">
        <f t="shared" ca="1" si="328"/>
        <v>-0.74555429016043639</v>
      </c>
      <c r="F757" s="304">
        <f t="shared" ca="1" si="329"/>
        <v>0.93086299237785164</v>
      </c>
      <c r="G757" s="306">
        <f t="shared" ca="1" si="330"/>
        <v>5.9453976505755852</v>
      </c>
      <c r="H757" s="307">
        <f t="shared" ca="1" si="331"/>
        <v>-96.691343259786123</v>
      </c>
      <c r="I757" s="304">
        <f t="shared" ca="1" si="332"/>
        <v>96.873957360093726</v>
      </c>
      <c r="J757" s="306">
        <f t="shared" ca="1" si="333"/>
        <v>588.9746359926213</v>
      </c>
      <c r="K757" s="307">
        <f t="shared" ca="1" si="334"/>
        <v>-10.96247771479667</v>
      </c>
      <c r="L757" s="304">
        <f t="shared" ca="1" si="319"/>
        <v>589.07664845950922</v>
      </c>
      <c r="M757" s="306">
        <f t="shared" ca="1" si="335"/>
        <v>-1.5093852266366181</v>
      </c>
      <c r="N757" s="304">
        <f t="shared" ca="1" si="336"/>
        <v>-86.481403145675458</v>
      </c>
      <c r="P757" s="310">
        <f t="shared" ca="1" si="337"/>
        <v>23</v>
      </c>
      <c r="Q757" s="304">
        <f t="shared" ca="1" si="338"/>
        <v>0</v>
      </c>
      <c r="R757" s="306">
        <f t="shared" ca="1" si="339"/>
        <v>0</v>
      </c>
      <c r="S757" s="307">
        <f t="shared" ca="1" si="340"/>
        <v>2.5949999999999998</v>
      </c>
      <c r="T757" s="304">
        <f t="shared" ca="1" si="320"/>
        <v>25.456949999999999</v>
      </c>
      <c r="U757" s="311">
        <f t="shared" ca="1" si="321"/>
        <v>0</v>
      </c>
      <c r="V757" s="306">
        <f t="shared" ca="1" si="322"/>
        <v>1.2263436400012413</v>
      </c>
      <c r="W757" s="304">
        <f t="shared" ca="1" si="323"/>
        <v>23.566719630742142</v>
      </c>
      <c r="Y757" s="314" t="str">
        <f t="shared" ca="1" si="341"/>
        <v/>
      </c>
      <c r="Z757" s="315" t="str">
        <f t="shared" ca="1" si="342"/>
        <v/>
      </c>
      <c r="AA757" s="316" t="str">
        <f t="shared" ca="1" si="343"/>
        <v/>
      </c>
      <c r="AC757" s="310" t="e">
        <f t="shared" ca="1" si="344"/>
        <v>#N/A</v>
      </c>
      <c r="AD757" s="323" t="e">
        <f t="shared" ca="1" si="345"/>
        <v>#N/A</v>
      </c>
      <c r="AE757" s="324" t="e">
        <f t="shared" ca="1" si="324"/>
        <v>#N/A</v>
      </c>
      <c r="AG757" s="306">
        <f t="shared" ca="1" si="346"/>
        <v>0.70994166397106362</v>
      </c>
      <c r="AH757" s="304">
        <f t="shared" ca="1" si="347"/>
        <v>-9.0815654343087182</v>
      </c>
    </row>
    <row r="758" spans="1:34" x14ac:dyDescent="0.2">
      <c r="A758" s="347">
        <f t="shared" ca="1" si="325"/>
        <v>1E-4</v>
      </c>
      <c r="B758" s="304">
        <f t="shared" ca="1" si="326"/>
        <v>32.537100000001402</v>
      </c>
      <c r="D758" s="306">
        <f t="shared" ca="1" si="327"/>
        <v>-0.55735979631392751</v>
      </c>
      <c r="E758" s="307">
        <f t="shared" ca="1" si="328"/>
        <v>-0.74553189341723503</v>
      </c>
      <c r="F758" s="304">
        <f t="shared" ca="1" si="329"/>
        <v>0.93084249293282173</v>
      </c>
      <c r="G758" s="306">
        <f t="shared" ca="1" si="330"/>
        <v>5.9453419145959536</v>
      </c>
      <c r="H758" s="307">
        <f t="shared" ca="1" si="331"/>
        <v>-96.691417812975459</v>
      </c>
      <c r="I758" s="304">
        <f t="shared" ca="1" si="332"/>
        <v>96.874028352107047</v>
      </c>
      <c r="J758" s="306">
        <f t="shared" ca="1" si="333"/>
        <v>588.9746359926213</v>
      </c>
      <c r="K758" s="307">
        <f t="shared" ca="1" si="334"/>
        <v>-10.972146852850308</v>
      </c>
      <c r="L758" s="304">
        <f t="shared" ca="1" si="319"/>
        <v>589.07682847757746</v>
      </c>
      <c r="M758" s="306">
        <f t="shared" ca="1" si="335"/>
        <v>-1.5093858481285767</v>
      </c>
      <c r="N758" s="304">
        <f t="shared" ca="1" si="336"/>
        <v>-86.481438754541685</v>
      </c>
      <c r="P758" s="310">
        <f t="shared" ca="1" si="337"/>
        <v>23</v>
      </c>
      <c r="Q758" s="304">
        <f t="shared" ca="1" si="338"/>
        <v>0</v>
      </c>
      <c r="R758" s="306">
        <f t="shared" ca="1" si="339"/>
        <v>0</v>
      </c>
      <c r="S758" s="307">
        <f t="shared" ca="1" si="340"/>
        <v>2.5949999999999998</v>
      </c>
      <c r="T758" s="304">
        <f t="shared" ca="1" si="320"/>
        <v>25.456949999999999</v>
      </c>
      <c r="U758" s="311">
        <f t="shared" ca="1" si="321"/>
        <v>0</v>
      </c>
      <c r="V758" s="306">
        <f t="shared" ca="1" si="322"/>
        <v>1.2263448257707668</v>
      </c>
      <c r="W758" s="304">
        <f t="shared" ca="1" si="323"/>
        <v>23.566776958528223</v>
      </c>
      <c r="Y758" s="314" t="str">
        <f t="shared" ca="1" si="341"/>
        <v/>
      </c>
      <c r="Z758" s="315" t="str">
        <f t="shared" ca="1" si="342"/>
        <v/>
      </c>
      <c r="AA758" s="316" t="str">
        <f t="shared" ca="1" si="343"/>
        <v/>
      </c>
      <c r="AC758" s="310" t="e">
        <f t="shared" ca="1" si="344"/>
        <v>#N/A</v>
      </c>
      <c r="AD758" s="323" t="e">
        <f t="shared" ca="1" si="345"/>
        <v>#N/A</v>
      </c>
      <c r="AE758" s="324" t="e">
        <f t="shared" ca="1" si="324"/>
        <v>#N/A</v>
      </c>
      <c r="AG758" s="306">
        <f t="shared" ca="1" si="346"/>
        <v>0.70991994616629839</v>
      </c>
      <c r="AH758" s="304">
        <f t="shared" ca="1" si="347"/>
        <v>-9.0815875262975503</v>
      </c>
    </row>
    <row r="759" spans="1:34" x14ac:dyDescent="0.2">
      <c r="A759" s="347">
        <f t="shared" ca="1" si="325"/>
        <v>1E-4</v>
      </c>
      <c r="B759" s="304">
        <f t="shared" ca="1" si="326"/>
        <v>32.537200000001405</v>
      </c>
      <c r="D759" s="306">
        <f t="shared" ca="1" si="327"/>
        <v>-0.55735551862494892</v>
      </c>
      <c r="E759" s="307">
        <f t="shared" ca="1" si="328"/>
        <v>-0.74550949703536418</v>
      </c>
      <c r="F759" s="304">
        <f t="shared" ca="1" si="329"/>
        <v>0.93082199389120979</v>
      </c>
      <c r="G759" s="306">
        <f t="shared" ca="1" si="330"/>
        <v>5.945286179044091</v>
      </c>
      <c r="H759" s="307">
        <f t="shared" ca="1" si="331"/>
        <v>-96.691492363925164</v>
      </c>
      <c r="I759" s="304">
        <f t="shared" ca="1" si="332"/>
        <v>96.874099341948622</v>
      </c>
      <c r="J759" s="306">
        <f t="shared" ca="1" si="333"/>
        <v>588.9746359926213</v>
      </c>
      <c r="K759" s="307">
        <f t="shared" ca="1" si="334"/>
        <v>-10.981815998359153</v>
      </c>
      <c r="L759" s="304">
        <f t="shared" ca="1" si="319"/>
        <v>589.07700865443951</v>
      </c>
      <c r="M759" s="306">
        <f t="shared" ca="1" si="335"/>
        <v>-1.509386469613798</v>
      </c>
      <c r="N759" s="304">
        <f t="shared" ca="1" si="336"/>
        <v>-86.481474363021903</v>
      </c>
      <c r="P759" s="310">
        <f t="shared" ca="1" si="337"/>
        <v>23</v>
      </c>
      <c r="Q759" s="304">
        <f t="shared" ca="1" si="338"/>
        <v>0</v>
      </c>
      <c r="R759" s="306">
        <f t="shared" ca="1" si="339"/>
        <v>0</v>
      </c>
      <c r="S759" s="307">
        <f t="shared" ca="1" si="340"/>
        <v>2.5949999999999998</v>
      </c>
      <c r="T759" s="304">
        <f t="shared" ca="1" si="320"/>
        <v>25.456949999999999</v>
      </c>
      <c r="U759" s="311">
        <f t="shared" ca="1" si="321"/>
        <v>0</v>
      </c>
      <c r="V759" s="306">
        <f t="shared" ca="1" si="322"/>
        <v>1.2263460115423535</v>
      </c>
      <c r="W759" s="304">
        <f t="shared" ca="1" si="323"/>
        <v>23.566834285389376</v>
      </c>
      <c r="Y759" s="314" t="str">
        <f t="shared" ca="1" si="341"/>
        <v/>
      </c>
      <c r="Z759" s="315" t="str">
        <f t="shared" ca="1" si="342"/>
        <v/>
      </c>
      <c r="AA759" s="316" t="str">
        <f t="shared" ca="1" si="343"/>
        <v/>
      </c>
      <c r="AC759" s="310" t="e">
        <f t="shared" ca="1" si="344"/>
        <v>#N/A</v>
      </c>
      <c r="AD759" s="323" t="e">
        <f t="shared" ca="1" si="345"/>
        <v>#N/A</v>
      </c>
      <c r="AE759" s="324" t="e">
        <f t="shared" ca="1" si="324"/>
        <v>#N/A</v>
      </c>
      <c r="AG759" s="306">
        <f t="shared" ca="1" si="346"/>
        <v>0.70989822871012365</v>
      </c>
      <c r="AH759" s="304">
        <f t="shared" ca="1" si="347"/>
        <v>-9.081609617929951</v>
      </c>
    </row>
    <row r="760" spans="1:34" x14ac:dyDescent="0.2">
      <c r="A760" s="347">
        <f t="shared" ca="1" si="325"/>
        <v>1E-4</v>
      </c>
      <c r="B760" s="304">
        <f t="shared" ca="1" si="326"/>
        <v>32.537300000001409</v>
      </c>
      <c r="D760" s="306">
        <f t="shared" ca="1" si="327"/>
        <v>-0.55735124094754285</v>
      </c>
      <c r="E760" s="307">
        <f t="shared" ca="1" si="328"/>
        <v>-0.74548710101481674</v>
      </c>
      <c r="F760" s="304">
        <f t="shared" ca="1" si="329"/>
        <v>0.93080149525301126</v>
      </c>
      <c r="G760" s="306">
        <f t="shared" ca="1" si="330"/>
        <v>5.9452304439199963</v>
      </c>
      <c r="H760" s="307">
        <f t="shared" ca="1" si="331"/>
        <v>-96.691566912635267</v>
      </c>
      <c r="I760" s="304">
        <f t="shared" ca="1" si="332"/>
        <v>96.874170329618494</v>
      </c>
      <c r="J760" s="306">
        <f t="shared" ca="1" si="333"/>
        <v>588.9746359926213</v>
      </c>
      <c r="K760" s="307">
        <f t="shared" ca="1" si="334"/>
        <v>-10.991485151322982</v>
      </c>
      <c r="L760" s="304">
        <f t="shared" ca="1" si="319"/>
        <v>589.07718899009535</v>
      </c>
      <c r="M760" s="306">
        <f t="shared" ca="1" si="335"/>
        <v>-1.5093870910922824</v>
      </c>
      <c r="N760" s="304">
        <f t="shared" ca="1" si="336"/>
        <v>-86.481509971116111</v>
      </c>
      <c r="P760" s="310">
        <f t="shared" ca="1" si="337"/>
        <v>23</v>
      </c>
      <c r="Q760" s="304">
        <f t="shared" ca="1" si="338"/>
        <v>0</v>
      </c>
      <c r="R760" s="306">
        <f t="shared" ca="1" si="339"/>
        <v>0</v>
      </c>
      <c r="S760" s="307">
        <f t="shared" ca="1" si="340"/>
        <v>2.5949999999999998</v>
      </c>
      <c r="T760" s="304">
        <f t="shared" ca="1" si="320"/>
        <v>25.456949999999999</v>
      </c>
      <c r="U760" s="311">
        <f t="shared" ca="1" si="321"/>
        <v>0</v>
      </c>
      <c r="V760" s="306">
        <f t="shared" ca="1" si="322"/>
        <v>1.2263471973160021</v>
      </c>
      <c r="W760" s="304">
        <f t="shared" ca="1" si="323"/>
        <v>23.566891611325619</v>
      </c>
      <c r="Y760" s="314" t="str">
        <f t="shared" ca="1" si="341"/>
        <v/>
      </c>
      <c r="Z760" s="315" t="str">
        <f t="shared" ca="1" si="342"/>
        <v/>
      </c>
      <c r="AA760" s="316" t="str">
        <f t="shared" ca="1" si="343"/>
        <v/>
      </c>
      <c r="AC760" s="310" t="e">
        <f t="shared" ca="1" si="344"/>
        <v>#N/A</v>
      </c>
      <c r="AD760" s="323" t="e">
        <f t="shared" ca="1" si="345"/>
        <v>#N/A</v>
      </c>
      <c r="AE760" s="324" t="e">
        <f t="shared" ca="1" si="324"/>
        <v>#N/A</v>
      </c>
      <c r="AG760" s="306">
        <f t="shared" ca="1" si="346"/>
        <v>0.7098765116025394</v>
      </c>
      <c r="AH760" s="304">
        <f t="shared" ca="1" si="347"/>
        <v>-9.0816317092059258</v>
      </c>
    </row>
    <row r="761" spans="1:34" x14ac:dyDescent="0.2">
      <c r="A761" s="347">
        <f t="shared" ca="1" si="325"/>
        <v>1E-4</v>
      </c>
      <c r="B761" s="304">
        <f t="shared" ca="1" si="326"/>
        <v>32.537400000001412</v>
      </c>
      <c r="D761" s="306">
        <f t="shared" ca="1" si="327"/>
        <v>-0.55734696328170719</v>
      </c>
      <c r="E761" s="307">
        <f t="shared" ca="1" si="328"/>
        <v>-0.74546470535558917</v>
      </c>
      <c r="F761" s="304">
        <f t="shared" ca="1" si="329"/>
        <v>0.93078099701822237</v>
      </c>
      <c r="G761" s="306">
        <f t="shared" ca="1" si="330"/>
        <v>5.945174709223668</v>
      </c>
      <c r="H761" s="307">
        <f t="shared" ca="1" si="331"/>
        <v>-96.691641459105796</v>
      </c>
      <c r="I761" s="304">
        <f t="shared" ca="1" si="332"/>
        <v>96.874241315116677</v>
      </c>
      <c r="J761" s="306">
        <f t="shared" ca="1" si="333"/>
        <v>588.9746359926213</v>
      </c>
      <c r="K761" s="307">
        <f t="shared" ca="1" si="334"/>
        <v>-11.001154311741569</v>
      </c>
      <c r="L761" s="304">
        <f t="shared" ca="1" si="319"/>
        <v>589.07736948454533</v>
      </c>
      <c r="M761" s="306">
        <f t="shared" ca="1" si="335"/>
        <v>-1.5093877125640298</v>
      </c>
      <c r="N761" s="304">
        <f t="shared" ca="1" si="336"/>
        <v>-86.481545578824324</v>
      </c>
      <c r="P761" s="310">
        <f t="shared" ca="1" si="337"/>
        <v>23</v>
      </c>
      <c r="Q761" s="304">
        <f t="shared" ca="1" si="338"/>
        <v>0</v>
      </c>
      <c r="R761" s="306">
        <f t="shared" ca="1" si="339"/>
        <v>0</v>
      </c>
      <c r="S761" s="307">
        <f t="shared" ca="1" si="340"/>
        <v>2.5949999999999998</v>
      </c>
      <c r="T761" s="304">
        <f t="shared" ca="1" si="320"/>
        <v>25.456949999999999</v>
      </c>
      <c r="U761" s="311">
        <f t="shared" ca="1" si="321"/>
        <v>0</v>
      </c>
      <c r="V761" s="306">
        <f t="shared" ca="1" si="322"/>
        <v>1.2263483830917115</v>
      </c>
      <c r="W761" s="304">
        <f t="shared" ca="1" si="323"/>
        <v>23.566948936336939</v>
      </c>
      <c r="Y761" s="314" t="str">
        <f t="shared" ca="1" si="341"/>
        <v/>
      </c>
      <c r="Z761" s="315" t="str">
        <f t="shared" ca="1" si="342"/>
        <v/>
      </c>
      <c r="AA761" s="316" t="str">
        <f t="shared" ca="1" si="343"/>
        <v/>
      </c>
      <c r="AC761" s="310" t="e">
        <f t="shared" ca="1" si="344"/>
        <v>#N/A</v>
      </c>
      <c r="AD761" s="323" t="e">
        <f t="shared" ca="1" si="345"/>
        <v>#N/A</v>
      </c>
      <c r="AE761" s="324" t="e">
        <f t="shared" ca="1" si="324"/>
        <v>#N/A</v>
      </c>
      <c r="AG761" s="306">
        <f t="shared" ca="1" si="346"/>
        <v>0.70985479484353853</v>
      </c>
      <c r="AH761" s="304">
        <f t="shared" ca="1" si="347"/>
        <v>-9.0816538001254798</v>
      </c>
    </row>
    <row r="762" spans="1:34" x14ac:dyDescent="0.2">
      <c r="A762" s="347">
        <f t="shared" ca="1" si="325"/>
        <v>1E-4</v>
      </c>
      <c r="B762" s="304">
        <f t="shared" ca="1" si="326"/>
        <v>32.537500000001415</v>
      </c>
      <c r="D762" s="306">
        <f t="shared" ca="1" si="327"/>
        <v>-0.55734268562744449</v>
      </c>
      <c r="E762" s="307">
        <f t="shared" ca="1" si="328"/>
        <v>-0.7454423100576868</v>
      </c>
      <c r="F762" s="304">
        <f t="shared" ca="1" si="329"/>
        <v>0.93076049918684933</v>
      </c>
      <c r="G762" s="306">
        <f t="shared" ca="1" si="330"/>
        <v>5.945118974955105</v>
      </c>
      <c r="H762" s="307">
        <f t="shared" ca="1" si="331"/>
        <v>-96.691716003336808</v>
      </c>
      <c r="I762" s="304">
        <f t="shared" ca="1" si="332"/>
        <v>96.874312298443229</v>
      </c>
      <c r="J762" s="306">
        <f t="shared" ca="1" si="333"/>
        <v>588.9746359926213</v>
      </c>
      <c r="K762" s="307">
        <f t="shared" ca="1" si="334"/>
        <v>-11.010823479614691</v>
      </c>
      <c r="L762" s="304">
        <f t="shared" ca="1" si="319"/>
        <v>589.07755013778956</v>
      </c>
      <c r="M762" s="306">
        <f t="shared" ca="1" si="335"/>
        <v>-1.5093883340290404</v>
      </c>
      <c r="N762" s="304">
        <f t="shared" ca="1" si="336"/>
        <v>-86.481581186146556</v>
      </c>
      <c r="P762" s="310">
        <f t="shared" ca="1" si="337"/>
        <v>23</v>
      </c>
      <c r="Q762" s="304">
        <f t="shared" ca="1" si="338"/>
        <v>0</v>
      </c>
      <c r="R762" s="306">
        <f t="shared" ca="1" si="339"/>
        <v>0</v>
      </c>
      <c r="S762" s="307">
        <f t="shared" ca="1" si="340"/>
        <v>2.5949999999999998</v>
      </c>
      <c r="T762" s="304">
        <f t="shared" ca="1" si="320"/>
        <v>25.456949999999999</v>
      </c>
      <c r="U762" s="311">
        <f t="shared" ca="1" si="321"/>
        <v>0</v>
      </c>
      <c r="V762" s="306">
        <f t="shared" ca="1" si="322"/>
        <v>1.2263495688694825</v>
      </c>
      <c r="W762" s="304">
        <f t="shared" ca="1" si="323"/>
        <v>23.567006260423376</v>
      </c>
      <c r="Y762" s="314" t="str">
        <f t="shared" ca="1" si="341"/>
        <v/>
      </c>
      <c r="Z762" s="315" t="str">
        <f t="shared" ca="1" si="342"/>
        <v/>
      </c>
      <c r="AA762" s="316" t="str">
        <f t="shared" ca="1" si="343"/>
        <v/>
      </c>
      <c r="AC762" s="310" t="e">
        <f t="shared" ca="1" si="344"/>
        <v>#N/A</v>
      </c>
      <c r="AD762" s="323" t="e">
        <f t="shared" ca="1" si="345"/>
        <v>#N/A</v>
      </c>
      <c r="AE762" s="324" t="e">
        <f t="shared" ca="1" si="324"/>
        <v>#N/A</v>
      </c>
      <c r="AG762" s="306">
        <f t="shared" ca="1" si="346"/>
        <v>0.70983307843312105</v>
      </c>
      <c r="AH762" s="304">
        <f t="shared" ca="1" si="347"/>
        <v>-9.0816758906886097</v>
      </c>
    </row>
    <row r="763" spans="1:34" x14ac:dyDescent="0.2">
      <c r="A763" s="347">
        <f t="shared" ca="1" si="325"/>
        <v>1E-4</v>
      </c>
      <c r="B763" s="304">
        <f t="shared" ca="1" si="326"/>
        <v>32.537600000001419</v>
      </c>
      <c r="D763" s="306">
        <f t="shared" ca="1" si="327"/>
        <v>-0.55733840798475487</v>
      </c>
      <c r="E763" s="307">
        <f t="shared" ca="1" si="328"/>
        <v>-0.74541991512109185</v>
      </c>
      <c r="F763" s="304">
        <f t="shared" ca="1" si="329"/>
        <v>0.93074000175887828</v>
      </c>
      <c r="G763" s="306">
        <f t="shared" ca="1" si="330"/>
        <v>5.9450632411143065</v>
      </c>
      <c r="H763" s="307">
        <f t="shared" ca="1" si="331"/>
        <v>-96.691790545328317</v>
      </c>
      <c r="I763" s="304">
        <f t="shared" ca="1" si="332"/>
        <v>96.874383279598177</v>
      </c>
      <c r="J763" s="306">
        <f t="shared" ca="1" si="333"/>
        <v>588.9746359926213</v>
      </c>
      <c r="K763" s="307">
        <f t="shared" ca="1" si="334"/>
        <v>-11.020492654942124</v>
      </c>
      <c r="L763" s="304">
        <f t="shared" ca="1" si="319"/>
        <v>589.07773094982838</v>
      </c>
      <c r="M763" s="306">
        <f t="shared" ca="1" si="335"/>
        <v>-1.5093889554873141</v>
      </c>
      <c r="N763" s="304">
        <f t="shared" ca="1" si="336"/>
        <v>-86.481616793082779</v>
      </c>
      <c r="P763" s="310">
        <f t="shared" ca="1" si="337"/>
        <v>23</v>
      </c>
      <c r="Q763" s="304">
        <f t="shared" ca="1" si="338"/>
        <v>0</v>
      </c>
      <c r="R763" s="306">
        <f t="shared" ca="1" si="339"/>
        <v>0</v>
      </c>
      <c r="S763" s="307">
        <f t="shared" ca="1" si="340"/>
        <v>2.5949999999999998</v>
      </c>
      <c r="T763" s="304">
        <f t="shared" ca="1" si="320"/>
        <v>25.456949999999999</v>
      </c>
      <c r="U763" s="311">
        <f t="shared" ca="1" si="321"/>
        <v>0</v>
      </c>
      <c r="V763" s="306">
        <f t="shared" ca="1" si="322"/>
        <v>1.2263507546493151</v>
      </c>
      <c r="W763" s="304">
        <f t="shared" ca="1" si="323"/>
        <v>23.567063583584922</v>
      </c>
      <c r="Y763" s="314" t="str">
        <f t="shared" ca="1" si="341"/>
        <v/>
      </c>
      <c r="Z763" s="315" t="str">
        <f t="shared" ca="1" si="342"/>
        <v/>
      </c>
      <c r="AA763" s="316" t="str">
        <f t="shared" ca="1" si="343"/>
        <v/>
      </c>
      <c r="AC763" s="310" t="e">
        <f t="shared" ca="1" si="344"/>
        <v>#N/A</v>
      </c>
      <c r="AD763" s="323" t="e">
        <f t="shared" ca="1" si="345"/>
        <v>#N/A</v>
      </c>
      <c r="AE763" s="324" t="e">
        <f t="shared" ca="1" si="324"/>
        <v>#N/A</v>
      </c>
      <c r="AG763" s="306">
        <f t="shared" ca="1" si="346"/>
        <v>0.70981136237127807</v>
      </c>
      <c r="AH763" s="304">
        <f t="shared" ca="1" si="347"/>
        <v>-9.0816979808953295</v>
      </c>
    </row>
    <row r="764" spans="1:34" x14ac:dyDescent="0.2">
      <c r="A764" s="347">
        <f t="shared" ca="1" si="325"/>
        <v>1E-4</v>
      </c>
      <c r="B764" s="304">
        <f t="shared" ca="1" si="326"/>
        <v>32.537700000001422</v>
      </c>
      <c r="D764" s="306">
        <f t="shared" ca="1" si="327"/>
        <v>-0.55733413035363921</v>
      </c>
      <c r="E764" s="307">
        <f t="shared" ca="1" si="328"/>
        <v>-0.74539752054580966</v>
      </c>
      <c r="F764" s="304">
        <f t="shared" ca="1" si="329"/>
        <v>0.93071950473431475</v>
      </c>
      <c r="G764" s="306">
        <f t="shared" ca="1" si="330"/>
        <v>5.9450075077012707</v>
      </c>
      <c r="H764" s="307">
        <f t="shared" ca="1" si="331"/>
        <v>-96.691865085080366</v>
      </c>
      <c r="I764" s="304">
        <f t="shared" ca="1" si="332"/>
        <v>96.874454258581537</v>
      </c>
      <c r="J764" s="306">
        <f t="shared" ca="1" si="333"/>
        <v>588.9746359926213</v>
      </c>
      <c r="K764" s="307">
        <f t="shared" ca="1" si="334"/>
        <v>-11.030161837723645</v>
      </c>
      <c r="L764" s="304">
        <f t="shared" ca="1" si="319"/>
        <v>589.0779119206619</v>
      </c>
      <c r="M764" s="306">
        <f t="shared" ca="1" si="335"/>
        <v>-1.5093895769388512</v>
      </c>
      <c r="N764" s="304">
        <f t="shared" ca="1" si="336"/>
        <v>-86.48165239963302</v>
      </c>
      <c r="P764" s="310">
        <f t="shared" ca="1" si="337"/>
        <v>23</v>
      </c>
      <c r="Q764" s="304">
        <f t="shared" ca="1" si="338"/>
        <v>0</v>
      </c>
      <c r="R764" s="306">
        <f t="shared" ca="1" si="339"/>
        <v>0</v>
      </c>
      <c r="S764" s="307">
        <f t="shared" ca="1" si="340"/>
        <v>2.5949999999999998</v>
      </c>
      <c r="T764" s="304">
        <f t="shared" ca="1" si="320"/>
        <v>25.456949999999999</v>
      </c>
      <c r="U764" s="311">
        <f t="shared" ca="1" si="321"/>
        <v>0</v>
      </c>
      <c r="V764" s="306">
        <f t="shared" ca="1" si="322"/>
        <v>1.2263519404312087</v>
      </c>
      <c r="W764" s="304">
        <f t="shared" ca="1" si="323"/>
        <v>23.567120905821586</v>
      </c>
      <c r="Y764" s="314" t="str">
        <f t="shared" ca="1" si="341"/>
        <v/>
      </c>
      <c r="Z764" s="315" t="str">
        <f t="shared" ca="1" si="342"/>
        <v/>
      </c>
      <c r="AA764" s="316" t="str">
        <f t="shared" ca="1" si="343"/>
        <v/>
      </c>
      <c r="AC764" s="310" t="e">
        <f t="shared" ca="1" si="344"/>
        <v>#N/A</v>
      </c>
      <c r="AD764" s="323" t="e">
        <f t="shared" ca="1" si="345"/>
        <v>#N/A</v>
      </c>
      <c r="AE764" s="324" t="e">
        <f t="shared" ca="1" si="324"/>
        <v>#N/A</v>
      </c>
      <c r="AG764" s="306">
        <f t="shared" ca="1" si="346"/>
        <v>0.70978964665801136</v>
      </c>
      <c r="AH764" s="304">
        <f t="shared" ca="1" si="347"/>
        <v>-9.0817200707456358</v>
      </c>
    </row>
    <row r="765" spans="1:34" x14ac:dyDescent="0.2">
      <c r="A765" s="347">
        <f t="shared" ca="1" si="325"/>
        <v>1E-4</v>
      </c>
      <c r="B765" s="304">
        <f t="shared" ca="1" si="326"/>
        <v>32.537800000001425</v>
      </c>
      <c r="D765" s="306">
        <f t="shared" ca="1" si="327"/>
        <v>-0.55732985273409696</v>
      </c>
      <c r="E765" s="307">
        <f t="shared" ca="1" si="328"/>
        <v>-0.74537512633183489</v>
      </c>
      <c r="F765" s="304">
        <f t="shared" ca="1" si="329"/>
        <v>0.9306990081131542</v>
      </c>
      <c r="G765" s="306">
        <f t="shared" ca="1" si="330"/>
        <v>5.9449517747159977</v>
      </c>
      <c r="H765" s="307">
        <f t="shared" ca="1" si="331"/>
        <v>-96.691939622592997</v>
      </c>
      <c r="I765" s="304">
        <f t="shared" ca="1" si="332"/>
        <v>96.874525235393378</v>
      </c>
      <c r="J765" s="306">
        <f t="shared" ca="1" si="333"/>
        <v>588.9746359926213</v>
      </c>
      <c r="K765" s="307">
        <f t="shared" ca="1" si="334"/>
        <v>-11.039831027959028</v>
      </c>
      <c r="L765" s="304">
        <f t="shared" ca="1" si="319"/>
        <v>589.07809305029036</v>
      </c>
      <c r="M765" s="306">
        <f t="shared" ca="1" si="335"/>
        <v>-1.5093901983836517</v>
      </c>
      <c r="N765" s="304">
        <f t="shared" ca="1" si="336"/>
        <v>-86.481688005797295</v>
      </c>
      <c r="P765" s="310">
        <f t="shared" ca="1" si="337"/>
        <v>23</v>
      </c>
      <c r="Q765" s="304">
        <f t="shared" ca="1" si="338"/>
        <v>0</v>
      </c>
      <c r="R765" s="306">
        <f t="shared" ca="1" si="339"/>
        <v>0</v>
      </c>
      <c r="S765" s="307">
        <f t="shared" ca="1" si="340"/>
        <v>2.5949999999999998</v>
      </c>
      <c r="T765" s="304">
        <f t="shared" ca="1" si="320"/>
        <v>25.456949999999999</v>
      </c>
      <c r="U765" s="311">
        <f t="shared" ca="1" si="321"/>
        <v>0</v>
      </c>
      <c r="V765" s="306">
        <f t="shared" ca="1" si="322"/>
        <v>1.2263531262151639</v>
      </c>
      <c r="W765" s="304">
        <f t="shared" ca="1" si="323"/>
        <v>23.567178227133411</v>
      </c>
      <c r="Y765" s="314" t="str">
        <f t="shared" ca="1" si="341"/>
        <v/>
      </c>
      <c r="Z765" s="315" t="str">
        <f t="shared" ca="1" si="342"/>
        <v/>
      </c>
      <c r="AA765" s="316" t="str">
        <f t="shared" ca="1" si="343"/>
        <v/>
      </c>
      <c r="AC765" s="310" t="e">
        <f t="shared" ca="1" si="344"/>
        <v>#N/A</v>
      </c>
      <c r="AD765" s="323" t="e">
        <f t="shared" ca="1" si="345"/>
        <v>#N/A</v>
      </c>
      <c r="AE765" s="324" t="e">
        <f t="shared" ca="1" si="324"/>
        <v>#N/A</v>
      </c>
      <c r="AG765" s="306">
        <f t="shared" ca="1" si="346"/>
        <v>0.70976793129331384</v>
      </c>
      <c r="AH765" s="304">
        <f t="shared" ca="1" si="347"/>
        <v>-9.0817421602395338</v>
      </c>
    </row>
    <row r="766" spans="1:34" x14ac:dyDescent="0.2">
      <c r="A766" s="347">
        <f t="shared" ca="1" si="325"/>
        <v>1E-4</v>
      </c>
      <c r="B766" s="304">
        <f t="shared" ca="1" si="326"/>
        <v>32.537900000001429</v>
      </c>
      <c r="D766" s="306">
        <f t="shared" ca="1" si="327"/>
        <v>-0.55732557512613001</v>
      </c>
      <c r="E766" s="307">
        <f t="shared" ca="1" si="328"/>
        <v>-0.74535273247915157</v>
      </c>
      <c r="F766" s="304">
        <f t="shared" ca="1" si="329"/>
        <v>0.93067851189538564</v>
      </c>
      <c r="G766" s="306">
        <f t="shared" ca="1" si="330"/>
        <v>5.9448960421584847</v>
      </c>
      <c r="H766" s="307">
        <f t="shared" ca="1" si="331"/>
        <v>-96.69201415786624</v>
      </c>
      <c r="I766" s="304">
        <f t="shared" ca="1" si="332"/>
        <v>96.874596210033701</v>
      </c>
      <c r="J766" s="306">
        <f t="shared" ca="1" si="333"/>
        <v>588.9746359926213</v>
      </c>
      <c r="K766" s="307">
        <f t="shared" ca="1" si="334"/>
        <v>-11.049500225648051</v>
      </c>
      <c r="L766" s="304">
        <f t="shared" ca="1" si="319"/>
        <v>589.0782743387141</v>
      </c>
      <c r="M766" s="306">
        <f t="shared" ca="1" si="335"/>
        <v>-1.5093908198217159</v>
      </c>
      <c r="N766" s="304">
        <f t="shared" ca="1" si="336"/>
        <v>-86.481723611575603</v>
      </c>
      <c r="P766" s="310">
        <f t="shared" ca="1" si="337"/>
        <v>23</v>
      </c>
      <c r="Q766" s="304">
        <f t="shared" ca="1" si="338"/>
        <v>0</v>
      </c>
      <c r="R766" s="306">
        <f t="shared" ca="1" si="339"/>
        <v>0</v>
      </c>
      <c r="S766" s="307">
        <f t="shared" ca="1" si="340"/>
        <v>2.5949999999999998</v>
      </c>
      <c r="T766" s="304">
        <f t="shared" ca="1" si="320"/>
        <v>25.456949999999999</v>
      </c>
      <c r="U766" s="311">
        <f t="shared" ca="1" si="321"/>
        <v>0</v>
      </c>
      <c r="V766" s="306">
        <f t="shared" ca="1" si="322"/>
        <v>1.2263543120011799</v>
      </c>
      <c r="W766" s="304">
        <f t="shared" ca="1" si="323"/>
        <v>23.567235547520358</v>
      </c>
      <c r="Y766" s="314" t="str">
        <f t="shared" ca="1" si="341"/>
        <v/>
      </c>
      <c r="Z766" s="315" t="str">
        <f t="shared" ca="1" si="342"/>
        <v/>
      </c>
      <c r="AA766" s="316" t="str">
        <f t="shared" ca="1" si="343"/>
        <v/>
      </c>
      <c r="AC766" s="310" t="e">
        <f t="shared" ca="1" si="344"/>
        <v>#N/A</v>
      </c>
      <c r="AD766" s="323" t="e">
        <f t="shared" ca="1" si="345"/>
        <v>#N/A</v>
      </c>
      <c r="AE766" s="324" t="e">
        <f t="shared" ca="1" si="324"/>
        <v>#N/A</v>
      </c>
      <c r="AG766" s="306">
        <f t="shared" ca="1" si="346"/>
        <v>0.70974621627717305</v>
      </c>
      <c r="AH766" s="304">
        <f t="shared" ca="1" si="347"/>
        <v>-9.0817642493770379</v>
      </c>
    </row>
    <row r="767" spans="1:34" x14ac:dyDescent="0.2">
      <c r="A767" s="347">
        <f t="shared" ca="1" si="325"/>
        <v>1E-4</v>
      </c>
      <c r="B767" s="304">
        <f t="shared" ca="1" si="326"/>
        <v>32.538000000001432</v>
      </c>
      <c r="D767" s="306">
        <f t="shared" ca="1" si="327"/>
        <v>-0.55732129752973691</v>
      </c>
      <c r="E767" s="307">
        <f t="shared" ca="1" si="328"/>
        <v>-0.74533033898777212</v>
      </c>
      <c r="F767" s="304">
        <f t="shared" ca="1" si="329"/>
        <v>0.93065801608101828</v>
      </c>
      <c r="G767" s="306">
        <f t="shared" ca="1" si="330"/>
        <v>5.9448403100287317</v>
      </c>
      <c r="H767" s="307">
        <f t="shared" ca="1" si="331"/>
        <v>-96.692088690900135</v>
      </c>
      <c r="I767" s="304">
        <f t="shared" ca="1" si="332"/>
        <v>96.874667182502577</v>
      </c>
      <c r="J767" s="306">
        <f t="shared" ca="1" si="333"/>
        <v>588.9746359926213</v>
      </c>
      <c r="K767" s="307">
        <f t="shared" ca="1" si="334"/>
        <v>-11.05916943079049</v>
      </c>
      <c r="L767" s="304">
        <f t="shared" ca="1" si="319"/>
        <v>589.07845578593322</v>
      </c>
      <c r="M767" s="306">
        <f t="shared" ca="1" si="335"/>
        <v>-1.5093914412530436</v>
      </c>
      <c r="N767" s="304">
        <f t="shared" ca="1" si="336"/>
        <v>-86.48175921696793</v>
      </c>
      <c r="P767" s="310">
        <f t="shared" ca="1" si="337"/>
        <v>23</v>
      </c>
      <c r="Q767" s="304">
        <f t="shared" ca="1" si="338"/>
        <v>0</v>
      </c>
      <c r="R767" s="306">
        <f t="shared" ca="1" si="339"/>
        <v>0</v>
      </c>
      <c r="S767" s="307">
        <f t="shared" ca="1" si="340"/>
        <v>2.5949999999999998</v>
      </c>
      <c r="T767" s="304">
        <f t="shared" ca="1" si="320"/>
        <v>25.456949999999999</v>
      </c>
      <c r="U767" s="311">
        <f t="shared" ca="1" si="321"/>
        <v>0</v>
      </c>
      <c r="V767" s="306">
        <f t="shared" ca="1" si="322"/>
        <v>1.2263554977892577</v>
      </c>
      <c r="W767" s="304">
        <f t="shared" ca="1" si="323"/>
        <v>23.567292866982484</v>
      </c>
      <c r="Y767" s="314" t="str">
        <f t="shared" ca="1" si="341"/>
        <v/>
      </c>
      <c r="Z767" s="315" t="str">
        <f t="shared" ca="1" si="342"/>
        <v/>
      </c>
      <c r="AA767" s="316" t="str">
        <f t="shared" ca="1" si="343"/>
        <v/>
      </c>
      <c r="AC767" s="310" t="e">
        <f t="shared" ca="1" si="344"/>
        <v>#N/A</v>
      </c>
      <c r="AD767" s="323" t="e">
        <f t="shared" ca="1" si="345"/>
        <v>#N/A</v>
      </c>
      <c r="AE767" s="324" t="e">
        <f t="shared" ca="1" si="324"/>
        <v>#N/A</v>
      </c>
      <c r="AG767" s="306">
        <f t="shared" ca="1" si="346"/>
        <v>0.70972450160960499</v>
      </c>
      <c r="AH767" s="304">
        <f t="shared" ca="1" si="347"/>
        <v>-9.0817863381581354</v>
      </c>
    </row>
    <row r="768" spans="1:34" x14ac:dyDescent="0.2">
      <c r="A768" s="347">
        <f t="shared" ca="1" si="325"/>
        <v>1E-4</v>
      </c>
      <c r="B768" s="304">
        <f t="shared" ca="1" si="326"/>
        <v>32.538100000001435</v>
      </c>
      <c r="D768" s="306">
        <f t="shared" ca="1" si="327"/>
        <v>-0.55731701994491978</v>
      </c>
      <c r="E768" s="307">
        <f t="shared" ca="1" si="328"/>
        <v>-0.74530794585768056</v>
      </c>
      <c r="F768" s="304">
        <f t="shared" ca="1" si="329"/>
        <v>0.93063752067004124</v>
      </c>
      <c r="G768" s="306">
        <f t="shared" ca="1" si="330"/>
        <v>5.944784578326737</v>
      </c>
      <c r="H768" s="307">
        <f t="shared" ca="1" si="331"/>
        <v>-96.692163221694727</v>
      </c>
      <c r="I768" s="304">
        <f t="shared" ca="1" si="332"/>
        <v>96.874738152800006</v>
      </c>
      <c r="J768" s="306">
        <f t="shared" ca="1" si="333"/>
        <v>588.9746359926213</v>
      </c>
      <c r="K768" s="307">
        <f t="shared" ca="1" si="334"/>
        <v>-11.068838643386121</v>
      </c>
      <c r="L768" s="304">
        <f t="shared" ca="1" si="319"/>
        <v>589.07863739194795</v>
      </c>
      <c r="M768" s="306">
        <f t="shared" ca="1" si="335"/>
        <v>-1.5093920626776349</v>
      </c>
      <c r="N768" s="304">
        <f t="shared" ca="1" si="336"/>
        <v>-86.481794821974304</v>
      </c>
      <c r="P768" s="310">
        <f t="shared" ca="1" si="337"/>
        <v>23</v>
      </c>
      <c r="Q768" s="304">
        <f t="shared" ca="1" si="338"/>
        <v>0</v>
      </c>
      <c r="R768" s="306">
        <f t="shared" ca="1" si="339"/>
        <v>0</v>
      </c>
      <c r="S768" s="307">
        <f t="shared" ca="1" si="340"/>
        <v>2.5949999999999998</v>
      </c>
      <c r="T768" s="304">
        <f t="shared" ca="1" si="320"/>
        <v>25.456949999999999</v>
      </c>
      <c r="U768" s="311">
        <f t="shared" ca="1" si="321"/>
        <v>0</v>
      </c>
      <c r="V768" s="306">
        <f t="shared" ca="1" si="322"/>
        <v>1.2263566835793964</v>
      </c>
      <c r="W768" s="304">
        <f t="shared" ca="1" si="323"/>
        <v>23.567350185519778</v>
      </c>
      <c r="Y768" s="314" t="str">
        <f t="shared" ca="1" si="341"/>
        <v/>
      </c>
      <c r="Z768" s="315" t="str">
        <f t="shared" ca="1" si="342"/>
        <v/>
      </c>
      <c r="AA768" s="316" t="str">
        <f t="shared" ca="1" si="343"/>
        <v/>
      </c>
      <c r="AC768" s="310" t="e">
        <f t="shared" ca="1" si="344"/>
        <v>#N/A</v>
      </c>
      <c r="AD768" s="323" t="e">
        <f t="shared" ca="1" si="345"/>
        <v>#N/A</v>
      </c>
      <c r="AE768" s="324" t="e">
        <f t="shared" ca="1" si="324"/>
        <v>#N/A</v>
      </c>
      <c r="AG768" s="306">
        <f t="shared" ca="1" si="346"/>
        <v>0.70970278729058656</v>
      </c>
      <c r="AH768" s="304">
        <f t="shared" ca="1" si="347"/>
        <v>-9.081808426582846</v>
      </c>
    </row>
    <row r="769" spans="1:34" x14ac:dyDescent="0.2">
      <c r="A769" s="347">
        <f t="shared" ca="1" si="325"/>
        <v>1E-4</v>
      </c>
      <c r="B769" s="304">
        <f t="shared" ca="1" si="326"/>
        <v>32.538200000001439</v>
      </c>
      <c r="D769" s="306">
        <f t="shared" ca="1" si="327"/>
        <v>-0.55731274237167983</v>
      </c>
      <c r="E769" s="307">
        <f t="shared" ca="1" si="328"/>
        <v>-0.7452855530888769</v>
      </c>
      <c r="F769" s="304">
        <f t="shared" ca="1" si="329"/>
        <v>0.93061702566245563</v>
      </c>
      <c r="G769" s="306">
        <f t="shared" ca="1" si="330"/>
        <v>5.9447288470524997</v>
      </c>
      <c r="H769" s="307">
        <f t="shared" ca="1" si="331"/>
        <v>-96.69223775025003</v>
      </c>
      <c r="I769" s="304">
        <f t="shared" ca="1" si="332"/>
        <v>96.874809120926031</v>
      </c>
      <c r="J769" s="306">
        <f t="shared" ca="1" si="333"/>
        <v>588.9746359926213</v>
      </c>
      <c r="K769" s="307">
        <f t="shared" ca="1" si="334"/>
        <v>-11.078507863434718</v>
      </c>
      <c r="L769" s="304">
        <f t="shared" ca="1" si="319"/>
        <v>589.07881915675841</v>
      </c>
      <c r="M769" s="306">
        <f t="shared" ca="1" si="335"/>
        <v>-1.5093926840954899</v>
      </c>
      <c r="N769" s="304">
        <f t="shared" ca="1" si="336"/>
        <v>-86.481830426594712</v>
      </c>
      <c r="P769" s="310">
        <f t="shared" ca="1" si="337"/>
        <v>23</v>
      </c>
      <c r="Q769" s="304">
        <f t="shared" ca="1" si="338"/>
        <v>0</v>
      </c>
      <c r="R769" s="306">
        <f t="shared" ca="1" si="339"/>
        <v>0</v>
      </c>
      <c r="S769" s="307">
        <f t="shared" ca="1" si="340"/>
        <v>2.5949999999999998</v>
      </c>
      <c r="T769" s="304">
        <f t="shared" ca="1" si="320"/>
        <v>25.456949999999999</v>
      </c>
      <c r="U769" s="311">
        <f t="shared" ca="1" si="321"/>
        <v>0</v>
      </c>
      <c r="V769" s="306">
        <f t="shared" ca="1" si="322"/>
        <v>1.2263578693715964</v>
      </c>
      <c r="W769" s="304">
        <f t="shared" ca="1" si="323"/>
        <v>23.567407503132252</v>
      </c>
      <c r="Y769" s="314" t="str">
        <f t="shared" ca="1" si="341"/>
        <v/>
      </c>
      <c r="Z769" s="315" t="str">
        <f t="shared" ca="1" si="342"/>
        <v/>
      </c>
      <c r="AA769" s="316" t="str">
        <f t="shared" ca="1" si="343"/>
        <v/>
      </c>
      <c r="AC769" s="310" t="e">
        <f t="shared" ca="1" si="344"/>
        <v>#N/A</v>
      </c>
      <c r="AD769" s="323" t="e">
        <f t="shared" ca="1" si="345"/>
        <v>#N/A</v>
      </c>
      <c r="AE769" s="324" t="e">
        <f t="shared" ca="1" si="324"/>
        <v>#N/A</v>
      </c>
      <c r="AG769" s="306">
        <f t="shared" ca="1" si="346"/>
        <v>0.70968107332011776</v>
      </c>
      <c r="AH769" s="304">
        <f t="shared" ca="1" si="347"/>
        <v>-9.081830514651168</v>
      </c>
    </row>
    <row r="770" spans="1:34" x14ac:dyDescent="0.2">
      <c r="A770" s="347">
        <f t="shared" ca="1" si="325"/>
        <v>1E-4</v>
      </c>
      <c r="B770" s="304">
        <f t="shared" ca="1" si="326"/>
        <v>32.538300000001442</v>
      </c>
      <c r="D770" s="306">
        <f t="shared" ca="1" si="327"/>
        <v>-0.55730846481001806</v>
      </c>
      <c r="E770" s="307">
        <f t="shared" ca="1" si="328"/>
        <v>-0.74526316068135579</v>
      </c>
      <c r="F770" s="304">
        <f t="shared" ca="1" si="329"/>
        <v>0.93059653105825801</v>
      </c>
      <c r="G770" s="306">
        <f t="shared" ca="1" si="330"/>
        <v>5.9446731162060189</v>
      </c>
      <c r="H770" s="307">
        <f t="shared" ca="1" si="331"/>
        <v>-96.692312276566099</v>
      </c>
      <c r="I770" s="304">
        <f t="shared" ca="1" si="332"/>
        <v>96.874880086880722</v>
      </c>
      <c r="J770" s="306">
        <f t="shared" ca="1" si="333"/>
        <v>588.9746359926213</v>
      </c>
      <c r="K770" s="307">
        <f t="shared" ca="1" si="334"/>
        <v>-11.088177090936059</v>
      </c>
      <c r="L770" s="304">
        <f t="shared" ca="1" si="319"/>
        <v>589.07900108036506</v>
      </c>
      <c r="M770" s="306">
        <f t="shared" ca="1" si="335"/>
        <v>-1.5093933055066089</v>
      </c>
      <c r="N770" s="304">
        <f t="shared" ca="1" si="336"/>
        <v>-86.481866030829167</v>
      </c>
      <c r="P770" s="310">
        <f t="shared" ca="1" si="337"/>
        <v>23</v>
      </c>
      <c r="Q770" s="304">
        <f t="shared" ca="1" si="338"/>
        <v>0</v>
      </c>
      <c r="R770" s="306">
        <f t="shared" ca="1" si="339"/>
        <v>0</v>
      </c>
      <c r="S770" s="307">
        <f t="shared" ca="1" si="340"/>
        <v>2.5949999999999998</v>
      </c>
      <c r="T770" s="304">
        <f t="shared" ca="1" si="320"/>
        <v>25.456949999999999</v>
      </c>
      <c r="U770" s="311">
        <f t="shared" ca="1" si="321"/>
        <v>0</v>
      </c>
      <c r="V770" s="306">
        <f t="shared" ca="1" si="322"/>
        <v>1.2263590551658574</v>
      </c>
      <c r="W770" s="304">
        <f t="shared" ca="1" si="323"/>
        <v>23.567464819819936</v>
      </c>
      <c r="Y770" s="314" t="str">
        <f t="shared" ca="1" si="341"/>
        <v/>
      </c>
      <c r="Z770" s="315" t="str">
        <f t="shared" ca="1" si="342"/>
        <v/>
      </c>
      <c r="AA770" s="316" t="str">
        <f t="shared" ca="1" si="343"/>
        <v/>
      </c>
      <c r="AC770" s="310" t="e">
        <f t="shared" ca="1" si="344"/>
        <v>#N/A</v>
      </c>
      <c r="AD770" s="323" t="e">
        <f t="shared" ca="1" si="345"/>
        <v>#N/A</v>
      </c>
      <c r="AE770" s="324" t="e">
        <f t="shared" ca="1" si="324"/>
        <v>#N/A</v>
      </c>
      <c r="AG770" s="306">
        <f t="shared" ca="1" si="346"/>
        <v>0.70965935969820038</v>
      </c>
      <c r="AH770" s="304">
        <f t="shared" ca="1" si="347"/>
        <v>-9.081852602363103</v>
      </c>
    </row>
    <row r="771" spans="1:34" x14ac:dyDescent="0.2">
      <c r="A771" s="347">
        <f t="shared" ca="1" si="325"/>
        <v>1E-4</v>
      </c>
      <c r="B771" s="304">
        <f t="shared" ca="1" si="326"/>
        <v>32.538400000001445</v>
      </c>
      <c r="D771" s="306">
        <f t="shared" ca="1" si="327"/>
        <v>-0.55730418725993247</v>
      </c>
      <c r="E771" s="307">
        <f t="shared" ca="1" si="328"/>
        <v>-0.74524076863510658</v>
      </c>
      <c r="F771" s="304">
        <f t="shared" ca="1" si="329"/>
        <v>0.93057603685743939</v>
      </c>
      <c r="G771" s="306">
        <f t="shared" ca="1" si="330"/>
        <v>5.9446173857872928</v>
      </c>
      <c r="H771" s="307">
        <f t="shared" ca="1" si="331"/>
        <v>-96.692386800642964</v>
      </c>
      <c r="I771" s="304">
        <f t="shared" ca="1" si="332"/>
        <v>96.874951050664066</v>
      </c>
      <c r="J771" s="306">
        <f t="shared" ca="1" si="333"/>
        <v>588.9746359926213</v>
      </c>
      <c r="K771" s="307">
        <f t="shared" ca="1" si="334"/>
        <v>-11.097846325889918</v>
      </c>
      <c r="L771" s="304">
        <f t="shared" ca="1" si="319"/>
        <v>589.07918316276789</v>
      </c>
      <c r="M771" s="306">
        <f t="shared" ca="1" si="335"/>
        <v>-1.5093939269109919</v>
      </c>
      <c r="N771" s="304">
        <f t="shared" ca="1" si="336"/>
        <v>-86.481901634677683</v>
      </c>
      <c r="P771" s="310">
        <f t="shared" ca="1" si="337"/>
        <v>23</v>
      </c>
      <c r="Q771" s="304">
        <f t="shared" ca="1" si="338"/>
        <v>0</v>
      </c>
      <c r="R771" s="306">
        <f t="shared" ca="1" si="339"/>
        <v>0</v>
      </c>
      <c r="S771" s="307">
        <f t="shared" ca="1" si="340"/>
        <v>2.5949999999999998</v>
      </c>
      <c r="T771" s="304">
        <f t="shared" ca="1" si="320"/>
        <v>25.456949999999999</v>
      </c>
      <c r="U771" s="311">
        <f t="shared" ca="1" si="321"/>
        <v>0</v>
      </c>
      <c r="V771" s="306">
        <f t="shared" ca="1" si="322"/>
        <v>1.2263602409621799</v>
      </c>
      <c r="W771" s="304">
        <f t="shared" ca="1" si="323"/>
        <v>23.567522135582816</v>
      </c>
      <c r="Y771" s="314" t="str">
        <f t="shared" ca="1" si="341"/>
        <v/>
      </c>
      <c r="Z771" s="315" t="str">
        <f t="shared" ca="1" si="342"/>
        <v/>
      </c>
      <c r="AA771" s="316" t="str">
        <f t="shared" ca="1" si="343"/>
        <v/>
      </c>
      <c r="AC771" s="310" t="e">
        <f t="shared" ca="1" si="344"/>
        <v>#N/A</v>
      </c>
      <c r="AD771" s="323" t="e">
        <f t="shared" ca="1" si="345"/>
        <v>#N/A</v>
      </c>
      <c r="AE771" s="324" t="e">
        <f t="shared" ca="1" si="324"/>
        <v>#N/A</v>
      </c>
      <c r="AG771" s="306">
        <f t="shared" ca="1" si="346"/>
        <v>0.70963764642482197</v>
      </c>
      <c r="AH771" s="304">
        <f t="shared" ca="1" si="347"/>
        <v>-9.0818746897186653</v>
      </c>
    </row>
    <row r="772" spans="1:34" x14ac:dyDescent="0.2">
      <c r="A772" s="347">
        <f t="shared" ca="1" si="325"/>
        <v>1E-4</v>
      </c>
      <c r="B772" s="304">
        <f t="shared" ca="1" si="326"/>
        <v>32.538500000001449</v>
      </c>
      <c r="D772" s="306">
        <f t="shared" ca="1" si="327"/>
        <v>-0.55729990972142396</v>
      </c>
      <c r="E772" s="307">
        <f t="shared" ca="1" si="328"/>
        <v>-0.7452183769501346</v>
      </c>
      <c r="F772" s="304">
        <f t="shared" ca="1" si="329"/>
        <v>0.93055554306000465</v>
      </c>
      <c r="G772" s="306">
        <f t="shared" ca="1" si="330"/>
        <v>5.9445616557963206</v>
      </c>
      <c r="H772" s="307">
        <f t="shared" ca="1" si="331"/>
        <v>-96.692461322480654</v>
      </c>
      <c r="I772" s="304">
        <f t="shared" ca="1" si="332"/>
        <v>96.875022012276119</v>
      </c>
      <c r="J772" s="306">
        <f t="shared" ca="1" si="333"/>
        <v>588.9746359926213</v>
      </c>
      <c r="K772" s="307">
        <f t="shared" ca="1" si="334"/>
        <v>-11.107515568296074</v>
      </c>
      <c r="L772" s="304">
        <f t="shared" ref="L772:L835" ca="1" si="348">SQRT(pos_x^2+pos_z^2)</f>
        <v>589.07936540396713</v>
      </c>
      <c r="M772" s="306">
        <f t="shared" ca="1" si="335"/>
        <v>-1.5093945483086388</v>
      </c>
      <c r="N772" s="304">
        <f t="shared" ca="1" si="336"/>
        <v>-86.481937238140262</v>
      </c>
      <c r="P772" s="310">
        <f t="shared" ca="1" si="337"/>
        <v>23</v>
      </c>
      <c r="Q772" s="304">
        <f t="shared" ca="1" si="338"/>
        <v>0</v>
      </c>
      <c r="R772" s="306">
        <f t="shared" ca="1" si="339"/>
        <v>0</v>
      </c>
      <c r="S772" s="307">
        <f t="shared" ca="1" si="340"/>
        <v>2.5949999999999998</v>
      </c>
      <c r="T772" s="304">
        <f t="shared" ref="T772:T835" ca="1" si="349">m*g</f>
        <v>25.456949999999999</v>
      </c>
      <c r="U772" s="311">
        <f t="shared" ref="U772:U835" ca="1" si="350">IF(pos_xz&lt;L_rampe,Poids*COS(Beta),0)</f>
        <v>0</v>
      </c>
      <c r="V772" s="306">
        <f t="shared" ref="V772:V835" ca="1" si="351">Rho_moyen*(20000-Alt_rampe-pos_z)/(20000+Alt_rampe+pos_z)</f>
        <v>1.2263614267605634</v>
      </c>
      <c r="W772" s="304">
        <f t="shared" ref="W772:W835" ca="1" si="352">1/2*Rho*Sref*Cx*vit_xz^2</f>
        <v>23.567579450420908</v>
      </c>
      <c r="Y772" s="314" t="str">
        <f t="shared" ca="1" si="341"/>
        <v/>
      </c>
      <c r="Z772" s="315" t="str">
        <f t="shared" ca="1" si="342"/>
        <v/>
      </c>
      <c r="AA772" s="316" t="str">
        <f t="shared" ca="1" si="343"/>
        <v/>
      </c>
      <c r="AC772" s="310" t="e">
        <f t="shared" ca="1" si="344"/>
        <v>#N/A</v>
      </c>
      <c r="AD772" s="323" t="e">
        <f t="shared" ca="1" si="345"/>
        <v>#N/A</v>
      </c>
      <c r="AE772" s="324" t="e">
        <f t="shared" ref="AE772:AE835" ca="1" si="353">IF(t&lt;T_para, pos_z, NA())</f>
        <v>#N/A</v>
      </c>
      <c r="AG772" s="306">
        <f t="shared" ca="1" si="346"/>
        <v>0.70961593349998253</v>
      </c>
      <c r="AH772" s="304">
        <f t="shared" ca="1" si="347"/>
        <v>-9.0818967767178496</v>
      </c>
    </row>
    <row r="773" spans="1:34" x14ac:dyDescent="0.2">
      <c r="A773" s="347">
        <f t="shared" ref="A773:A836" ca="1" si="354">IF(B772+0.01&lt;=T_ini+ROUNDUP(Temps_fin_propu,0), 0.01, IF(K772&gt;0, 0.1, 0.0001))</f>
        <v>1E-4</v>
      </c>
      <c r="B773" s="304">
        <f t="shared" ref="B773:B836" ca="1" si="355">B772+pas</f>
        <v>32.538600000001452</v>
      </c>
      <c r="D773" s="306">
        <f t="shared" ref="D773:D836" ca="1" si="356">IF(AND(L772&lt;L_rampe,Poussee&lt;Poids*SIN(M772)),0,(-W772+Poussee)/m*COS(M772)-U772/m*SIN(M772))</f>
        <v>-0.55729563219449574</v>
      </c>
      <c r="E773" s="307">
        <f t="shared" ref="E773:E836" ca="1" si="357">IF(AND(L772&lt;L_rampe,Poussee&lt;Poids*SIN(M772)),0,(-W772+Poussee)/m*SIN(M772)+U772/m*COS(M772)-Poids/m)</f>
        <v>-0.7451959856264363</v>
      </c>
      <c r="F773" s="304">
        <f t="shared" ref="F773:F836" ca="1" si="358">SQRT(acc_x^2+acc_z^2)</f>
        <v>0.93053504966595346</v>
      </c>
      <c r="G773" s="306">
        <f t="shared" ref="G773:G836" ca="1" si="359">G772+acc_x*pas</f>
        <v>5.9445059262331013</v>
      </c>
      <c r="H773" s="307">
        <f t="shared" ref="H773:H836" ca="1" si="360">H772+acc_z*pas</f>
        <v>-96.692535842079209</v>
      </c>
      <c r="I773" s="304">
        <f t="shared" ref="I773:I836" ca="1" si="361">SQRT(vit_x^2+vit_z^2)</f>
        <v>96.875092971716896</v>
      </c>
      <c r="J773" s="306">
        <f t="shared" ref="J773:J836" ca="1" si="362">J772+0.5*(vit_x+G772)*pas*(K772&gt;=0)</f>
        <v>588.9746359926213</v>
      </c>
      <c r="K773" s="307">
        <f t="shared" ref="K773:K836" ca="1" si="363">K772+0.5*(vit_z+H772)*pas</f>
        <v>-11.117184818154302</v>
      </c>
      <c r="L773" s="304">
        <f t="shared" ca="1" si="348"/>
        <v>589.07954780396324</v>
      </c>
      <c r="M773" s="306">
        <f t="shared" ref="M773:M836" ca="1" si="364">IF(AND(L772&gt;L_rampe,G773&gt;0),ATAN2(G773,H773),$M$4)</f>
        <v>-1.50939516969955</v>
      </c>
      <c r="N773" s="304">
        <f t="shared" ref="N773:N836" ca="1" si="365">DEGREES(Beta)</f>
        <v>-86.481972841216887</v>
      </c>
      <c r="P773" s="310">
        <f t="shared" ref="P773:P836" ca="1" si="366">MATCH(t-pas/2-T_ini,CdP_t)</f>
        <v>23</v>
      </c>
      <c r="Q773" s="304">
        <f t="shared" ref="Q773:Q836" ca="1" si="367">(INDEX(CdP,2,i_P+1)-INDEX(CdP,2,i_P+0))/(INDEX(CdP,1,i_P+1)-INDEX(CdP,1,i_P+0))*(t-pas/2-T_ini-INDEX(CdP,1,i_P+0))+INDEX(CdP,2,i_P+0)</f>
        <v>0</v>
      </c>
      <c r="R773" s="306">
        <f t="shared" ref="R773:R836" ca="1" si="368">Poussee/(g*ISP)</f>
        <v>0</v>
      </c>
      <c r="S773" s="307">
        <f t="shared" ref="S773:S836" ca="1" si="369">S772-Débit*pas</f>
        <v>2.5949999999999998</v>
      </c>
      <c r="T773" s="304">
        <f t="shared" ca="1" si="349"/>
        <v>25.456949999999999</v>
      </c>
      <c r="U773" s="311">
        <f t="shared" ca="1" si="350"/>
        <v>0</v>
      </c>
      <c r="V773" s="306">
        <f t="shared" ca="1" si="351"/>
        <v>1.2263626125610079</v>
      </c>
      <c r="W773" s="304">
        <f t="shared" ca="1" si="352"/>
        <v>23.567636764334221</v>
      </c>
      <c r="Y773" s="314" t="str">
        <f t="shared" ref="Y773:Y836" ca="1" si="370">IF(AND(pos_z&lt;=0,K772&gt;0),"Impact balistique","") &amp; IF(AND(H774&lt;0,vit_z&gt;=0),"Apogée","") &amp; IF(AND(Poussee=0,Q772&gt;0),"Fin de propulsion","") &amp; IF(AND(L774&gt;L_rampe,pos_xz&lt;=L_rampe),"Sortie de rampe","")</f>
        <v/>
      </c>
      <c r="Z773" s="315" t="str">
        <f t="shared" ref="Z773:Z836" ca="1" si="371">IF(ABS(t-T_para)&lt;pas/2,"Para","")</f>
        <v/>
      </c>
      <c r="AA773" s="316" t="str">
        <f t="shared" ref="AA773:AA836" ca="1" si="372">IF(ABS(t-T_satellite)&lt;pas/2,"Satellite","")</f>
        <v/>
      </c>
      <c r="AC773" s="310" t="e">
        <f t="shared" ref="AC773:AC836" ca="1" si="373">IF(ABS(t-ROUND(t,0))&lt;0.001,t,NA())</f>
        <v>#N/A</v>
      </c>
      <c r="AD773" s="323" t="e">
        <f t="shared" ref="AD773:AD836" ca="1" si="374">IF(ABS(t-ROUND(t,0))&lt;0.001,pos_x,NA())</f>
        <v>#N/A</v>
      </c>
      <c r="AE773" s="324" t="e">
        <f t="shared" ca="1" si="353"/>
        <v>#N/A</v>
      </c>
      <c r="AG773" s="306">
        <f t="shared" ref="AG773:AG836" ca="1" si="375">IF(AND(L772&lt;L_rampe,Poussee&lt;Poids*SIN(M772)),0,(-W772+Poussee)/m-Poids*SIN(M772)/m)</f>
        <v>0.70959422092368385</v>
      </c>
      <c r="AH773" s="304">
        <f t="shared" ref="AH773:AH836" ca="1" si="376">IF(AND(L772&lt;L_rampe,Poussee&lt;Poids*SIN(M772)), g*SIN(M772), (-W772+Poussee)/m)</f>
        <v>-9.0819188633606593</v>
      </c>
    </row>
    <row r="774" spans="1:34" x14ac:dyDescent="0.2">
      <c r="A774" s="347">
        <f t="shared" ca="1" si="354"/>
        <v>1E-4</v>
      </c>
      <c r="B774" s="304">
        <f t="shared" ca="1" si="355"/>
        <v>32.538700000001455</v>
      </c>
      <c r="D774" s="306">
        <f t="shared" ca="1" si="356"/>
        <v>-0.55729135467914537</v>
      </c>
      <c r="E774" s="307">
        <f t="shared" ca="1" si="357"/>
        <v>-0.74517359466400279</v>
      </c>
      <c r="F774" s="304">
        <f t="shared" ca="1" si="358"/>
        <v>0.93051455667527772</v>
      </c>
      <c r="G774" s="306">
        <f t="shared" ca="1" si="359"/>
        <v>5.9444501970976331</v>
      </c>
      <c r="H774" s="307">
        <f t="shared" ca="1" si="360"/>
        <v>-96.692610359438675</v>
      </c>
      <c r="I774" s="304">
        <f t="shared" ca="1" si="361"/>
        <v>96.875163928986481</v>
      </c>
      <c r="J774" s="306">
        <f t="shared" ca="1" si="362"/>
        <v>588.9746359926213</v>
      </c>
      <c r="K774" s="307">
        <f t="shared" ca="1" si="363"/>
        <v>-11.126854075464378</v>
      </c>
      <c r="L774" s="304">
        <f t="shared" ca="1" si="348"/>
        <v>589.0797303627561</v>
      </c>
      <c r="M774" s="306">
        <f t="shared" ca="1" si="364"/>
        <v>-1.5093957910837255</v>
      </c>
      <c r="N774" s="304">
        <f t="shared" ca="1" si="365"/>
        <v>-86.482008443907603</v>
      </c>
      <c r="P774" s="310">
        <f t="shared" ca="1" si="366"/>
        <v>23</v>
      </c>
      <c r="Q774" s="304">
        <f t="shared" ca="1" si="367"/>
        <v>0</v>
      </c>
      <c r="R774" s="306">
        <f t="shared" ca="1" si="368"/>
        <v>0</v>
      </c>
      <c r="S774" s="307">
        <f t="shared" ca="1" si="369"/>
        <v>2.5949999999999998</v>
      </c>
      <c r="T774" s="304">
        <f t="shared" ca="1" si="349"/>
        <v>25.456949999999999</v>
      </c>
      <c r="U774" s="311">
        <f t="shared" ca="1" si="350"/>
        <v>0</v>
      </c>
      <c r="V774" s="306">
        <f t="shared" ca="1" si="351"/>
        <v>1.2263637983635134</v>
      </c>
      <c r="W774" s="304">
        <f t="shared" ca="1" si="352"/>
        <v>23.567694077322795</v>
      </c>
      <c r="Y774" s="314" t="str">
        <f t="shared" ca="1" si="370"/>
        <v/>
      </c>
      <c r="Z774" s="315" t="str">
        <f t="shared" ca="1" si="371"/>
        <v/>
      </c>
      <c r="AA774" s="316" t="str">
        <f t="shared" ca="1" si="372"/>
        <v/>
      </c>
      <c r="AC774" s="310" t="e">
        <f t="shared" ca="1" si="373"/>
        <v>#N/A</v>
      </c>
      <c r="AD774" s="323" t="e">
        <f t="shared" ca="1" si="374"/>
        <v>#N/A</v>
      </c>
      <c r="AE774" s="324" t="e">
        <f t="shared" ca="1" si="353"/>
        <v>#N/A</v>
      </c>
      <c r="AG774" s="306">
        <f t="shared" ca="1" si="375"/>
        <v>0.70957250869591704</v>
      </c>
      <c r="AH774" s="304">
        <f t="shared" ca="1" si="376"/>
        <v>-9.0819409496471</v>
      </c>
    </row>
    <row r="775" spans="1:34" x14ac:dyDescent="0.2">
      <c r="A775" s="347">
        <f t="shared" ca="1" si="354"/>
        <v>1E-4</v>
      </c>
      <c r="B775" s="304">
        <f t="shared" ca="1" si="355"/>
        <v>32.538800000001459</v>
      </c>
      <c r="D775" s="306">
        <f t="shared" ca="1" si="356"/>
        <v>-0.55728707717537485</v>
      </c>
      <c r="E775" s="307">
        <f t="shared" ca="1" si="357"/>
        <v>-0.74515120406282342</v>
      </c>
      <c r="F775" s="304">
        <f t="shared" ca="1" si="358"/>
        <v>0.93049406408797031</v>
      </c>
      <c r="G775" s="306">
        <f t="shared" ca="1" si="359"/>
        <v>5.9443944683899153</v>
      </c>
      <c r="H775" s="307">
        <f t="shared" ca="1" si="360"/>
        <v>-96.692684874559077</v>
      </c>
      <c r="I775" s="304">
        <f t="shared" ca="1" si="361"/>
        <v>96.875234884084847</v>
      </c>
      <c r="J775" s="306">
        <f t="shared" ca="1" si="362"/>
        <v>588.9746359926213</v>
      </c>
      <c r="K775" s="307">
        <f t="shared" ca="1" si="363"/>
        <v>-11.136523340226077</v>
      </c>
      <c r="L775" s="304">
        <f t="shared" ca="1" si="348"/>
        <v>589.07991308034616</v>
      </c>
      <c r="M775" s="306">
        <f t="shared" ca="1" si="364"/>
        <v>-1.5093964124611652</v>
      </c>
      <c r="N775" s="304">
        <f t="shared" ca="1" si="365"/>
        <v>-86.48204404621238</v>
      </c>
      <c r="P775" s="310">
        <f t="shared" ca="1" si="366"/>
        <v>23</v>
      </c>
      <c r="Q775" s="304">
        <f t="shared" ca="1" si="367"/>
        <v>0</v>
      </c>
      <c r="R775" s="306">
        <f t="shared" ca="1" si="368"/>
        <v>0</v>
      </c>
      <c r="S775" s="307">
        <f t="shared" ca="1" si="369"/>
        <v>2.5949999999999998</v>
      </c>
      <c r="T775" s="304">
        <f t="shared" ca="1" si="349"/>
        <v>25.456949999999999</v>
      </c>
      <c r="U775" s="311">
        <f t="shared" ca="1" si="350"/>
        <v>0</v>
      </c>
      <c r="V775" s="306">
        <f t="shared" ca="1" si="351"/>
        <v>1.2263649841680799</v>
      </c>
      <c r="W775" s="304">
        <f t="shared" ca="1" si="352"/>
        <v>23.567751389386601</v>
      </c>
      <c r="Y775" s="314" t="str">
        <f t="shared" ca="1" si="370"/>
        <v/>
      </c>
      <c r="Z775" s="315" t="str">
        <f t="shared" ca="1" si="371"/>
        <v/>
      </c>
      <c r="AA775" s="316" t="str">
        <f t="shared" ca="1" si="372"/>
        <v/>
      </c>
      <c r="AC775" s="310" t="e">
        <f t="shared" ca="1" si="373"/>
        <v>#N/A</v>
      </c>
      <c r="AD775" s="323" t="e">
        <f t="shared" ca="1" si="374"/>
        <v>#N/A</v>
      </c>
      <c r="AE775" s="324" t="e">
        <f t="shared" ca="1" si="353"/>
        <v>#N/A</v>
      </c>
      <c r="AG775" s="306">
        <f t="shared" ca="1" si="375"/>
        <v>0.70955079681667144</v>
      </c>
      <c r="AH775" s="304">
        <f t="shared" ca="1" si="376"/>
        <v>-9.0819630355771857</v>
      </c>
    </row>
    <row r="776" spans="1:34" x14ac:dyDescent="0.2">
      <c r="A776" s="347">
        <f t="shared" ca="1" si="354"/>
        <v>1E-4</v>
      </c>
      <c r="B776" s="304">
        <f t="shared" ca="1" si="355"/>
        <v>32.538900000001462</v>
      </c>
      <c r="D776" s="306">
        <f t="shared" ca="1" si="356"/>
        <v>-0.55728279968318462</v>
      </c>
      <c r="E776" s="307">
        <f t="shared" ca="1" si="357"/>
        <v>-0.7451288138229053</v>
      </c>
      <c r="F776" s="304">
        <f t="shared" ca="1" si="358"/>
        <v>0.93047357190403768</v>
      </c>
      <c r="G776" s="306">
        <f t="shared" ca="1" si="359"/>
        <v>5.9443387401099468</v>
      </c>
      <c r="H776" s="307">
        <f t="shared" ca="1" si="360"/>
        <v>-96.692759387440461</v>
      </c>
      <c r="I776" s="304">
        <f t="shared" ca="1" si="361"/>
        <v>96.875305837012078</v>
      </c>
      <c r="J776" s="306">
        <f t="shared" ca="1" si="362"/>
        <v>588.9746359926213</v>
      </c>
      <c r="K776" s="307">
        <f t="shared" ca="1" si="363"/>
        <v>-11.146192612439178</v>
      </c>
      <c r="L776" s="304">
        <f t="shared" ca="1" si="348"/>
        <v>589.08009595673354</v>
      </c>
      <c r="M776" s="306">
        <f t="shared" ca="1" si="364"/>
        <v>-1.5093970338318692</v>
      </c>
      <c r="N776" s="304">
        <f t="shared" ca="1" si="365"/>
        <v>-86.482079648131233</v>
      </c>
      <c r="P776" s="310">
        <f t="shared" ca="1" si="366"/>
        <v>23</v>
      </c>
      <c r="Q776" s="304">
        <f t="shared" ca="1" si="367"/>
        <v>0</v>
      </c>
      <c r="R776" s="306">
        <f t="shared" ca="1" si="368"/>
        <v>0</v>
      </c>
      <c r="S776" s="307">
        <f t="shared" ca="1" si="369"/>
        <v>2.5949999999999998</v>
      </c>
      <c r="T776" s="304">
        <f t="shared" ca="1" si="349"/>
        <v>25.456949999999999</v>
      </c>
      <c r="U776" s="311">
        <f t="shared" ca="1" si="350"/>
        <v>0</v>
      </c>
      <c r="V776" s="306">
        <f t="shared" ca="1" si="351"/>
        <v>1.2263661699747077</v>
      </c>
      <c r="W776" s="304">
        <f t="shared" ca="1" si="352"/>
        <v>23.567808700525681</v>
      </c>
      <c r="Y776" s="314" t="str">
        <f t="shared" ca="1" si="370"/>
        <v/>
      </c>
      <c r="Z776" s="315" t="str">
        <f t="shared" ca="1" si="371"/>
        <v/>
      </c>
      <c r="AA776" s="316" t="str">
        <f t="shared" ca="1" si="372"/>
        <v/>
      </c>
      <c r="AC776" s="310" t="e">
        <f t="shared" ca="1" si="373"/>
        <v>#N/A</v>
      </c>
      <c r="AD776" s="323" t="e">
        <f t="shared" ca="1" si="374"/>
        <v>#N/A</v>
      </c>
      <c r="AE776" s="324" t="e">
        <f t="shared" ca="1" si="353"/>
        <v>#N/A</v>
      </c>
      <c r="AG776" s="306">
        <f t="shared" ca="1" si="375"/>
        <v>0.70952908528595415</v>
      </c>
      <c r="AH776" s="304">
        <f t="shared" ca="1" si="376"/>
        <v>-9.0819851211509075</v>
      </c>
    </row>
    <row r="777" spans="1:34" x14ac:dyDescent="0.2">
      <c r="A777" s="347">
        <f t="shared" ca="1" si="354"/>
        <v>1E-4</v>
      </c>
      <c r="B777" s="304">
        <f t="shared" ca="1" si="355"/>
        <v>32.539000000001465</v>
      </c>
      <c r="D777" s="306">
        <f t="shared" ca="1" si="356"/>
        <v>-0.55727852220257657</v>
      </c>
      <c r="E777" s="307">
        <f t="shared" ca="1" si="357"/>
        <v>-0.74510642394423598</v>
      </c>
      <c r="F777" s="304">
        <f t="shared" ca="1" si="358"/>
        <v>0.93045308012347139</v>
      </c>
      <c r="G777" s="306">
        <f t="shared" ca="1" si="359"/>
        <v>5.9442830122577268</v>
      </c>
      <c r="H777" s="307">
        <f t="shared" ca="1" si="360"/>
        <v>-96.692833898082853</v>
      </c>
      <c r="I777" s="304">
        <f t="shared" ca="1" si="361"/>
        <v>96.87537678776819</v>
      </c>
      <c r="J777" s="306">
        <f t="shared" ca="1" si="362"/>
        <v>588.9746359926213</v>
      </c>
      <c r="K777" s="307">
        <f t="shared" ca="1" si="363"/>
        <v>-11.155861892103454</v>
      </c>
      <c r="L777" s="304">
        <f t="shared" ca="1" si="348"/>
        <v>589.08027899191848</v>
      </c>
      <c r="M777" s="306">
        <f t="shared" ca="1" si="364"/>
        <v>-1.5093976551958379</v>
      </c>
      <c r="N777" s="304">
        <f t="shared" ca="1" si="365"/>
        <v>-86.48211524966419</v>
      </c>
      <c r="P777" s="310">
        <f t="shared" ca="1" si="366"/>
        <v>23</v>
      </c>
      <c r="Q777" s="304">
        <f t="shared" ca="1" si="367"/>
        <v>0</v>
      </c>
      <c r="R777" s="306">
        <f t="shared" ca="1" si="368"/>
        <v>0</v>
      </c>
      <c r="S777" s="307">
        <f t="shared" ca="1" si="369"/>
        <v>2.5949999999999998</v>
      </c>
      <c r="T777" s="304">
        <f t="shared" ca="1" si="349"/>
        <v>25.456949999999999</v>
      </c>
      <c r="U777" s="311">
        <f t="shared" ca="1" si="350"/>
        <v>0</v>
      </c>
      <c r="V777" s="306">
        <f t="shared" ca="1" si="351"/>
        <v>1.2263673557833967</v>
      </c>
      <c r="W777" s="304">
        <f t="shared" ca="1" si="352"/>
        <v>23.567866010740044</v>
      </c>
      <c r="Y777" s="314" t="str">
        <f t="shared" ca="1" si="370"/>
        <v/>
      </c>
      <c r="Z777" s="315" t="str">
        <f t="shared" ca="1" si="371"/>
        <v/>
      </c>
      <c r="AA777" s="316" t="str">
        <f t="shared" ca="1" si="372"/>
        <v/>
      </c>
      <c r="AC777" s="310" t="e">
        <f t="shared" ca="1" si="373"/>
        <v>#N/A</v>
      </c>
      <c r="AD777" s="323" t="e">
        <f t="shared" ca="1" si="374"/>
        <v>#N/A</v>
      </c>
      <c r="AE777" s="324" t="e">
        <f t="shared" ca="1" si="353"/>
        <v>#N/A</v>
      </c>
      <c r="AG777" s="306">
        <f t="shared" ca="1" si="375"/>
        <v>0.70950737410375275</v>
      </c>
      <c r="AH777" s="304">
        <f t="shared" ca="1" si="376"/>
        <v>-9.082007206368278</v>
      </c>
    </row>
    <row r="778" spans="1:34" x14ac:dyDescent="0.2">
      <c r="A778" s="347">
        <f t="shared" ca="1" si="354"/>
        <v>1E-4</v>
      </c>
      <c r="B778" s="304">
        <f t="shared" ca="1" si="355"/>
        <v>32.539100000001469</v>
      </c>
      <c r="D778" s="306">
        <f t="shared" ca="1" si="356"/>
        <v>-0.55727424473354836</v>
      </c>
      <c r="E778" s="307">
        <f t="shared" ca="1" si="357"/>
        <v>-0.74508403442681193</v>
      </c>
      <c r="F778" s="304">
        <f t="shared" ca="1" si="358"/>
        <v>0.93043258874626777</v>
      </c>
      <c r="G778" s="306">
        <f t="shared" ca="1" si="359"/>
        <v>5.9442272848332536</v>
      </c>
      <c r="H778" s="307">
        <f t="shared" ca="1" si="360"/>
        <v>-96.692908406486296</v>
      </c>
      <c r="I778" s="304">
        <f t="shared" ca="1" si="361"/>
        <v>96.875447736353223</v>
      </c>
      <c r="J778" s="306">
        <f t="shared" ca="1" si="362"/>
        <v>588.9746359926213</v>
      </c>
      <c r="K778" s="307">
        <f t="shared" ca="1" si="363"/>
        <v>-11.165531179218682</v>
      </c>
      <c r="L778" s="304">
        <f t="shared" ca="1" si="348"/>
        <v>589.08046218590107</v>
      </c>
      <c r="M778" s="306">
        <f t="shared" ca="1" si="364"/>
        <v>-1.5093982765530711</v>
      </c>
      <c r="N778" s="304">
        <f t="shared" ca="1" si="365"/>
        <v>-86.482150850811223</v>
      </c>
      <c r="P778" s="310">
        <f t="shared" ca="1" si="366"/>
        <v>23</v>
      </c>
      <c r="Q778" s="304">
        <f t="shared" ca="1" si="367"/>
        <v>0</v>
      </c>
      <c r="R778" s="306">
        <f t="shared" ca="1" si="368"/>
        <v>0</v>
      </c>
      <c r="S778" s="307">
        <f t="shared" ca="1" si="369"/>
        <v>2.5949999999999998</v>
      </c>
      <c r="T778" s="304">
        <f t="shared" ca="1" si="349"/>
        <v>25.456949999999999</v>
      </c>
      <c r="U778" s="311">
        <f t="shared" ca="1" si="350"/>
        <v>0</v>
      </c>
      <c r="V778" s="306">
        <f t="shared" ca="1" si="351"/>
        <v>1.2263685415941465</v>
      </c>
      <c r="W778" s="304">
        <f t="shared" ca="1" si="352"/>
        <v>23.567923320029685</v>
      </c>
      <c r="Y778" s="314" t="str">
        <f t="shared" ca="1" si="370"/>
        <v/>
      </c>
      <c r="Z778" s="315" t="str">
        <f t="shared" ca="1" si="371"/>
        <v/>
      </c>
      <c r="AA778" s="316" t="str">
        <f t="shared" ca="1" si="372"/>
        <v/>
      </c>
      <c r="AC778" s="310" t="e">
        <f t="shared" ca="1" si="373"/>
        <v>#N/A</v>
      </c>
      <c r="AD778" s="323" t="e">
        <f t="shared" ca="1" si="374"/>
        <v>#N/A</v>
      </c>
      <c r="AE778" s="324" t="e">
        <f t="shared" ca="1" si="353"/>
        <v>#N/A</v>
      </c>
      <c r="AG778" s="306">
        <f t="shared" ca="1" si="375"/>
        <v>0.70948566327006013</v>
      </c>
      <c r="AH778" s="304">
        <f t="shared" ca="1" si="376"/>
        <v>-9.0820292912293041</v>
      </c>
    </row>
    <row r="779" spans="1:34" x14ac:dyDescent="0.2">
      <c r="A779" s="347">
        <f t="shared" ca="1" si="354"/>
        <v>1E-4</v>
      </c>
      <c r="B779" s="304">
        <f t="shared" ca="1" si="355"/>
        <v>32.539200000001472</v>
      </c>
      <c r="D779" s="306">
        <f t="shared" ca="1" si="356"/>
        <v>-0.5572699672761029</v>
      </c>
      <c r="E779" s="307">
        <f t="shared" ca="1" si="357"/>
        <v>-0.74506164527062779</v>
      </c>
      <c r="F779" s="304">
        <f t="shared" ca="1" si="358"/>
        <v>0.93041209777242451</v>
      </c>
      <c r="G779" s="306">
        <f t="shared" ca="1" si="359"/>
        <v>5.9441715578365262</v>
      </c>
      <c r="H779" s="307">
        <f t="shared" ca="1" si="360"/>
        <v>-96.69298291265082</v>
      </c>
      <c r="I779" s="304">
        <f t="shared" ca="1" si="361"/>
        <v>96.875518682767193</v>
      </c>
      <c r="J779" s="306">
        <f t="shared" ca="1" si="362"/>
        <v>588.9746359926213</v>
      </c>
      <c r="K779" s="307">
        <f t="shared" ca="1" si="363"/>
        <v>-11.175200473784638</v>
      </c>
      <c r="L779" s="304">
        <f t="shared" ca="1" si="348"/>
        <v>589.08064553868178</v>
      </c>
      <c r="M779" s="306">
        <f t="shared" ca="1" si="364"/>
        <v>-1.5093988979035691</v>
      </c>
      <c r="N779" s="304">
        <f t="shared" ca="1" si="365"/>
        <v>-86.482186451572346</v>
      </c>
      <c r="P779" s="310">
        <f t="shared" ca="1" si="366"/>
        <v>23</v>
      </c>
      <c r="Q779" s="304">
        <f t="shared" ca="1" si="367"/>
        <v>0</v>
      </c>
      <c r="R779" s="306">
        <f t="shared" ca="1" si="368"/>
        <v>0</v>
      </c>
      <c r="S779" s="307">
        <f t="shared" ca="1" si="369"/>
        <v>2.5949999999999998</v>
      </c>
      <c r="T779" s="304">
        <f t="shared" ca="1" si="349"/>
        <v>25.456949999999999</v>
      </c>
      <c r="U779" s="311">
        <f t="shared" ca="1" si="350"/>
        <v>0</v>
      </c>
      <c r="V779" s="306">
        <f t="shared" ca="1" si="351"/>
        <v>1.2263697274069572</v>
      </c>
      <c r="W779" s="304">
        <f t="shared" ca="1" si="352"/>
        <v>23.567980628394615</v>
      </c>
      <c r="Y779" s="314" t="str">
        <f t="shared" ca="1" si="370"/>
        <v/>
      </c>
      <c r="Z779" s="315" t="str">
        <f t="shared" ca="1" si="371"/>
        <v/>
      </c>
      <c r="AA779" s="316" t="str">
        <f t="shared" ca="1" si="372"/>
        <v/>
      </c>
      <c r="AC779" s="310" t="e">
        <f t="shared" ca="1" si="373"/>
        <v>#N/A</v>
      </c>
      <c r="AD779" s="323" t="e">
        <f t="shared" ca="1" si="374"/>
        <v>#N/A</v>
      </c>
      <c r="AE779" s="324" t="e">
        <f t="shared" ca="1" si="353"/>
        <v>#N/A</v>
      </c>
      <c r="AG779" s="306">
        <f t="shared" ca="1" si="375"/>
        <v>0.70946395278487984</v>
      </c>
      <c r="AH779" s="304">
        <f t="shared" ca="1" si="376"/>
        <v>-9.0820513757339842</v>
      </c>
    </row>
    <row r="780" spans="1:34" x14ac:dyDescent="0.2">
      <c r="A780" s="347">
        <f t="shared" ca="1" si="354"/>
        <v>1E-4</v>
      </c>
      <c r="B780" s="304">
        <f t="shared" ca="1" si="355"/>
        <v>32.539300000001475</v>
      </c>
      <c r="D780" s="306">
        <f t="shared" ca="1" si="356"/>
        <v>-0.55726568983023927</v>
      </c>
      <c r="E780" s="307">
        <f t="shared" ca="1" si="357"/>
        <v>-0.74503925647569069</v>
      </c>
      <c r="F780" s="304">
        <f t="shared" ca="1" si="358"/>
        <v>0.93039160720194725</v>
      </c>
      <c r="G780" s="306">
        <f t="shared" ca="1" si="359"/>
        <v>5.9441158312675428</v>
      </c>
      <c r="H780" s="307">
        <f t="shared" ca="1" si="360"/>
        <v>-96.693057416576465</v>
      </c>
      <c r="I780" s="304">
        <f t="shared" ca="1" si="361"/>
        <v>96.875589627010157</v>
      </c>
      <c r="J780" s="306">
        <f t="shared" ca="1" si="362"/>
        <v>588.9746359926213</v>
      </c>
      <c r="K780" s="307">
        <f t="shared" ca="1" si="363"/>
        <v>-11.184869775801101</v>
      </c>
      <c r="L780" s="304">
        <f t="shared" ca="1" si="348"/>
        <v>589.0808290502606</v>
      </c>
      <c r="M780" s="306">
        <f t="shared" ca="1" si="364"/>
        <v>-1.509399519247332</v>
      </c>
      <c r="N780" s="304">
        <f t="shared" ca="1" si="365"/>
        <v>-86.482222051947588</v>
      </c>
      <c r="P780" s="310">
        <f t="shared" ca="1" si="366"/>
        <v>23</v>
      </c>
      <c r="Q780" s="304">
        <f t="shared" ca="1" si="367"/>
        <v>0</v>
      </c>
      <c r="R780" s="306">
        <f t="shared" ca="1" si="368"/>
        <v>0</v>
      </c>
      <c r="S780" s="307">
        <f t="shared" ca="1" si="369"/>
        <v>2.5949999999999998</v>
      </c>
      <c r="T780" s="304">
        <f t="shared" ca="1" si="349"/>
        <v>25.456949999999999</v>
      </c>
      <c r="U780" s="311">
        <f t="shared" ca="1" si="350"/>
        <v>0</v>
      </c>
      <c r="V780" s="306">
        <f t="shared" ca="1" si="351"/>
        <v>1.2263709132218286</v>
      </c>
      <c r="W780" s="304">
        <f t="shared" ca="1" si="352"/>
        <v>23.568037935834859</v>
      </c>
      <c r="Y780" s="314" t="str">
        <f t="shared" ca="1" si="370"/>
        <v/>
      </c>
      <c r="Z780" s="315" t="str">
        <f t="shared" ca="1" si="371"/>
        <v/>
      </c>
      <c r="AA780" s="316" t="str">
        <f t="shared" ca="1" si="372"/>
        <v/>
      </c>
      <c r="AC780" s="310" t="e">
        <f t="shared" ca="1" si="373"/>
        <v>#N/A</v>
      </c>
      <c r="AD780" s="323" t="e">
        <f t="shared" ca="1" si="374"/>
        <v>#N/A</v>
      </c>
      <c r="AE780" s="324" t="e">
        <f t="shared" ca="1" si="353"/>
        <v>#N/A</v>
      </c>
      <c r="AG780" s="306">
        <f t="shared" ca="1" si="375"/>
        <v>0.7094422426482101</v>
      </c>
      <c r="AH780" s="304">
        <f t="shared" ca="1" si="376"/>
        <v>-9.0820734598823183</v>
      </c>
    </row>
    <row r="781" spans="1:34" x14ac:dyDescent="0.2">
      <c r="A781" s="347">
        <f t="shared" ca="1" si="354"/>
        <v>1E-4</v>
      </c>
      <c r="B781" s="304">
        <f t="shared" ca="1" si="355"/>
        <v>32.539400000001478</v>
      </c>
      <c r="D781" s="306">
        <f t="shared" ca="1" si="356"/>
        <v>-0.5572614123959575</v>
      </c>
      <c r="E781" s="307">
        <f t="shared" ca="1" si="357"/>
        <v>-0.74501686804198108</v>
      </c>
      <c r="F781" s="304">
        <f t="shared" ca="1" si="358"/>
        <v>0.93037111703482078</v>
      </c>
      <c r="G781" s="306">
        <f t="shared" ca="1" si="359"/>
        <v>5.9440601051263036</v>
      </c>
      <c r="H781" s="307">
        <f t="shared" ca="1" si="360"/>
        <v>-96.693131918263276</v>
      </c>
      <c r="I781" s="304">
        <f t="shared" ca="1" si="361"/>
        <v>96.875660569082143</v>
      </c>
      <c r="J781" s="306">
        <f t="shared" ca="1" si="362"/>
        <v>588.9746359926213</v>
      </c>
      <c r="K781" s="307">
        <f t="shared" ca="1" si="363"/>
        <v>-11.194539085267843</v>
      </c>
      <c r="L781" s="304">
        <f t="shared" ca="1" si="348"/>
        <v>589.08101272063789</v>
      </c>
      <c r="M781" s="306">
        <f t="shared" ca="1" si="364"/>
        <v>-1.5094001405843596</v>
      </c>
      <c r="N781" s="304">
        <f t="shared" ca="1" si="365"/>
        <v>-86.482257651936933</v>
      </c>
      <c r="P781" s="310">
        <f t="shared" ca="1" si="366"/>
        <v>23</v>
      </c>
      <c r="Q781" s="304">
        <f t="shared" ca="1" si="367"/>
        <v>0</v>
      </c>
      <c r="R781" s="306">
        <f t="shared" ca="1" si="368"/>
        <v>0</v>
      </c>
      <c r="S781" s="307">
        <f t="shared" ca="1" si="369"/>
        <v>2.5949999999999998</v>
      </c>
      <c r="T781" s="304">
        <f t="shared" ca="1" si="349"/>
        <v>25.456949999999999</v>
      </c>
      <c r="U781" s="311">
        <f t="shared" ca="1" si="350"/>
        <v>0</v>
      </c>
      <c r="V781" s="306">
        <f t="shared" ca="1" si="351"/>
        <v>1.2263720990387612</v>
      </c>
      <c r="W781" s="304">
        <f t="shared" ca="1" si="352"/>
        <v>23.568095242350427</v>
      </c>
      <c r="Y781" s="314" t="str">
        <f t="shared" ca="1" si="370"/>
        <v/>
      </c>
      <c r="Z781" s="315" t="str">
        <f t="shared" ca="1" si="371"/>
        <v/>
      </c>
      <c r="AA781" s="316" t="str">
        <f t="shared" ca="1" si="372"/>
        <v/>
      </c>
      <c r="AC781" s="310" t="e">
        <f t="shared" ca="1" si="373"/>
        <v>#N/A</v>
      </c>
      <c r="AD781" s="323" t="e">
        <f t="shared" ca="1" si="374"/>
        <v>#N/A</v>
      </c>
      <c r="AE781" s="324" t="e">
        <f t="shared" ca="1" si="353"/>
        <v>#N/A</v>
      </c>
      <c r="AG781" s="306">
        <f t="shared" ca="1" si="375"/>
        <v>0.70942053286003848</v>
      </c>
      <c r="AH781" s="304">
        <f t="shared" ca="1" si="376"/>
        <v>-9.0820955436743205</v>
      </c>
    </row>
    <row r="782" spans="1:34" x14ac:dyDescent="0.2">
      <c r="A782" s="347">
        <f t="shared" ca="1" si="354"/>
        <v>1E-4</v>
      </c>
      <c r="B782" s="304">
        <f t="shared" ca="1" si="355"/>
        <v>32.539500000001482</v>
      </c>
      <c r="D782" s="306">
        <f t="shared" ca="1" si="356"/>
        <v>-0.55725713497326079</v>
      </c>
      <c r="E782" s="307">
        <f t="shared" ca="1" si="357"/>
        <v>-0.74499447996950074</v>
      </c>
      <c r="F782" s="304">
        <f t="shared" ca="1" si="358"/>
        <v>0.93035062727104878</v>
      </c>
      <c r="G782" s="306">
        <f t="shared" ca="1" si="359"/>
        <v>5.9440043794128066</v>
      </c>
      <c r="H782" s="307">
        <f t="shared" ca="1" si="360"/>
        <v>-96.693206417711266</v>
      </c>
      <c r="I782" s="304">
        <f t="shared" ca="1" si="361"/>
        <v>96.875731508983179</v>
      </c>
      <c r="J782" s="306">
        <f t="shared" ca="1" si="362"/>
        <v>588.9746359926213</v>
      </c>
      <c r="K782" s="307">
        <f t="shared" ca="1" si="363"/>
        <v>-11.204208402184642</v>
      </c>
      <c r="L782" s="304">
        <f t="shared" ca="1" si="348"/>
        <v>589.08119654981374</v>
      </c>
      <c r="M782" s="306">
        <f t="shared" ca="1" si="364"/>
        <v>-1.5094007619146521</v>
      </c>
      <c r="N782" s="304">
        <f t="shared" ca="1" si="365"/>
        <v>-86.482293251540369</v>
      </c>
      <c r="P782" s="310">
        <f t="shared" ca="1" si="366"/>
        <v>23</v>
      </c>
      <c r="Q782" s="304">
        <f t="shared" ca="1" si="367"/>
        <v>0</v>
      </c>
      <c r="R782" s="306">
        <f t="shared" ca="1" si="368"/>
        <v>0</v>
      </c>
      <c r="S782" s="307">
        <f t="shared" ca="1" si="369"/>
        <v>2.5949999999999998</v>
      </c>
      <c r="T782" s="304">
        <f t="shared" ca="1" si="349"/>
        <v>25.456949999999999</v>
      </c>
      <c r="U782" s="311">
        <f t="shared" ca="1" si="350"/>
        <v>0</v>
      </c>
      <c r="V782" s="306">
        <f t="shared" ca="1" si="351"/>
        <v>1.2263732848577549</v>
      </c>
      <c r="W782" s="304">
        <f t="shared" ca="1" si="352"/>
        <v>23.568152547941327</v>
      </c>
      <c r="Y782" s="314" t="str">
        <f t="shared" ca="1" si="370"/>
        <v/>
      </c>
      <c r="Z782" s="315" t="str">
        <f t="shared" ca="1" si="371"/>
        <v/>
      </c>
      <c r="AA782" s="316" t="str">
        <f t="shared" ca="1" si="372"/>
        <v/>
      </c>
      <c r="AC782" s="310" t="e">
        <f t="shared" ca="1" si="373"/>
        <v>#N/A</v>
      </c>
      <c r="AD782" s="323" t="e">
        <f t="shared" ca="1" si="374"/>
        <v>#N/A</v>
      </c>
      <c r="AE782" s="324" t="e">
        <f t="shared" ca="1" si="353"/>
        <v>#N/A</v>
      </c>
      <c r="AG782" s="306">
        <f t="shared" ca="1" si="375"/>
        <v>0.7093988234203632</v>
      </c>
      <c r="AH782" s="304">
        <f t="shared" ca="1" si="376"/>
        <v>-9.0821176271099926</v>
      </c>
    </row>
    <row r="783" spans="1:34" x14ac:dyDescent="0.2">
      <c r="A783" s="347">
        <f t="shared" ca="1" si="354"/>
        <v>1E-4</v>
      </c>
      <c r="B783" s="304">
        <f t="shared" ca="1" si="355"/>
        <v>32.539600000001485</v>
      </c>
      <c r="D783" s="306">
        <f t="shared" ca="1" si="356"/>
        <v>-0.55725285756214848</v>
      </c>
      <c r="E783" s="307">
        <f t="shared" ca="1" si="357"/>
        <v>-0.74497209225824612</v>
      </c>
      <c r="F783" s="304">
        <f t="shared" ca="1" si="358"/>
        <v>0.93033013791062835</v>
      </c>
      <c r="G783" s="306">
        <f t="shared" ca="1" si="359"/>
        <v>5.9439486541270501</v>
      </c>
      <c r="H783" s="307">
        <f t="shared" ca="1" si="360"/>
        <v>-96.693280914920493</v>
      </c>
      <c r="I783" s="304">
        <f t="shared" ca="1" si="361"/>
        <v>96.875802446713323</v>
      </c>
      <c r="J783" s="306">
        <f t="shared" ca="1" si="362"/>
        <v>588.9746359926213</v>
      </c>
      <c r="K783" s="307">
        <f t="shared" ca="1" si="363"/>
        <v>-11.213877726551274</v>
      </c>
      <c r="L783" s="304">
        <f t="shared" ca="1" si="348"/>
        <v>589.0813805377885</v>
      </c>
      <c r="M783" s="306">
        <f t="shared" ca="1" si="364"/>
        <v>-1.5094013832382098</v>
      </c>
      <c r="N783" s="304">
        <f t="shared" ca="1" si="365"/>
        <v>-86.482328850757938</v>
      </c>
      <c r="P783" s="310">
        <f t="shared" ca="1" si="366"/>
        <v>23</v>
      </c>
      <c r="Q783" s="304">
        <f t="shared" ca="1" si="367"/>
        <v>0</v>
      </c>
      <c r="R783" s="306">
        <f t="shared" ca="1" si="368"/>
        <v>0</v>
      </c>
      <c r="S783" s="307">
        <f t="shared" ca="1" si="369"/>
        <v>2.5949999999999998</v>
      </c>
      <c r="T783" s="304">
        <f t="shared" ca="1" si="349"/>
        <v>25.456949999999999</v>
      </c>
      <c r="U783" s="311">
        <f t="shared" ca="1" si="350"/>
        <v>0</v>
      </c>
      <c r="V783" s="306">
        <f t="shared" ca="1" si="351"/>
        <v>1.2263744706788089</v>
      </c>
      <c r="W783" s="304">
        <f t="shared" ca="1" si="352"/>
        <v>23.568209852607563</v>
      </c>
      <c r="Y783" s="314" t="str">
        <f t="shared" ca="1" si="370"/>
        <v/>
      </c>
      <c r="Z783" s="315" t="str">
        <f t="shared" ca="1" si="371"/>
        <v/>
      </c>
      <c r="AA783" s="316" t="str">
        <f t="shared" ca="1" si="372"/>
        <v/>
      </c>
      <c r="AC783" s="310" t="e">
        <f t="shared" ca="1" si="373"/>
        <v>#N/A</v>
      </c>
      <c r="AD783" s="323" t="e">
        <f t="shared" ca="1" si="374"/>
        <v>#N/A</v>
      </c>
      <c r="AE783" s="324" t="e">
        <f t="shared" ca="1" si="353"/>
        <v>#N/A</v>
      </c>
      <c r="AG783" s="306">
        <f t="shared" ca="1" si="375"/>
        <v>0.70937711432918071</v>
      </c>
      <c r="AH783" s="304">
        <f t="shared" ca="1" si="376"/>
        <v>-9.0821397101893364</v>
      </c>
    </row>
    <row r="784" spans="1:34" x14ac:dyDescent="0.2">
      <c r="A784" s="347">
        <f t="shared" ca="1" si="354"/>
        <v>1E-4</v>
      </c>
      <c r="B784" s="304">
        <f t="shared" ca="1" si="355"/>
        <v>32.539700000001488</v>
      </c>
      <c r="D784" s="306">
        <f t="shared" ca="1" si="356"/>
        <v>-0.5572485801626198</v>
      </c>
      <c r="E784" s="307">
        <f t="shared" ca="1" si="357"/>
        <v>-0.74494970490821011</v>
      </c>
      <c r="F784" s="304">
        <f t="shared" ca="1" si="358"/>
        <v>0.93030964895355406</v>
      </c>
      <c r="G784" s="306">
        <f t="shared" ca="1" si="359"/>
        <v>5.9438929292690341</v>
      </c>
      <c r="H784" s="307">
        <f t="shared" ca="1" si="360"/>
        <v>-96.693355409890984</v>
      </c>
      <c r="I784" s="304">
        <f t="shared" ca="1" si="361"/>
        <v>96.875873382272573</v>
      </c>
      <c r="J784" s="306">
        <f t="shared" ca="1" si="362"/>
        <v>588.9746359926213</v>
      </c>
      <c r="K784" s="307">
        <f t="shared" ca="1" si="363"/>
        <v>-11.223547058367515</v>
      </c>
      <c r="L784" s="304">
        <f t="shared" ca="1" si="348"/>
        <v>589.0815646845623</v>
      </c>
      <c r="M784" s="306">
        <f t="shared" ca="1" si="364"/>
        <v>-1.5094020045550325</v>
      </c>
      <c r="N784" s="304">
        <f t="shared" ca="1" si="365"/>
        <v>-86.482364449589625</v>
      </c>
      <c r="P784" s="310">
        <f t="shared" ca="1" si="366"/>
        <v>23</v>
      </c>
      <c r="Q784" s="304">
        <f t="shared" ca="1" si="367"/>
        <v>0</v>
      </c>
      <c r="R784" s="306">
        <f t="shared" ca="1" si="368"/>
        <v>0</v>
      </c>
      <c r="S784" s="307">
        <f t="shared" ca="1" si="369"/>
        <v>2.5949999999999998</v>
      </c>
      <c r="T784" s="304">
        <f t="shared" ca="1" si="349"/>
        <v>25.456949999999999</v>
      </c>
      <c r="U784" s="311">
        <f t="shared" ca="1" si="350"/>
        <v>0</v>
      </c>
      <c r="V784" s="306">
        <f t="shared" ca="1" si="351"/>
        <v>1.2263756565019246</v>
      </c>
      <c r="W784" s="304">
        <f t="shared" ca="1" si="352"/>
        <v>23.568267156349169</v>
      </c>
      <c r="Y784" s="314" t="str">
        <f t="shared" ca="1" si="370"/>
        <v/>
      </c>
      <c r="Z784" s="315" t="str">
        <f t="shared" ca="1" si="371"/>
        <v/>
      </c>
      <c r="AA784" s="316" t="str">
        <f t="shared" ca="1" si="372"/>
        <v/>
      </c>
      <c r="AC784" s="310" t="e">
        <f t="shared" ca="1" si="373"/>
        <v>#N/A</v>
      </c>
      <c r="AD784" s="323" t="e">
        <f t="shared" ca="1" si="374"/>
        <v>#N/A</v>
      </c>
      <c r="AE784" s="324" t="e">
        <f t="shared" ca="1" si="353"/>
        <v>#N/A</v>
      </c>
      <c r="AG784" s="306">
        <f t="shared" ca="1" si="375"/>
        <v>0.70935540558648924</v>
      </c>
      <c r="AH784" s="304">
        <f t="shared" ca="1" si="376"/>
        <v>-9.0821617929123573</v>
      </c>
    </row>
    <row r="785" spans="1:34" x14ac:dyDescent="0.2">
      <c r="A785" s="347">
        <f t="shared" ca="1" si="354"/>
        <v>1E-4</v>
      </c>
      <c r="B785" s="304">
        <f t="shared" ca="1" si="355"/>
        <v>32.539800000001492</v>
      </c>
      <c r="D785" s="306">
        <f t="shared" ca="1" si="356"/>
        <v>-0.55724430277467862</v>
      </c>
      <c r="E785" s="307">
        <f t="shared" ca="1" si="357"/>
        <v>-0.74492731791938738</v>
      </c>
      <c r="F785" s="304">
        <f t="shared" ca="1" si="358"/>
        <v>0.93028916039982412</v>
      </c>
      <c r="G785" s="306">
        <f t="shared" ca="1" si="359"/>
        <v>5.9438372048387569</v>
      </c>
      <c r="H785" s="307">
        <f t="shared" ca="1" si="360"/>
        <v>-96.693429902622782</v>
      </c>
      <c r="I785" s="304">
        <f t="shared" ca="1" si="361"/>
        <v>96.875944315661002</v>
      </c>
      <c r="J785" s="306">
        <f t="shared" ca="1" si="362"/>
        <v>588.9746359926213</v>
      </c>
      <c r="K785" s="307">
        <f t="shared" ca="1" si="363"/>
        <v>-11.233216397633141</v>
      </c>
      <c r="L785" s="304">
        <f t="shared" ca="1" si="348"/>
        <v>589.08174899013534</v>
      </c>
      <c r="M785" s="306">
        <f t="shared" ca="1" si="364"/>
        <v>-1.5094026258651205</v>
      </c>
      <c r="N785" s="304">
        <f t="shared" ca="1" si="365"/>
        <v>-86.48240004803543</v>
      </c>
      <c r="P785" s="310">
        <f t="shared" ca="1" si="366"/>
        <v>23</v>
      </c>
      <c r="Q785" s="304">
        <f t="shared" ca="1" si="367"/>
        <v>0</v>
      </c>
      <c r="R785" s="306">
        <f t="shared" ca="1" si="368"/>
        <v>0</v>
      </c>
      <c r="S785" s="307">
        <f t="shared" ca="1" si="369"/>
        <v>2.5949999999999998</v>
      </c>
      <c r="T785" s="304">
        <f t="shared" ca="1" si="349"/>
        <v>25.456949999999999</v>
      </c>
      <c r="U785" s="311">
        <f t="shared" ca="1" si="350"/>
        <v>0</v>
      </c>
      <c r="V785" s="306">
        <f t="shared" ca="1" si="351"/>
        <v>1.2263768423271002</v>
      </c>
      <c r="W785" s="304">
        <f t="shared" ca="1" si="352"/>
        <v>23.568324459166121</v>
      </c>
      <c r="Y785" s="314" t="str">
        <f t="shared" ca="1" si="370"/>
        <v/>
      </c>
      <c r="Z785" s="315" t="str">
        <f t="shared" ca="1" si="371"/>
        <v/>
      </c>
      <c r="AA785" s="316" t="str">
        <f t="shared" ca="1" si="372"/>
        <v/>
      </c>
      <c r="AC785" s="310" t="e">
        <f t="shared" ca="1" si="373"/>
        <v>#N/A</v>
      </c>
      <c r="AD785" s="323" t="e">
        <f t="shared" ca="1" si="374"/>
        <v>#N/A</v>
      </c>
      <c r="AE785" s="324" t="e">
        <f t="shared" ca="1" si="353"/>
        <v>#N/A</v>
      </c>
      <c r="AG785" s="306">
        <f t="shared" ca="1" si="375"/>
        <v>0.70933369719227812</v>
      </c>
      <c r="AH785" s="304">
        <f t="shared" ca="1" si="376"/>
        <v>-9.082183875279064</v>
      </c>
    </row>
    <row r="786" spans="1:34" x14ac:dyDescent="0.2">
      <c r="A786" s="347">
        <f t="shared" ca="1" si="354"/>
        <v>1E-4</v>
      </c>
      <c r="B786" s="304">
        <f t="shared" ca="1" si="355"/>
        <v>32.539900000001495</v>
      </c>
      <c r="D786" s="306">
        <f t="shared" ca="1" si="356"/>
        <v>-0.5572400253983214</v>
      </c>
      <c r="E786" s="307">
        <f t="shared" ca="1" si="357"/>
        <v>-0.74490493129178326</v>
      </c>
      <c r="F786" s="304">
        <f t="shared" ca="1" si="358"/>
        <v>0.9302686722494411</v>
      </c>
      <c r="G786" s="306">
        <f t="shared" ca="1" si="359"/>
        <v>5.9437814808362175</v>
      </c>
      <c r="H786" s="307">
        <f t="shared" ca="1" si="360"/>
        <v>-96.693504393115916</v>
      </c>
      <c r="I786" s="304">
        <f t="shared" ca="1" si="361"/>
        <v>96.876015246878609</v>
      </c>
      <c r="J786" s="306">
        <f t="shared" ca="1" si="362"/>
        <v>588.9746359926213</v>
      </c>
      <c r="K786" s="307">
        <f t="shared" ca="1" si="363"/>
        <v>-11.242885744347928</v>
      </c>
      <c r="L786" s="304">
        <f t="shared" ca="1" si="348"/>
        <v>589.08193345450786</v>
      </c>
      <c r="M786" s="306">
        <f t="shared" ca="1" si="364"/>
        <v>-1.509403247168474</v>
      </c>
      <c r="N786" s="304">
        <f t="shared" ca="1" si="365"/>
        <v>-86.482435646095382</v>
      </c>
      <c r="P786" s="310">
        <f t="shared" ca="1" si="366"/>
        <v>23</v>
      </c>
      <c r="Q786" s="304">
        <f t="shared" ca="1" si="367"/>
        <v>0</v>
      </c>
      <c r="R786" s="306">
        <f t="shared" ca="1" si="368"/>
        <v>0</v>
      </c>
      <c r="S786" s="307">
        <f t="shared" ca="1" si="369"/>
        <v>2.5949999999999998</v>
      </c>
      <c r="T786" s="304">
        <f t="shared" ca="1" si="349"/>
        <v>25.456949999999999</v>
      </c>
      <c r="U786" s="311">
        <f t="shared" ca="1" si="350"/>
        <v>0</v>
      </c>
      <c r="V786" s="306">
        <f t="shared" ca="1" si="351"/>
        <v>1.2263780281543373</v>
      </c>
      <c r="W786" s="304">
        <f t="shared" ca="1" si="352"/>
        <v>23.568381761058458</v>
      </c>
      <c r="Y786" s="314" t="str">
        <f t="shared" ca="1" si="370"/>
        <v/>
      </c>
      <c r="Z786" s="315" t="str">
        <f t="shared" ca="1" si="371"/>
        <v/>
      </c>
      <c r="AA786" s="316" t="str">
        <f t="shared" ca="1" si="372"/>
        <v/>
      </c>
      <c r="AC786" s="310" t="e">
        <f t="shared" ca="1" si="373"/>
        <v>#N/A</v>
      </c>
      <c r="AD786" s="323" t="e">
        <f t="shared" ca="1" si="374"/>
        <v>#N/A</v>
      </c>
      <c r="AE786" s="324" t="e">
        <f t="shared" ca="1" si="353"/>
        <v>#N/A</v>
      </c>
      <c r="AG786" s="306">
        <f t="shared" ca="1" si="375"/>
        <v>0.70931198914655269</v>
      </c>
      <c r="AH786" s="304">
        <f t="shared" ca="1" si="376"/>
        <v>-9.0822059572894496</v>
      </c>
    </row>
    <row r="787" spans="1:34" x14ac:dyDescent="0.2">
      <c r="A787" s="347">
        <f t="shared" ca="1" si="354"/>
        <v>1E-4</v>
      </c>
      <c r="B787" s="304">
        <f t="shared" ca="1" si="355"/>
        <v>32.540000000001498</v>
      </c>
      <c r="D787" s="306">
        <f t="shared" ca="1" si="356"/>
        <v>-0.55723574803355047</v>
      </c>
      <c r="E787" s="307">
        <f t="shared" ca="1" si="357"/>
        <v>-0.74488254502537998</v>
      </c>
      <c r="F787" s="304">
        <f t="shared" ca="1" si="358"/>
        <v>0.93024818450239277</v>
      </c>
      <c r="G787" s="306">
        <f t="shared" ca="1" si="359"/>
        <v>5.9437257572614142</v>
      </c>
      <c r="H787" s="307">
        <f t="shared" ca="1" si="360"/>
        <v>-96.693578881370414</v>
      </c>
      <c r="I787" s="304">
        <f t="shared" ca="1" si="361"/>
        <v>96.876086175925451</v>
      </c>
      <c r="J787" s="306">
        <f t="shared" ca="1" si="362"/>
        <v>588.9746359926213</v>
      </c>
      <c r="K787" s="307">
        <f t="shared" ca="1" si="363"/>
        <v>-11.252555098511653</v>
      </c>
      <c r="L787" s="304">
        <f t="shared" ca="1" si="348"/>
        <v>589.08211807767998</v>
      </c>
      <c r="M787" s="306">
        <f t="shared" ca="1" si="364"/>
        <v>-1.5094038684650928</v>
      </c>
      <c r="N787" s="304">
        <f t="shared" ca="1" si="365"/>
        <v>-86.482471243769467</v>
      </c>
      <c r="P787" s="310">
        <f t="shared" ca="1" si="366"/>
        <v>23</v>
      </c>
      <c r="Q787" s="304">
        <f t="shared" ca="1" si="367"/>
        <v>0</v>
      </c>
      <c r="R787" s="306">
        <f t="shared" ca="1" si="368"/>
        <v>0</v>
      </c>
      <c r="S787" s="307">
        <f t="shared" ca="1" si="369"/>
        <v>2.5949999999999998</v>
      </c>
      <c r="T787" s="304">
        <f t="shared" ca="1" si="349"/>
        <v>25.456949999999999</v>
      </c>
      <c r="U787" s="311">
        <f t="shared" ca="1" si="350"/>
        <v>0</v>
      </c>
      <c r="V787" s="306">
        <f t="shared" ca="1" si="351"/>
        <v>1.2263792139836349</v>
      </c>
      <c r="W787" s="304">
        <f t="shared" ca="1" si="352"/>
        <v>23.568439062026179</v>
      </c>
      <c r="Y787" s="314" t="str">
        <f t="shared" ca="1" si="370"/>
        <v/>
      </c>
      <c r="Z787" s="315" t="str">
        <f t="shared" ca="1" si="371"/>
        <v/>
      </c>
      <c r="AA787" s="316" t="str">
        <f t="shared" ca="1" si="372"/>
        <v/>
      </c>
      <c r="AC787" s="310" t="e">
        <f t="shared" ca="1" si="373"/>
        <v>#N/A</v>
      </c>
      <c r="AD787" s="323" t="e">
        <f t="shared" ca="1" si="374"/>
        <v>#N/A</v>
      </c>
      <c r="AE787" s="324" t="e">
        <f t="shared" ca="1" si="353"/>
        <v>#N/A</v>
      </c>
      <c r="AG787" s="306">
        <f t="shared" ca="1" si="375"/>
        <v>0.70929028144930051</v>
      </c>
      <c r="AH787" s="304">
        <f t="shared" ca="1" si="376"/>
        <v>-9.0822280389435299</v>
      </c>
    </row>
    <row r="788" spans="1:34" x14ac:dyDescent="0.2">
      <c r="A788" s="347">
        <f t="shared" ca="1" si="354"/>
        <v>1E-4</v>
      </c>
      <c r="B788" s="304">
        <f t="shared" ca="1" si="355"/>
        <v>32.540100000001502</v>
      </c>
      <c r="D788" s="306">
        <f t="shared" ca="1" si="356"/>
        <v>-0.5572314706803666</v>
      </c>
      <c r="E788" s="307">
        <f t="shared" ca="1" si="357"/>
        <v>-0.74486015912018289</v>
      </c>
      <c r="F788" s="304">
        <f t="shared" ca="1" si="358"/>
        <v>0.93022769715868403</v>
      </c>
      <c r="G788" s="306">
        <f t="shared" ca="1" si="359"/>
        <v>5.943670034114346</v>
      </c>
      <c r="H788" s="307">
        <f t="shared" ca="1" si="360"/>
        <v>-96.693653367386332</v>
      </c>
      <c r="I788" s="304">
        <f t="shared" ca="1" si="361"/>
        <v>96.876157102801571</v>
      </c>
      <c r="J788" s="306">
        <f t="shared" ca="1" si="362"/>
        <v>588.9746359926213</v>
      </c>
      <c r="K788" s="307">
        <f t="shared" ca="1" si="363"/>
        <v>-11.262224460124092</v>
      </c>
      <c r="L788" s="304">
        <f t="shared" ca="1" si="348"/>
        <v>589.08230285965215</v>
      </c>
      <c r="M788" s="306">
        <f t="shared" ca="1" si="364"/>
        <v>-1.5094044897549772</v>
      </c>
      <c r="N788" s="304">
        <f t="shared" ca="1" si="365"/>
        <v>-86.482506841057699</v>
      </c>
      <c r="P788" s="310">
        <f t="shared" ca="1" si="366"/>
        <v>23</v>
      </c>
      <c r="Q788" s="304">
        <f t="shared" ca="1" si="367"/>
        <v>0</v>
      </c>
      <c r="R788" s="306">
        <f t="shared" ca="1" si="368"/>
        <v>0</v>
      </c>
      <c r="S788" s="307">
        <f t="shared" ca="1" si="369"/>
        <v>2.5949999999999998</v>
      </c>
      <c r="T788" s="304">
        <f t="shared" ca="1" si="349"/>
        <v>25.456949999999999</v>
      </c>
      <c r="U788" s="311">
        <f t="shared" ca="1" si="350"/>
        <v>0</v>
      </c>
      <c r="V788" s="306">
        <f t="shared" ca="1" si="351"/>
        <v>1.2263803998149931</v>
      </c>
      <c r="W788" s="304">
        <f t="shared" ca="1" si="352"/>
        <v>23.568496362069308</v>
      </c>
      <c r="Y788" s="314" t="str">
        <f t="shared" ca="1" si="370"/>
        <v/>
      </c>
      <c r="Z788" s="315" t="str">
        <f t="shared" ca="1" si="371"/>
        <v/>
      </c>
      <c r="AA788" s="316" t="str">
        <f t="shared" ca="1" si="372"/>
        <v/>
      </c>
      <c r="AC788" s="310" t="e">
        <f t="shared" ca="1" si="373"/>
        <v>#N/A</v>
      </c>
      <c r="AD788" s="323" t="e">
        <f t="shared" ca="1" si="374"/>
        <v>#N/A</v>
      </c>
      <c r="AE788" s="324" t="e">
        <f t="shared" ca="1" si="353"/>
        <v>#N/A</v>
      </c>
      <c r="AG788" s="306">
        <f t="shared" ca="1" si="375"/>
        <v>0.70926857410052335</v>
      </c>
      <c r="AH788" s="304">
        <f t="shared" ca="1" si="376"/>
        <v>-9.0822501202413033</v>
      </c>
    </row>
    <row r="789" spans="1:34" x14ac:dyDescent="0.2">
      <c r="A789" s="347">
        <f t="shared" ca="1" si="354"/>
        <v>1E-4</v>
      </c>
      <c r="B789" s="304">
        <f t="shared" ca="1" si="355"/>
        <v>32.540200000001505</v>
      </c>
      <c r="D789" s="306">
        <f t="shared" ca="1" si="356"/>
        <v>-0.55722719333876958</v>
      </c>
      <c r="E789" s="307">
        <f t="shared" ca="1" si="357"/>
        <v>-0.74483777357618131</v>
      </c>
      <c r="F789" s="304">
        <f t="shared" ca="1" si="358"/>
        <v>0.93020721021830688</v>
      </c>
      <c r="G789" s="306">
        <f t="shared" ca="1" si="359"/>
        <v>5.9436143113950122</v>
      </c>
      <c r="H789" s="307">
        <f t="shared" ca="1" si="360"/>
        <v>-96.693727851163686</v>
      </c>
      <c r="I789" s="304">
        <f t="shared" ca="1" si="361"/>
        <v>96.876228027506968</v>
      </c>
      <c r="J789" s="306">
        <f t="shared" ca="1" si="362"/>
        <v>588.9746359926213</v>
      </c>
      <c r="K789" s="307">
        <f t="shared" ca="1" si="363"/>
        <v>-11.27189382918502</v>
      </c>
      <c r="L789" s="304">
        <f t="shared" ca="1" si="348"/>
        <v>589.08248780042436</v>
      </c>
      <c r="M789" s="306">
        <f t="shared" ca="1" si="364"/>
        <v>-1.5094051110381272</v>
      </c>
      <c r="N789" s="304">
        <f t="shared" ca="1" si="365"/>
        <v>-86.482542437960078</v>
      </c>
      <c r="P789" s="310">
        <f t="shared" ca="1" si="366"/>
        <v>23</v>
      </c>
      <c r="Q789" s="304">
        <f t="shared" ca="1" si="367"/>
        <v>0</v>
      </c>
      <c r="R789" s="306">
        <f t="shared" ca="1" si="368"/>
        <v>0</v>
      </c>
      <c r="S789" s="307">
        <f t="shared" ca="1" si="369"/>
        <v>2.5949999999999998</v>
      </c>
      <c r="T789" s="304">
        <f t="shared" ca="1" si="349"/>
        <v>25.456949999999999</v>
      </c>
      <c r="U789" s="311">
        <f t="shared" ca="1" si="350"/>
        <v>0</v>
      </c>
      <c r="V789" s="306">
        <f t="shared" ca="1" si="351"/>
        <v>1.2263815856484124</v>
      </c>
      <c r="W789" s="304">
        <f t="shared" ca="1" si="352"/>
        <v>23.568553661187842</v>
      </c>
      <c r="Y789" s="314" t="str">
        <f t="shared" ca="1" si="370"/>
        <v/>
      </c>
      <c r="Z789" s="315" t="str">
        <f t="shared" ca="1" si="371"/>
        <v/>
      </c>
      <c r="AA789" s="316" t="str">
        <f t="shared" ca="1" si="372"/>
        <v/>
      </c>
      <c r="AC789" s="310" t="e">
        <f t="shared" ca="1" si="373"/>
        <v>#N/A</v>
      </c>
      <c r="AD789" s="323" t="e">
        <f t="shared" ca="1" si="374"/>
        <v>#N/A</v>
      </c>
      <c r="AE789" s="324" t="e">
        <f t="shared" ca="1" si="353"/>
        <v>#N/A</v>
      </c>
      <c r="AG789" s="306">
        <f t="shared" ca="1" si="375"/>
        <v>0.70924686710020879</v>
      </c>
      <c r="AH789" s="304">
        <f t="shared" ca="1" si="376"/>
        <v>-9.0822722011827786</v>
      </c>
    </row>
    <row r="790" spans="1:34" x14ac:dyDescent="0.2">
      <c r="A790" s="347">
        <f t="shared" ca="1" si="354"/>
        <v>1E-4</v>
      </c>
      <c r="B790" s="304">
        <f t="shared" ca="1" si="355"/>
        <v>32.540300000001508</v>
      </c>
      <c r="D790" s="306">
        <f t="shared" ca="1" si="356"/>
        <v>-0.5572229160087605</v>
      </c>
      <c r="E790" s="307">
        <f t="shared" ca="1" si="357"/>
        <v>-0.74481538839337347</v>
      </c>
      <c r="F790" s="304">
        <f t="shared" ca="1" si="358"/>
        <v>0.93018672368126054</v>
      </c>
      <c r="G790" s="306">
        <f t="shared" ca="1" si="359"/>
        <v>5.9435585891034117</v>
      </c>
      <c r="H790" s="307">
        <f t="shared" ca="1" si="360"/>
        <v>-96.693802332702532</v>
      </c>
      <c r="I790" s="304">
        <f t="shared" ca="1" si="361"/>
        <v>96.876298950041729</v>
      </c>
      <c r="J790" s="306">
        <f t="shared" ca="1" si="362"/>
        <v>588.9746359926213</v>
      </c>
      <c r="K790" s="307">
        <f t="shared" ca="1" si="363"/>
        <v>-11.281563205694214</v>
      </c>
      <c r="L790" s="304">
        <f t="shared" ca="1" si="348"/>
        <v>589.08267289999696</v>
      </c>
      <c r="M790" s="306">
        <f t="shared" ca="1" si="364"/>
        <v>-1.5094057323145429</v>
      </c>
      <c r="N790" s="304">
        <f t="shared" ca="1" si="365"/>
        <v>-86.482578034476603</v>
      </c>
      <c r="P790" s="310">
        <f t="shared" ca="1" si="366"/>
        <v>23</v>
      </c>
      <c r="Q790" s="304">
        <f t="shared" ca="1" si="367"/>
        <v>0</v>
      </c>
      <c r="R790" s="306">
        <f t="shared" ca="1" si="368"/>
        <v>0</v>
      </c>
      <c r="S790" s="307">
        <f t="shared" ca="1" si="369"/>
        <v>2.5949999999999998</v>
      </c>
      <c r="T790" s="304">
        <f t="shared" ca="1" si="349"/>
        <v>25.456949999999999</v>
      </c>
      <c r="U790" s="311">
        <f t="shared" ca="1" si="350"/>
        <v>0</v>
      </c>
      <c r="V790" s="306">
        <f t="shared" ca="1" si="351"/>
        <v>1.2263827714838924</v>
      </c>
      <c r="W790" s="304">
        <f t="shared" ca="1" si="352"/>
        <v>23.568610959381814</v>
      </c>
      <c r="Y790" s="314" t="str">
        <f t="shared" ca="1" si="370"/>
        <v/>
      </c>
      <c r="Z790" s="315" t="str">
        <f t="shared" ca="1" si="371"/>
        <v/>
      </c>
      <c r="AA790" s="316" t="str">
        <f t="shared" ca="1" si="372"/>
        <v/>
      </c>
      <c r="AC790" s="310" t="e">
        <f t="shared" ca="1" si="373"/>
        <v>#N/A</v>
      </c>
      <c r="AD790" s="323" t="e">
        <f t="shared" ca="1" si="374"/>
        <v>#N/A</v>
      </c>
      <c r="AE790" s="324" t="e">
        <f t="shared" ca="1" si="353"/>
        <v>#N/A</v>
      </c>
      <c r="AG790" s="306">
        <f t="shared" ca="1" si="375"/>
        <v>0.70922516044836215</v>
      </c>
      <c r="AH790" s="304">
        <f t="shared" ca="1" si="376"/>
        <v>-9.0822942817679557</v>
      </c>
    </row>
    <row r="791" spans="1:34" x14ac:dyDescent="0.2">
      <c r="A791" s="347">
        <f t="shared" ca="1" si="354"/>
        <v>1E-4</v>
      </c>
      <c r="B791" s="304">
        <f t="shared" ca="1" si="355"/>
        <v>32.540400000001512</v>
      </c>
      <c r="D791" s="306">
        <f t="shared" ca="1" si="356"/>
        <v>-0.55721863869034127</v>
      </c>
      <c r="E791" s="307">
        <f t="shared" ca="1" si="357"/>
        <v>-0.74479300357174871</v>
      </c>
      <c r="F791" s="304">
        <f t="shared" ca="1" si="358"/>
        <v>0.93016623754753858</v>
      </c>
      <c r="G791" s="306">
        <f t="shared" ca="1" si="359"/>
        <v>5.9435028672395429</v>
      </c>
      <c r="H791" s="307">
        <f t="shared" ca="1" si="360"/>
        <v>-96.693876812002884</v>
      </c>
      <c r="I791" s="304">
        <f t="shared" ca="1" si="361"/>
        <v>96.876369870405824</v>
      </c>
      <c r="J791" s="306">
        <f t="shared" ca="1" si="362"/>
        <v>588.9746359926213</v>
      </c>
      <c r="K791" s="307">
        <f t="shared" ca="1" si="363"/>
        <v>-11.291232589651448</v>
      </c>
      <c r="L791" s="304">
        <f t="shared" ca="1" si="348"/>
        <v>589.08285815837007</v>
      </c>
      <c r="M791" s="306">
        <f t="shared" ca="1" si="364"/>
        <v>-1.5094063535842244</v>
      </c>
      <c r="N791" s="304">
        <f t="shared" ca="1" si="365"/>
        <v>-86.48261363060729</v>
      </c>
      <c r="P791" s="310">
        <f t="shared" ca="1" si="366"/>
        <v>23</v>
      </c>
      <c r="Q791" s="304">
        <f t="shared" ca="1" si="367"/>
        <v>0</v>
      </c>
      <c r="R791" s="306">
        <f t="shared" ca="1" si="368"/>
        <v>0</v>
      </c>
      <c r="S791" s="307">
        <f t="shared" ca="1" si="369"/>
        <v>2.5949999999999998</v>
      </c>
      <c r="T791" s="304">
        <f t="shared" ca="1" si="349"/>
        <v>25.456949999999999</v>
      </c>
      <c r="U791" s="311">
        <f t="shared" ca="1" si="350"/>
        <v>0</v>
      </c>
      <c r="V791" s="306">
        <f t="shared" ca="1" si="351"/>
        <v>1.2263839573214328</v>
      </c>
      <c r="W791" s="304">
        <f t="shared" ca="1" si="352"/>
        <v>23.568668256651193</v>
      </c>
      <c r="Y791" s="314" t="str">
        <f t="shared" ca="1" si="370"/>
        <v/>
      </c>
      <c r="Z791" s="315" t="str">
        <f t="shared" ca="1" si="371"/>
        <v/>
      </c>
      <c r="AA791" s="316" t="str">
        <f t="shared" ca="1" si="372"/>
        <v/>
      </c>
      <c r="AC791" s="310" t="e">
        <f t="shared" ca="1" si="373"/>
        <v>#N/A</v>
      </c>
      <c r="AD791" s="323" t="e">
        <f t="shared" ca="1" si="374"/>
        <v>#N/A</v>
      </c>
      <c r="AE791" s="324" t="e">
        <f t="shared" ca="1" si="353"/>
        <v>#N/A</v>
      </c>
      <c r="AG791" s="306">
        <f t="shared" ca="1" si="375"/>
        <v>0.70920345414496744</v>
      </c>
      <c r="AH791" s="304">
        <f t="shared" ca="1" si="376"/>
        <v>-9.0823163619968472</v>
      </c>
    </row>
    <row r="792" spans="1:34" x14ac:dyDescent="0.2">
      <c r="A792" s="347">
        <f t="shared" ca="1" si="354"/>
        <v>1E-4</v>
      </c>
      <c r="B792" s="304">
        <f t="shared" ca="1" si="355"/>
        <v>32.540500000001515</v>
      </c>
      <c r="D792" s="306">
        <f t="shared" ca="1" si="356"/>
        <v>-0.55721436138350988</v>
      </c>
      <c r="E792" s="307">
        <f t="shared" ca="1" si="357"/>
        <v>-0.74477061911132125</v>
      </c>
      <c r="F792" s="304">
        <f t="shared" ca="1" si="358"/>
        <v>0.9301457518171512</v>
      </c>
      <c r="G792" s="306">
        <f t="shared" ca="1" si="359"/>
        <v>5.9434471458034048</v>
      </c>
      <c r="H792" s="307">
        <f t="shared" ca="1" si="360"/>
        <v>-96.693951289064799</v>
      </c>
      <c r="I792" s="304">
        <f t="shared" ca="1" si="361"/>
        <v>96.876440788599339</v>
      </c>
      <c r="J792" s="306">
        <f t="shared" ca="1" si="362"/>
        <v>588.9746359926213</v>
      </c>
      <c r="K792" s="307">
        <f t="shared" ca="1" si="363"/>
        <v>-11.300901981056501</v>
      </c>
      <c r="L792" s="304">
        <f t="shared" ca="1" si="348"/>
        <v>589.08304357554391</v>
      </c>
      <c r="M792" s="306">
        <f t="shared" ca="1" si="364"/>
        <v>-1.5094069748471717</v>
      </c>
      <c r="N792" s="304">
        <f t="shared" ca="1" si="365"/>
        <v>-86.482649226352137</v>
      </c>
      <c r="P792" s="310">
        <f t="shared" ca="1" si="366"/>
        <v>23</v>
      </c>
      <c r="Q792" s="304">
        <f t="shared" ca="1" si="367"/>
        <v>0</v>
      </c>
      <c r="R792" s="306">
        <f t="shared" ca="1" si="368"/>
        <v>0</v>
      </c>
      <c r="S792" s="307">
        <f t="shared" ca="1" si="369"/>
        <v>2.5949999999999998</v>
      </c>
      <c r="T792" s="304">
        <f t="shared" ca="1" si="349"/>
        <v>25.456949999999999</v>
      </c>
      <c r="U792" s="311">
        <f t="shared" ca="1" si="350"/>
        <v>0</v>
      </c>
      <c r="V792" s="306">
        <f t="shared" ca="1" si="351"/>
        <v>1.226385143161034</v>
      </c>
      <c r="W792" s="304">
        <f t="shared" ca="1" si="352"/>
        <v>23.568725552996028</v>
      </c>
      <c r="Y792" s="314" t="str">
        <f t="shared" ca="1" si="370"/>
        <v/>
      </c>
      <c r="Z792" s="315" t="str">
        <f t="shared" ca="1" si="371"/>
        <v/>
      </c>
      <c r="AA792" s="316" t="str">
        <f t="shared" ca="1" si="372"/>
        <v/>
      </c>
      <c r="AC792" s="310" t="e">
        <f t="shared" ca="1" si="373"/>
        <v>#N/A</v>
      </c>
      <c r="AD792" s="323" t="e">
        <f t="shared" ca="1" si="374"/>
        <v>#N/A</v>
      </c>
      <c r="AE792" s="324" t="e">
        <f t="shared" ca="1" si="353"/>
        <v>#N/A</v>
      </c>
      <c r="AG792" s="306">
        <f t="shared" ca="1" si="375"/>
        <v>0.70918174819003887</v>
      </c>
      <c r="AH792" s="304">
        <f t="shared" ca="1" si="376"/>
        <v>-9.0823384418694388</v>
      </c>
    </row>
    <row r="793" spans="1:34" x14ac:dyDescent="0.2">
      <c r="A793" s="347">
        <f t="shared" ca="1" si="354"/>
        <v>1E-4</v>
      </c>
      <c r="B793" s="304">
        <f t="shared" ca="1" si="355"/>
        <v>32.540600000001518</v>
      </c>
      <c r="D793" s="306">
        <f t="shared" ca="1" si="356"/>
        <v>-0.55721008408826922</v>
      </c>
      <c r="E793" s="307">
        <f t="shared" ca="1" si="357"/>
        <v>-0.74474823501206622</v>
      </c>
      <c r="F793" s="304">
        <f t="shared" ca="1" si="358"/>
        <v>0.93012526649008076</v>
      </c>
      <c r="G793" s="306">
        <f t="shared" ca="1" si="359"/>
        <v>5.9433914247949957</v>
      </c>
      <c r="H793" s="307">
        <f t="shared" ca="1" si="360"/>
        <v>-96.694025763888305</v>
      </c>
      <c r="I793" s="304">
        <f t="shared" ca="1" si="361"/>
        <v>96.876511704622303</v>
      </c>
      <c r="J793" s="306">
        <f t="shared" ca="1" si="362"/>
        <v>588.9746359926213</v>
      </c>
      <c r="K793" s="307">
        <f t="shared" ca="1" si="363"/>
        <v>-11.310571379909149</v>
      </c>
      <c r="L793" s="304">
        <f t="shared" ca="1" si="348"/>
        <v>589.08322915151871</v>
      </c>
      <c r="M793" s="306">
        <f t="shared" ca="1" si="364"/>
        <v>-1.509407596103385</v>
      </c>
      <c r="N793" s="304">
        <f t="shared" ca="1" si="365"/>
        <v>-86.48268482171116</v>
      </c>
      <c r="P793" s="310">
        <f t="shared" ca="1" si="366"/>
        <v>23</v>
      </c>
      <c r="Q793" s="304">
        <f t="shared" ca="1" si="367"/>
        <v>0</v>
      </c>
      <c r="R793" s="306">
        <f t="shared" ca="1" si="368"/>
        <v>0</v>
      </c>
      <c r="S793" s="307">
        <f t="shared" ca="1" si="369"/>
        <v>2.5949999999999998</v>
      </c>
      <c r="T793" s="304">
        <f t="shared" ca="1" si="349"/>
        <v>25.456949999999999</v>
      </c>
      <c r="U793" s="311">
        <f t="shared" ca="1" si="350"/>
        <v>0</v>
      </c>
      <c r="V793" s="306">
        <f t="shared" ca="1" si="351"/>
        <v>1.226386329002696</v>
      </c>
      <c r="W793" s="304">
        <f t="shared" ca="1" si="352"/>
        <v>23.56878284841633</v>
      </c>
      <c r="Y793" s="314" t="str">
        <f t="shared" ca="1" si="370"/>
        <v/>
      </c>
      <c r="Z793" s="315" t="str">
        <f t="shared" ca="1" si="371"/>
        <v/>
      </c>
      <c r="AA793" s="316" t="str">
        <f t="shared" ca="1" si="372"/>
        <v/>
      </c>
      <c r="AC793" s="310" t="e">
        <f t="shared" ca="1" si="373"/>
        <v>#N/A</v>
      </c>
      <c r="AD793" s="323" t="e">
        <f t="shared" ca="1" si="374"/>
        <v>#N/A</v>
      </c>
      <c r="AE793" s="324" t="e">
        <f t="shared" ca="1" si="353"/>
        <v>#N/A</v>
      </c>
      <c r="AG793" s="306">
        <f t="shared" ca="1" si="375"/>
        <v>0.70916004258355692</v>
      </c>
      <c r="AH793" s="304">
        <f t="shared" ca="1" si="376"/>
        <v>-9.0823605213857537</v>
      </c>
    </row>
    <row r="794" spans="1:34" x14ac:dyDescent="0.2">
      <c r="A794" s="347">
        <f t="shared" ca="1" si="354"/>
        <v>1E-4</v>
      </c>
      <c r="B794" s="304">
        <f t="shared" ca="1" si="355"/>
        <v>32.540700000001522</v>
      </c>
      <c r="D794" s="306">
        <f t="shared" ca="1" si="356"/>
        <v>-0.55720580680461829</v>
      </c>
      <c r="E794" s="307">
        <f t="shared" ca="1" si="357"/>
        <v>-0.74472585127398538</v>
      </c>
      <c r="F794" s="304">
        <f t="shared" ca="1" si="358"/>
        <v>0.93010478156632859</v>
      </c>
      <c r="G794" s="306">
        <f t="shared" ca="1" si="359"/>
        <v>5.9433357042143156</v>
      </c>
      <c r="H794" s="307">
        <f t="shared" ca="1" si="360"/>
        <v>-96.694100236473432</v>
      </c>
      <c r="I794" s="304">
        <f t="shared" ca="1" si="361"/>
        <v>96.876582618474728</v>
      </c>
      <c r="J794" s="306">
        <f t="shared" ca="1" si="362"/>
        <v>588.9746359926213</v>
      </c>
      <c r="K794" s="307">
        <f t="shared" ca="1" si="363"/>
        <v>-11.320240786209167</v>
      </c>
      <c r="L794" s="304">
        <f t="shared" ca="1" si="348"/>
        <v>589.0834148862948</v>
      </c>
      <c r="M794" s="306">
        <f t="shared" ca="1" si="364"/>
        <v>-1.5094082173528645</v>
      </c>
      <c r="N794" s="304">
        <f t="shared" ca="1" si="365"/>
        <v>-86.482720416684359</v>
      </c>
      <c r="P794" s="310">
        <f t="shared" ca="1" si="366"/>
        <v>23</v>
      </c>
      <c r="Q794" s="304">
        <f t="shared" ca="1" si="367"/>
        <v>0</v>
      </c>
      <c r="R794" s="306">
        <f t="shared" ca="1" si="368"/>
        <v>0</v>
      </c>
      <c r="S794" s="307">
        <f t="shared" ca="1" si="369"/>
        <v>2.5949999999999998</v>
      </c>
      <c r="T794" s="304">
        <f t="shared" ca="1" si="349"/>
        <v>25.456949999999999</v>
      </c>
      <c r="U794" s="311">
        <f t="shared" ca="1" si="350"/>
        <v>0</v>
      </c>
      <c r="V794" s="306">
        <f t="shared" ca="1" si="351"/>
        <v>1.2263875148464185</v>
      </c>
      <c r="W794" s="304">
        <f t="shared" ca="1" si="352"/>
        <v>23.568840142912087</v>
      </c>
      <c r="Y794" s="314" t="str">
        <f t="shared" ca="1" si="370"/>
        <v/>
      </c>
      <c r="Z794" s="315" t="str">
        <f t="shared" ca="1" si="371"/>
        <v/>
      </c>
      <c r="AA794" s="316" t="str">
        <f t="shared" ca="1" si="372"/>
        <v/>
      </c>
      <c r="AC794" s="310" t="e">
        <f t="shared" ca="1" si="373"/>
        <v>#N/A</v>
      </c>
      <c r="AD794" s="323" t="e">
        <f t="shared" ca="1" si="374"/>
        <v>#N/A</v>
      </c>
      <c r="AE794" s="324" t="e">
        <f t="shared" ca="1" si="353"/>
        <v>#N/A</v>
      </c>
      <c r="AG794" s="306">
        <f t="shared" ca="1" si="375"/>
        <v>0.70913833732551623</v>
      </c>
      <c r="AH794" s="304">
        <f t="shared" ca="1" si="376"/>
        <v>-9.0823826005457935</v>
      </c>
    </row>
    <row r="795" spans="1:34" x14ac:dyDescent="0.2">
      <c r="A795" s="347">
        <f t="shared" ca="1" si="354"/>
        <v>1E-4</v>
      </c>
      <c r="B795" s="304">
        <f t="shared" ca="1" si="355"/>
        <v>32.540800000001525</v>
      </c>
      <c r="D795" s="306">
        <f t="shared" ca="1" si="356"/>
        <v>-0.55720152953255797</v>
      </c>
      <c r="E795" s="307">
        <f t="shared" ca="1" si="357"/>
        <v>-0.74470346789708053</v>
      </c>
      <c r="F795" s="304">
        <f t="shared" ca="1" si="358"/>
        <v>0.93008429704589679</v>
      </c>
      <c r="G795" s="306">
        <f t="shared" ca="1" si="359"/>
        <v>5.9432799840613626</v>
      </c>
      <c r="H795" s="307">
        <f t="shared" ca="1" si="360"/>
        <v>-96.69417470682022</v>
      </c>
      <c r="I795" s="304">
        <f t="shared" ca="1" si="361"/>
        <v>96.876653530156659</v>
      </c>
      <c r="J795" s="306">
        <f t="shared" ca="1" si="362"/>
        <v>588.9746359926213</v>
      </c>
      <c r="K795" s="307">
        <f t="shared" ca="1" si="363"/>
        <v>-11.329910199956332</v>
      </c>
      <c r="L795" s="304">
        <f t="shared" ca="1" si="348"/>
        <v>589.0836007798722</v>
      </c>
      <c r="M795" s="306">
        <f t="shared" ca="1" si="364"/>
        <v>-1.5094088385956099</v>
      </c>
      <c r="N795" s="304">
        <f t="shared" ca="1" si="365"/>
        <v>-86.482756011271732</v>
      </c>
      <c r="P795" s="310">
        <f t="shared" ca="1" si="366"/>
        <v>23</v>
      </c>
      <c r="Q795" s="304">
        <f t="shared" ca="1" si="367"/>
        <v>0</v>
      </c>
      <c r="R795" s="306">
        <f t="shared" ca="1" si="368"/>
        <v>0</v>
      </c>
      <c r="S795" s="307">
        <f t="shared" ca="1" si="369"/>
        <v>2.5949999999999998</v>
      </c>
      <c r="T795" s="304">
        <f t="shared" ca="1" si="349"/>
        <v>25.456949999999999</v>
      </c>
      <c r="U795" s="311">
        <f t="shared" ca="1" si="350"/>
        <v>0</v>
      </c>
      <c r="V795" s="306">
        <f t="shared" ca="1" si="351"/>
        <v>1.2263887006922014</v>
      </c>
      <c r="W795" s="304">
        <f t="shared" ca="1" si="352"/>
        <v>23.568897436483326</v>
      </c>
      <c r="Y795" s="314" t="str">
        <f t="shared" ca="1" si="370"/>
        <v/>
      </c>
      <c r="Z795" s="315" t="str">
        <f t="shared" ca="1" si="371"/>
        <v/>
      </c>
      <c r="AA795" s="316" t="str">
        <f t="shared" ca="1" si="372"/>
        <v/>
      </c>
      <c r="AC795" s="310" t="e">
        <f t="shared" ca="1" si="373"/>
        <v>#N/A</v>
      </c>
      <c r="AD795" s="323" t="e">
        <f t="shared" ca="1" si="374"/>
        <v>#N/A</v>
      </c>
      <c r="AE795" s="324" t="e">
        <f t="shared" ca="1" si="353"/>
        <v>#N/A</v>
      </c>
      <c r="AG795" s="306">
        <f t="shared" ca="1" si="375"/>
        <v>0.70911663241592571</v>
      </c>
      <c r="AH795" s="304">
        <f t="shared" ca="1" si="376"/>
        <v>-9.082404679349553</v>
      </c>
    </row>
    <row r="796" spans="1:34" x14ac:dyDescent="0.2">
      <c r="A796" s="347">
        <f t="shared" ca="1" si="354"/>
        <v>1E-4</v>
      </c>
      <c r="B796" s="304">
        <f t="shared" ca="1" si="355"/>
        <v>32.540900000001528</v>
      </c>
      <c r="D796" s="306">
        <f t="shared" ca="1" si="356"/>
        <v>-0.55719725227208994</v>
      </c>
      <c r="E796" s="307">
        <f t="shared" ca="1" si="357"/>
        <v>-0.74468108488134099</v>
      </c>
      <c r="F796" s="304">
        <f t="shared" ca="1" si="358"/>
        <v>0.9300638129287786</v>
      </c>
      <c r="G796" s="306">
        <f t="shared" ca="1" si="359"/>
        <v>5.943224264336135</v>
      </c>
      <c r="H796" s="307">
        <f t="shared" ca="1" si="360"/>
        <v>-96.694249174928714</v>
      </c>
      <c r="I796" s="304">
        <f t="shared" ca="1" si="361"/>
        <v>96.876724439668138</v>
      </c>
      <c r="J796" s="306">
        <f t="shared" ca="1" si="362"/>
        <v>588.9746359926213</v>
      </c>
      <c r="K796" s="307">
        <f t="shared" ca="1" si="363"/>
        <v>-11.339579621150421</v>
      </c>
      <c r="L796" s="304">
        <f t="shared" ca="1" si="348"/>
        <v>589.08378683225112</v>
      </c>
      <c r="M796" s="306">
        <f t="shared" ca="1" si="364"/>
        <v>-1.5094094598316219</v>
      </c>
      <c r="N796" s="304">
        <f t="shared" ca="1" si="365"/>
        <v>-86.482791605473295</v>
      </c>
      <c r="P796" s="310">
        <f t="shared" ca="1" si="366"/>
        <v>23</v>
      </c>
      <c r="Q796" s="304">
        <f t="shared" ca="1" si="367"/>
        <v>0</v>
      </c>
      <c r="R796" s="306">
        <f t="shared" ca="1" si="368"/>
        <v>0</v>
      </c>
      <c r="S796" s="307">
        <f t="shared" ca="1" si="369"/>
        <v>2.5949999999999998</v>
      </c>
      <c r="T796" s="304">
        <f t="shared" ca="1" si="349"/>
        <v>25.456949999999999</v>
      </c>
      <c r="U796" s="311">
        <f t="shared" ca="1" si="350"/>
        <v>0</v>
      </c>
      <c r="V796" s="306">
        <f t="shared" ca="1" si="351"/>
        <v>1.2263898865400453</v>
      </c>
      <c r="W796" s="304">
        <f t="shared" ca="1" si="352"/>
        <v>23.568954729130056</v>
      </c>
      <c r="Y796" s="314" t="str">
        <f t="shared" ca="1" si="370"/>
        <v/>
      </c>
      <c r="Z796" s="315" t="str">
        <f t="shared" ca="1" si="371"/>
        <v/>
      </c>
      <c r="AA796" s="316" t="str">
        <f t="shared" ca="1" si="372"/>
        <v/>
      </c>
      <c r="AC796" s="310" t="e">
        <f t="shared" ca="1" si="373"/>
        <v>#N/A</v>
      </c>
      <c r="AD796" s="323" t="e">
        <f t="shared" ca="1" si="374"/>
        <v>#N/A</v>
      </c>
      <c r="AE796" s="324" t="e">
        <f t="shared" ca="1" si="353"/>
        <v>#N/A</v>
      </c>
      <c r="AG796" s="306">
        <f t="shared" ca="1" si="375"/>
        <v>0.70909492785477291</v>
      </c>
      <c r="AH796" s="304">
        <f t="shared" ca="1" si="376"/>
        <v>-9.0824267577970428</v>
      </c>
    </row>
    <row r="797" spans="1:34" x14ac:dyDescent="0.2">
      <c r="A797" s="347">
        <f t="shared" ca="1" si="354"/>
        <v>1E-4</v>
      </c>
      <c r="B797" s="304">
        <f t="shared" ca="1" si="355"/>
        <v>32.541000000001532</v>
      </c>
      <c r="D797" s="306">
        <f t="shared" ca="1" si="356"/>
        <v>-0.55719297502321175</v>
      </c>
      <c r="E797" s="307">
        <f t="shared" ca="1" si="357"/>
        <v>-0.744658702226765</v>
      </c>
      <c r="F797" s="304">
        <f t="shared" ca="1" si="358"/>
        <v>0.93004332921497113</v>
      </c>
      <c r="G797" s="306">
        <f t="shared" ca="1" si="359"/>
        <v>5.9431685450386329</v>
      </c>
      <c r="H797" s="307">
        <f t="shared" ca="1" si="360"/>
        <v>-96.694323640798942</v>
      </c>
      <c r="I797" s="304">
        <f t="shared" ca="1" si="361"/>
        <v>96.876795347009221</v>
      </c>
      <c r="J797" s="306">
        <f t="shared" ca="1" si="362"/>
        <v>588.9746359926213</v>
      </c>
      <c r="K797" s="307">
        <f t="shared" ca="1" si="363"/>
        <v>-11.349249049791206</v>
      </c>
      <c r="L797" s="304">
        <f t="shared" ca="1" si="348"/>
        <v>589.08397304343202</v>
      </c>
      <c r="M797" s="306">
        <f t="shared" ca="1" si="364"/>
        <v>-1.5094100810608999</v>
      </c>
      <c r="N797" s="304">
        <f t="shared" ca="1" si="365"/>
        <v>-86.482827199289034</v>
      </c>
      <c r="P797" s="310">
        <f t="shared" ca="1" si="366"/>
        <v>23</v>
      </c>
      <c r="Q797" s="304">
        <f t="shared" ca="1" si="367"/>
        <v>0</v>
      </c>
      <c r="R797" s="306">
        <f t="shared" ca="1" si="368"/>
        <v>0</v>
      </c>
      <c r="S797" s="307">
        <f t="shared" ca="1" si="369"/>
        <v>2.5949999999999998</v>
      </c>
      <c r="T797" s="304">
        <f t="shared" ca="1" si="349"/>
        <v>25.456949999999999</v>
      </c>
      <c r="U797" s="311">
        <f t="shared" ca="1" si="350"/>
        <v>0</v>
      </c>
      <c r="V797" s="306">
        <f t="shared" ca="1" si="351"/>
        <v>1.2263910723899496</v>
      </c>
      <c r="W797" s="304">
        <f t="shared" ca="1" si="352"/>
        <v>23.569012020852302</v>
      </c>
      <c r="Y797" s="314" t="str">
        <f t="shared" ca="1" si="370"/>
        <v/>
      </c>
      <c r="Z797" s="315" t="str">
        <f t="shared" ca="1" si="371"/>
        <v/>
      </c>
      <c r="AA797" s="316" t="str">
        <f t="shared" ca="1" si="372"/>
        <v/>
      </c>
      <c r="AC797" s="310" t="e">
        <f t="shared" ca="1" si="373"/>
        <v>#N/A</v>
      </c>
      <c r="AD797" s="323" t="e">
        <f t="shared" ca="1" si="374"/>
        <v>#N/A</v>
      </c>
      <c r="AE797" s="324" t="e">
        <f t="shared" ca="1" si="353"/>
        <v>#N/A</v>
      </c>
      <c r="AG797" s="306">
        <f t="shared" ca="1" si="375"/>
        <v>0.70907322364205072</v>
      </c>
      <c r="AH797" s="304">
        <f t="shared" ca="1" si="376"/>
        <v>-9.0824488358882682</v>
      </c>
    </row>
    <row r="798" spans="1:34" x14ac:dyDescent="0.2">
      <c r="A798" s="347">
        <f t="shared" ca="1" si="354"/>
        <v>1E-4</v>
      </c>
      <c r="B798" s="304">
        <f t="shared" ca="1" si="355"/>
        <v>32.541100000001535</v>
      </c>
      <c r="D798" s="306">
        <f t="shared" ca="1" si="356"/>
        <v>-0.55718869778592894</v>
      </c>
      <c r="E798" s="307">
        <f t="shared" ca="1" si="357"/>
        <v>-0.74463631993334012</v>
      </c>
      <c r="F798" s="304">
        <f t="shared" ca="1" si="358"/>
        <v>0.9300228459044686</v>
      </c>
      <c r="G798" s="306">
        <f t="shared" ca="1" si="359"/>
        <v>5.9431128261688544</v>
      </c>
      <c r="H798" s="307">
        <f t="shared" ca="1" si="360"/>
        <v>-96.694398104430931</v>
      </c>
      <c r="I798" s="304">
        <f t="shared" ca="1" si="361"/>
        <v>96.87686625217988</v>
      </c>
      <c r="J798" s="306">
        <f t="shared" ca="1" si="362"/>
        <v>588.9746359926213</v>
      </c>
      <c r="K798" s="307">
        <f t="shared" ca="1" si="363"/>
        <v>-11.358918485878467</v>
      </c>
      <c r="L798" s="304">
        <f t="shared" ca="1" si="348"/>
        <v>589.0841594134148</v>
      </c>
      <c r="M798" s="306">
        <f t="shared" ca="1" si="364"/>
        <v>-1.5094107022834446</v>
      </c>
      <c r="N798" s="304">
        <f t="shared" ca="1" si="365"/>
        <v>-86.48286279271899</v>
      </c>
      <c r="P798" s="310">
        <f t="shared" ca="1" si="366"/>
        <v>23</v>
      </c>
      <c r="Q798" s="304">
        <f t="shared" ca="1" si="367"/>
        <v>0</v>
      </c>
      <c r="R798" s="306">
        <f t="shared" ca="1" si="368"/>
        <v>0</v>
      </c>
      <c r="S798" s="307">
        <f t="shared" ca="1" si="369"/>
        <v>2.5949999999999998</v>
      </c>
      <c r="T798" s="304">
        <f t="shared" ca="1" si="349"/>
        <v>25.456949999999999</v>
      </c>
      <c r="U798" s="311">
        <f t="shared" ca="1" si="350"/>
        <v>0</v>
      </c>
      <c r="V798" s="306">
        <f t="shared" ca="1" si="351"/>
        <v>1.2263922582419142</v>
      </c>
      <c r="W798" s="304">
        <f t="shared" ca="1" si="352"/>
        <v>23.56906931165004</v>
      </c>
      <c r="Y798" s="314" t="str">
        <f t="shared" ca="1" si="370"/>
        <v/>
      </c>
      <c r="Z798" s="315" t="str">
        <f t="shared" ca="1" si="371"/>
        <v/>
      </c>
      <c r="AA798" s="316" t="str">
        <f t="shared" ca="1" si="372"/>
        <v/>
      </c>
      <c r="AC798" s="310" t="e">
        <f t="shared" ca="1" si="373"/>
        <v>#N/A</v>
      </c>
      <c r="AD798" s="323" t="e">
        <f t="shared" ca="1" si="374"/>
        <v>#N/A</v>
      </c>
      <c r="AE798" s="324" t="e">
        <f t="shared" ca="1" si="353"/>
        <v>#N/A</v>
      </c>
      <c r="AG798" s="306">
        <f t="shared" ca="1" si="375"/>
        <v>0.7090515197777556</v>
      </c>
      <c r="AH798" s="304">
        <f t="shared" ca="1" si="376"/>
        <v>-9.0824709136232382</v>
      </c>
    </row>
    <row r="799" spans="1:34" x14ac:dyDescent="0.2">
      <c r="A799" s="347">
        <f t="shared" ca="1" si="354"/>
        <v>1E-4</v>
      </c>
      <c r="B799" s="304">
        <f t="shared" ca="1" si="355"/>
        <v>32.541200000001538</v>
      </c>
      <c r="D799" s="306">
        <f t="shared" ca="1" si="356"/>
        <v>-0.55718442056023609</v>
      </c>
      <c r="E799" s="307">
        <f t="shared" ca="1" si="357"/>
        <v>-0.74461393800107523</v>
      </c>
      <c r="F799" s="304">
        <f t="shared" ca="1" si="358"/>
        <v>0.9300023629972749</v>
      </c>
      <c r="G799" s="306">
        <f t="shared" ca="1" si="359"/>
        <v>5.9430571077267986</v>
      </c>
      <c r="H799" s="307">
        <f t="shared" ca="1" si="360"/>
        <v>-96.694472565824725</v>
      </c>
      <c r="I799" s="304">
        <f t="shared" ca="1" si="361"/>
        <v>96.876937155180187</v>
      </c>
      <c r="J799" s="306">
        <f t="shared" ca="1" si="362"/>
        <v>588.9746359926213</v>
      </c>
      <c r="K799" s="307">
        <f t="shared" ca="1" si="363"/>
        <v>-11.36858792941198</v>
      </c>
      <c r="L799" s="304">
        <f t="shared" ca="1" si="348"/>
        <v>589.0843459422</v>
      </c>
      <c r="M799" s="306">
        <f t="shared" ca="1" si="364"/>
        <v>-1.5094113234992557</v>
      </c>
      <c r="N799" s="304">
        <f t="shared" ca="1" si="365"/>
        <v>-86.482898385763121</v>
      </c>
      <c r="P799" s="310">
        <f t="shared" ca="1" si="366"/>
        <v>23</v>
      </c>
      <c r="Q799" s="304">
        <f t="shared" ca="1" si="367"/>
        <v>0</v>
      </c>
      <c r="R799" s="306">
        <f t="shared" ca="1" si="368"/>
        <v>0</v>
      </c>
      <c r="S799" s="307">
        <f t="shared" ca="1" si="369"/>
        <v>2.5949999999999998</v>
      </c>
      <c r="T799" s="304">
        <f t="shared" ca="1" si="349"/>
        <v>25.456949999999999</v>
      </c>
      <c r="U799" s="311">
        <f t="shared" ca="1" si="350"/>
        <v>0</v>
      </c>
      <c r="V799" s="306">
        <f t="shared" ca="1" si="351"/>
        <v>1.2263934440959396</v>
      </c>
      <c r="W799" s="304">
        <f t="shared" ca="1" si="352"/>
        <v>23.569126601523312</v>
      </c>
      <c r="Y799" s="314" t="str">
        <f t="shared" ca="1" si="370"/>
        <v/>
      </c>
      <c r="Z799" s="315" t="str">
        <f t="shared" ca="1" si="371"/>
        <v/>
      </c>
      <c r="AA799" s="316" t="str">
        <f t="shared" ca="1" si="372"/>
        <v/>
      </c>
      <c r="AC799" s="310" t="e">
        <f t="shared" ca="1" si="373"/>
        <v>#N/A</v>
      </c>
      <c r="AD799" s="323" t="e">
        <f t="shared" ca="1" si="374"/>
        <v>#N/A</v>
      </c>
      <c r="AE799" s="324" t="e">
        <f t="shared" ca="1" si="353"/>
        <v>#N/A</v>
      </c>
      <c r="AG799" s="306">
        <f t="shared" ca="1" si="375"/>
        <v>0.70902981626189288</v>
      </c>
      <c r="AH799" s="304">
        <f t="shared" ca="1" si="376"/>
        <v>-9.0824929910019438</v>
      </c>
    </row>
    <row r="800" spans="1:34" x14ac:dyDescent="0.2">
      <c r="A800" s="347">
        <f t="shared" ca="1" si="354"/>
        <v>1E-4</v>
      </c>
      <c r="B800" s="304">
        <f t="shared" ca="1" si="355"/>
        <v>32.541300000001542</v>
      </c>
      <c r="D800" s="306">
        <f t="shared" ca="1" si="356"/>
        <v>-0.55718014334613919</v>
      </c>
      <c r="E800" s="307">
        <f t="shared" ca="1" si="357"/>
        <v>-0.74459155642995611</v>
      </c>
      <c r="F800" s="304">
        <f t="shared" ca="1" si="358"/>
        <v>0.92998188049338293</v>
      </c>
      <c r="G800" s="306">
        <f t="shared" ca="1" si="359"/>
        <v>5.9430013897124638</v>
      </c>
      <c r="H800" s="307">
        <f t="shared" ca="1" si="360"/>
        <v>-96.694547024980366</v>
      </c>
      <c r="I800" s="304">
        <f t="shared" ca="1" si="361"/>
        <v>96.877008056010197</v>
      </c>
      <c r="J800" s="306">
        <f t="shared" ca="1" si="362"/>
        <v>588.9746359926213</v>
      </c>
      <c r="K800" s="307">
        <f t="shared" ca="1" si="363"/>
        <v>-11.378257380391521</v>
      </c>
      <c r="L800" s="304">
        <f t="shared" ca="1" si="348"/>
        <v>589.08453262978753</v>
      </c>
      <c r="M800" s="306">
        <f t="shared" ca="1" si="364"/>
        <v>-1.5094119447083334</v>
      </c>
      <c r="N800" s="304">
        <f t="shared" ca="1" si="365"/>
        <v>-86.482933978421471</v>
      </c>
      <c r="P800" s="310">
        <f t="shared" ca="1" si="366"/>
        <v>23</v>
      </c>
      <c r="Q800" s="304">
        <f t="shared" ca="1" si="367"/>
        <v>0</v>
      </c>
      <c r="R800" s="306">
        <f t="shared" ca="1" si="368"/>
        <v>0</v>
      </c>
      <c r="S800" s="307">
        <f t="shared" ca="1" si="369"/>
        <v>2.5949999999999998</v>
      </c>
      <c r="T800" s="304">
        <f t="shared" ca="1" si="349"/>
        <v>25.456949999999999</v>
      </c>
      <c r="U800" s="311">
        <f t="shared" ca="1" si="350"/>
        <v>0</v>
      </c>
      <c r="V800" s="306">
        <f t="shared" ca="1" si="351"/>
        <v>1.2263946299520252</v>
      </c>
      <c r="W800" s="304">
        <f t="shared" ca="1" si="352"/>
        <v>23.569183890472114</v>
      </c>
      <c r="Y800" s="314" t="str">
        <f t="shared" ca="1" si="370"/>
        <v/>
      </c>
      <c r="Z800" s="315" t="str">
        <f t="shared" ca="1" si="371"/>
        <v/>
      </c>
      <c r="AA800" s="316" t="str">
        <f t="shared" ca="1" si="372"/>
        <v/>
      </c>
      <c r="AC800" s="310" t="e">
        <f t="shared" ca="1" si="373"/>
        <v>#N/A</v>
      </c>
      <c r="AD800" s="323" t="e">
        <f t="shared" ca="1" si="374"/>
        <v>#N/A</v>
      </c>
      <c r="AE800" s="324" t="e">
        <f t="shared" ca="1" si="353"/>
        <v>#N/A</v>
      </c>
      <c r="AG800" s="306">
        <f t="shared" ca="1" si="375"/>
        <v>0.70900811309444833</v>
      </c>
      <c r="AH800" s="304">
        <f t="shared" ca="1" si="376"/>
        <v>-9.0825150680243993</v>
      </c>
    </row>
    <row r="801" spans="1:34" x14ac:dyDescent="0.2">
      <c r="A801" s="347">
        <f t="shared" ca="1" si="354"/>
        <v>1E-4</v>
      </c>
      <c r="B801" s="304">
        <f t="shared" ca="1" si="355"/>
        <v>32.541400000001545</v>
      </c>
      <c r="D801" s="306">
        <f t="shared" ca="1" si="356"/>
        <v>-0.55717586614363535</v>
      </c>
      <c r="E801" s="307">
        <f t="shared" ca="1" si="357"/>
        <v>-0.74456917521998811</v>
      </c>
      <c r="F801" s="304">
        <f t="shared" ca="1" si="358"/>
        <v>0.92996139839279546</v>
      </c>
      <c r="G801" s="306">
        <f t="shared" ca="1" si="359"/>
        <v>5.9429456721258491</v>
      </c>
      <c r="H801" s="307">
        <f t="shared" ca="1" si="360"/>
        <v>-96.694621481897883</v>
      </c>
      <c r="I801" s="304">
        <f t="shared" ca="1" si="361"/>
        <v>96.877078954669912</v>
      </c>
      <c r="J801" s="306">
        <f t="shared" ca="1" si="362"/>
        <v>588.9746359926213</v>
      </c>
      <c r="K801" s="307">
        <f t="shared" ca="1" si="363"/>
        <v>-11.387926838816865</v>
      </c>
      <c r="L801" s="304">
        <f t="shared" ca="1" si="348"/>
        <v>589.08471947617772</v>
      </c>
      <c r="M801" s="306">
        <f t="shared" ca="1" si="364"/>
        <v>-1.5094125659106781</v>
      </c>
      <c r="N801" s="304">
        <f t="shared" ca="1" si="365"/>
        <v>-86.482969570694053</v>
      </c>
      <c r="P801" s="310">
        <f t="shared" ca="1" si="366"/>
        <v>23</v>
      </c>
      <c r="Q801" s="304">
        <f t="shared" ca="1" si="367"/>
        <v>0</v>
      </c>
      <c r="R801" s="306">
        <f t="shared" ca="1" si="368"/>
        <v>0</v>
      </c>
      <c r="S801" s="307">
        <f t="shared" ca="1" si="369"/>
        <v>2.5949999999999998</v>
      </c>
      <c r="T801" s="304">
        <f t="shared" ca="1" si="349"/>
        <v>25.456949999999999</v>
      </c>
      <c r="U801" s="311">
        <f t="shared" ca="1" si="350"/>
        <v>0</v>
      </c>
      <c r="V801" s="306">
        <f t="shared" ca="1" si="351"/>
        <v>1.2263958158101713</v>
      </c>
      <c r="W801" s="304">
        <f t="shared" ca="1" si="352"/>
        <v>23.569241178496465</v>
      </c>
      <c r="Y801" s="314" t="str">
        <f t="shared" ca="1" si="370"/>
        <v/>
      </c>
      <c r="Z801" s="315" t="str">
        <f t="shared" ca="1" si="371"/>
        <v/>
      </c>
      <c r="AA801" s="316" t="str">
        <f t="shared" ca="1" si="372"/>
        <v/>
      </c>
      <c r="AC801" s="310" t="e">
        <f t="shared" ca="1" si="373"/>
        <v>#N/A</v>
      </c>
      <c r="AD801" s="323" t="e">
        <f t="shared" ca="1" si="374"/>
        <v>#N/A</v>
      </c>
      <c r="AE801" s="324" t="e">
        <f t="shared" ca="1" si="353"/>
        <v>#N/A</v>
      </c>
      <c r="AG801" s="306">
        <f t="shared" ca="1" si="375"/>
        <v>0.70898641027542553</v>
      </c>
      <c r="AH801" s="304">
        <f t="shared" ca="1" si="376"/>
        <v>-9.0825371446906029</v>
      </c>
    </row>
    <row r="802" spans="1:34" x14ac:dyDescent="0.2">
      <c r="A802" s="347">
        <f t="shared" ca="1" si="354"/>
        <v>1E-4</v>
      </c>
      <c r="B802" s="304">
        <f t="shared" ca="1" si="355"/>
        <v>32.541500000001548</v>
      </c>
      <c r="D802" s="306">
        <f t="shared" ca="1" si="356"/>
        <v>-0.55717158895272423</v>
      </c>
      <c r="E802" s="307">
        <f t="shared" ca="1" si="357"/>
        <v>-0.74454679437115701</v>
      </c>
      <c r="F802" s="304">
        <f t="shared" ca="1" si="358"/>
        <v>0.92994091669550139</v>
      </c>
      <c r="G802" s="306">
        <f t="shared" ca="1" si="359"/>
        <v>5.9428899549669536</v>
      </c>
      <c r="H802" s="307">
        <f t="shared" ca="1" si="360"/>
        <v>-96.694695936577318</v>
      </c>
      <c r="I802" s="304">
        <f t="shared" ca="1" si="361"/>
        <v>96.877149851159373</v>
      </c>
      <c r="J802" s="306">
        <f t="shared" ca="1" si="362"/>
        <v>588.9746359926213</v>
      </c>
      <c r="K802" s="307">
        <f t="shared" ca="1" si="363"/>
        <v>-11.397596304687788</v>
      </c>
      <c r="L802" s="304">
        <f t="shared" ca="1" si="348"/>
        <v>589.08490648137081</v>
      </c>
      <c r="M802" s="306">
        <f t="shared" ca="1" si="364"/>
        <v>-1.5094131871062892</v>
      </c>
      <c r="N802" s="304">
        <f t="shared" ca="1" si="365"/>
        <v>-86.483005162580824</v>
      </c>
      <c r="P802" s="310">
        <f t="shared" ca="1" si="366"/>
        <v>23</v>
      </c>
      <c r="Q802" s="304">
        <f t="shared" ca="1" si="367"/>
        <v>0</v>
      </c>
      <c r="R802" s="306">
        <f t="shared" ca="1" si="368"/>
        <v>0</v>
      </c>
      <c r="S802" s="307">
        <f t="shared" ca="1" si="369"/>
        <v>2.5949999999999998</v>
      </c>
      <c r="T802" s="304">
        <f t="shared" ca="1" si="349"/>
        <v>25.456949999999999</v>
      </c>
      <c r="U802" s="311">
        <f t="shared" ca="1" si="350"/>
        <v>0</v>
      </c>
      <c r="V802" s="306">
        <f t="shared" ca="1" si="351"/>
        <v>1.226397001670378</v>
      </c>
      <c r="W802" s="304">
        <f t="shared" ca="1" si="352"/>
        <v>23.569298465596372</v>
      </c>
      <c r="Y802" s="314" t="str">
        <f t="shared" ca="1" si="370"/>
        <v/>
      </c>
      <c r="Z802" s="315" t="str">
        <f t="shared" ca="1" si="371"/>
        <v/>
      </c>
      <c r="AA802" s="316" t="str">
        <f t="shared" ca="1" si="372"/>
        <v/>
      </c>
      <c r="AC802" s="310" t="e">
        <f t="shared" ca="1" si="373"/>
        <v>#N/A</v>
      </c>
      <c r="AD802" s="323" t="e">
        <f t="shared" ca="1" si="374"/>
        <v>#N/A</v>
      </c>
      <c r="AE802" s="324" t="e">
        <f t="shared" ca="1" si="353"/>
        <v>#N/A</v>
      </c>
      <c r="AG802" s="306">
        <f t="shared" ca="1" si="375"/>
        <v>0.70896470780481202</v>
      </c>
      <c r="AH802" s="304">
        <f t="shared" ca="1" si="376"/>
        <v>-9.0825592210005652</v>
      </c>
    </row>
    <row r="803" spans="1:34" x14ac:dyDescent="0.2">
      <c r="A803" s="347">
        <f t="shared" ca="1" si="354"/>
        <v>1E-4</v>
      </c>
      <c r="B803" s="304">
        <f t="shared" ca="1" si="355"/>
        <v>32.541600000001552</v>
      </c>
      <c r="D803" s="306">
        <f t="shared" ca="1" si="356"/>
        <v>-0.55716731177341094</v>
      </c>
      <c r="E803" s="307">
        <f t="shared" ca="1" si="357"/>
        <v>-0.74452441388346102</v>
      </c>
      <c r="F803" s="304">
        <f t="shared" ca="1" si="358"/>
        <v>0.92992043540150271</v>
      </c>
      <c r="G803" s="306">
        <f t="shared" ca="1" si="359"/>
        <v>5.9428342382357764</v>
      </c>
      <c r="H803" s="307">
        <f t="shared" ca="1" si="360"/>
        <v>-96.6947703890187</v>
      </c>
      <c r="I803" s="304">
        <f t="shared" ca="1" si="361"/>
        <v>96.877220745478638</v>
      </c>
      <c r="J803" s="306">
        <f t="shared" ca="1" si="362"/>
        <v>588.9746359926213</v>
      </c>
      <c r="K803" s="307">
        <f t="shared" ca="1" si="363"/>
        <v>-11.407265778004067</v>
      </c>
      <c r="L803" s="304">
        <f t="shared" ca="1" si="348"/>
        <v>589.08509364536701</v>
      </c>
      <c r="M803" s="306">
        <f t="shared" ca="1" si="364"/>
        <v>-1.5094138082951674</v>
      </c>
      <c r="N803" s="304">
        <f t="shared" ca="1" si="365"/>
        <v>-86.483040754081813</v>
      </c>
      <c r="P803" s="310">
        <f t="shared" ca="1" si="366"/>
        <v>23</v>
      </c>
      <c r="Q803" s="304">
        <f t="shared" ca="1" si="367"/>
        <v>0</v>
      </c>
      <c r="R803" s="306">
        <f t="shared" ca="1" si="368"/>
        <v>0</v>
      </c>
      <c r="S803" s="307">
        <f t="shared" ca="1" si="369"/>
        <v>2.5949999999999998</v>
      </c>
      <c r="T803" s="304">
        <f t="shared" ca="1" si="349"/>
        <v>25.456949999999999</v>
      </c>
      <c r="U803" s="311">
        <f t="shared" ca="1" si="350"/>
        <v>0</v>
      </c>
      <c r="V803" s="306">
        <f t="shared" ca="1" si="351"/>
        <v>1.2263981875326453</v>
      </c>
      <c r="W803" s="304">
        <f t="shared" ca="1" si="352"/>
        <v>23.569355751771866</v>
      </c>
      <c r="Y803" s="314" t="str">
        <f t="shared" ca="1" si="370"/>
        <v/>
      </c>
      <c r="Z803" s="315" t="str">
        <f t="shared" ca="1" si="371"/>
        <v/>
      </c>
      <c r="AA803" s="316" t="str">
        <f t="shared" ca="1" si="372"/>
        <v/>
      </c>
      <c r="AC803" s="310" t="e">
        <f t="shared" ca="1" si="373"/>
        <v>#N/A</v>
      </c>
      <c r="AD803" s="323" t="e">
        <f t="shared" ca="1" si="374"/>
        <v>#N/A</v>
      </c>
      <c r="AE803" s="324" t="e">
        <f t="shared" ca="1" si="353"/>
        <v>#N/A</v>
      </c>
      <c r="AG803" s="306">
        <f t="shared" ca="1" si="375"/>
        <v>0.70894300568261137</v>
      </c>
      <c r="AH803" s="304">
        <f t="shared" ca="1" si="376"/>
        <v>-9.0825812969542863</v>
      </c>
    </row>
    <row r="804" spans="1:34" x14ac:dyDescent="0.2">
      <c r="A804" s="347">
        <f t="shared" ca="1" si="354"/>
        <v>1E-4</v>
      </c>
      <c r="B804" s="304">
        <f t="shared" ca="1" si="355"/>
        <v>32.541700000001555</v>
      </c>
      <c r="D804" s="306">
        <f t="shared" ca="1" si="356"/>
        <v>-0.5571630346056935</v>
      </c>
      <c r="E804" s="307">
        <f t="shared" ca="1" si="357"/>
        <v>-0.74450203375689128</v>
      </c>
      <c r="F804" s="304">
        <f t="shared" ca="1" si="358"/>
        <v>0.92989995451079166</v>
      </c>
      <c r="G804" s="306">
        <f t="shared" ca="1" si="359"/>
        <v>5.9427785219323157</v>
      </c>
      <c r="H804" s="307">
        <f t="shared" ca="1" si="360"/>
        <v>-96.694844839222071</v>
      </c>
      <c r="I804" s="304">
        <f t="shared" ca="1" si="361"/>
        <v>96.877291637627707</v>
      </c>
      <c r="J804" s="306">
        <f t="shared" ca="1" si="362"/>
        <v>588.9746359926213</v>
      </c>
      <c r="K804" s="307">
        <f t="shared" ca="1" si="363"/>
        <v>-11.416935258765479</v>
      </c>
      <c r="L804" s="304">
        <f t="shared" ca="1" si="348"/>
        <v>589.08528096816644</v>
      </c>
      <c r="M804" s="306">
        <f t="shared" ca="1" si="364"/>
        <v>-1.5094144294773126</v>
      </c>
      <c r="N804" s="304">
        <f t="shared" ca="1" si="365"/>
        <v>-86.483076345197048</v>
      </c>
      <c r="P804" s="310">
        <f t="shared" ca="1" si="366"/>
        <v>23</v>
      </c>
      <c r="Q804" s="304">
        <f t="shared" ca="1" si="367"/>
        <v>0</v>
      </c>
      <c r="R804" s="306">
        <f t="shared" ca="1" si="368"/>
        <v>0</v>
      </c>
      <c r="S804" s="307">
        <f t="shared" ca="1" si="369"/>
        <v>2.5949999999999998</v>
      </c>
      <c r="T804" s="304">
        <f t="shared" ca="1" si="349"/>
        <v>25.456949999999999</v>
      </c>
      <c r="U804" s="311">
        <f t="shared" ca="1" si="350"/>
        <v>0</v>
      </c>
      <c r="V804" s="306">
        <f t="shared" ca="1" si="351"/>
        <v>1.2263993733969729</v>
      </c>
      <c r="W804" s="304">
        <f t="shared" ca="1" si="352"/>
        <v>23.569413037022922</v>
      </c>
      <c r="Y804" s="314" t="str">
        <f t="shared" ca="1" si="370"/>
        <v/>
      </c>
      <c r="Z804" s="315" t="str">
        <f t="shared" ca="1" si="371"/>
        <v/>
      </c>
      <c r="AA804" s="316" t="str">
        <f t="shared" ca="1" si="372"/>
        <v/>
      </c>
      <c r="AC804" s="310" t="e">
        <f t="shared" ca="1" si="373"/>
        <v>#N/A</v>
      </c>
      <c r="AD804" s="323" t="e">
        <f t="shared" ca="1" si="374"/>
        <v>#N/A</v>
      </c>
      <c r="AE804" s="324" t="e">
        <f t="shared" ca="1" si="353"/>
        <v>#N/A</v>
      </c>
      <c r="AG804" s="306">
        <f t="shared" ca="1" si="375"/>
        <v>0.70892130390880581</v>
      </c>
      <c r="AH804" s="304">
        <f t="shared" ca="1" si="376"/>
        <v>-9.0826033725517803</v>
      </c>
    </row>
    <row r="805" spans="1:34" x14ac:dyDescent="0.2">
      <c r="A805" s="347">
        <f t="shared" ca="1" si="354"/>
        <v>1E-4</v>
      </c>
      <c r="B805" s="304">
        <f t="shared" ca="1" si="355"/>
        <v>32.541800000001558</v>
      </c>
      <c r="D805" s="306">
        <f t="shared" ca="1" si="356"/>
        <v>-0.55715875744957011</v>
      </c>
      <c r="E805" s="307">
        <f t="shared" ca="1" si="357"/>
        <v>-0.74447965399145666</v>
      </c>
      <c r="F805" s="304">
        <f t="shared" ca="1" si="358"/>
        <v>0.92987947402337467</v>
      </c>
      <c r="G805" s="306">
        <f t="shared" ca="1" si="359"/>
        <v>5.9427228060565707</v>
      </c>
      <c r="H805" s="307">
        <f t="shared" ca="1" si="360"/>
        <v>-96.694919287187474</v>
      </c>
      <c r="I805" s="304">
        <f t="shared" ca="1" si="361"/>
        <v>96.87736252760665</v>
      </c>
      <c r="J805" s="306">
        <f t="shared" ca="1" si="362"/>
        <v>588.9746359926213</v>
      </c>
      <c r="K805" s="307">
        <f t="shared" ca="1" si="363"/>
        <v>-11.426604746971799</v>
      </c>
      <c r="L805" s="304">
        <f t="shared" ca="1" si="348"/>
        <v>589.08546844976934</v>
      </c>
      <c r="M805" s="306">
        <f t="shared" ca="1" si="364"/>
        <v>-1.5094150506527249</v>
      </c>
      <c r="N805" s="304">
        <f t="shared" ca="1" si="365"/>
        <v>-86.483111935926516</v>
      </c>
      <c r="P805" s="310">
        <f t="shared" ca="1" si="366"/>
        <v>23</v>
      </c>
      <c r="Q805" s="304">
        <f t="shared" ca="1" si="367"/>
        <v>0</v>
      </c>
      <c r="R805" s="306">
        <f t="shared" ca="1" si="368"/>
        <v>0</v>
      </c>
      <c r="S805" s="307">
        <f t="shared" ca="1" si="369"/>
        <v>2.5949999999999998</v>
      </c>
      <c r="T805" s="304">
        <f t="shared" ca="1" si="349"/>
        <v>25.456949999999999</v>
      </c>
      <c r="U805" s="311">
        <f t="shared" ca="1" si="350"/>
        <v>0</v>
      </c>
      <c r="V805" s="306">
        <f t="shared" ca="1" si="351"/>
        <v>1.2264005592633604</v>
      </c>
      <c r="W805" s="304">
        <f t="shared" ca="1" si="352"/>
        <v>23.569470321349574</v>
      </c>
      <c r="Y805" s="314" t="str">
        <f t="shared" ca="1" si="370"/>
        <v/>
      </c>
      <c r="Z805" s="315" t="str">
        <f t="shared" ca="1" si="371"/>
        <v/>
      </c>
      <c r="AA805" s="316" t="str">
        <f t="shared" ca="1" si="372"/>
        <v/>
      </c>
      <c r="AC805" s="310" t="e">
        <f t="shared" ca="1" si="373"/>
        <v>#N/A</v>
      </c>
      <c r="AD805" s="323" t="e">
        <f t="shared" ca="1" si="374"/>
        <v>#N/A</v>
      </c>
      <c r="AE805" s="324" t="e">
        <f t="shared" ca="1" si="353"/>
        <v>#N/A</v>
      </c>
      <c r="AG805" s="306">
        <f t="shared" ca="1" si="375"/>
        <v>0.70889960248341133</v>
      </c>
      <c r="AH805" s="304">
        <f t="shared" ca="1" si="376"/>
        <v>-9.0826254477930348</v>
      </c>
    </row>
    <row r="806" spans="1:34" x14ac:dyDescent="0.2">
      <c r="A806" s="347">
        <f t="shared" ca="1" si="354"/>
        <v>1E-4</v>
      </c>
      <c r="B806" s="304">
        <f t="shared" ca="1" si="355"/>
        <v>32.541900000001561</v>
      </c>
      <c r="D806" s="306">
        <f t="shared" ca="1" si="356"/>
        <v>-0.557154480305045</v>
      </c>
      <c r="E806" s="307">
        <f t="shared" ca="1" si="357"/>
        <v>-0.74445727458714295</v>
      </c>
      <c r="F806" s="304">
        <f t="shared" ca="1" si="358"/>
        <v>0.92985899393924321</v>
      </c>
      <c r="G806" s="306">
        <f t="shared" ca="1" si="359"/>
        <v>5.9426670906085404</v>
      </c>
      <c r="H806" s="307">
        <f t="shared" ca="1" si="360"/>
        <v>-96.694993732914938</v>
      </c>
      <c r="I806" s="304">
        <f t="shared" ca="1" si="361"/>
        <v>96.877433415415481</v>
      </c>
      <c r="J806" s="306">
        <f t="shared" ca="1" si="362"/>
        <v>588.9746359926213</v>
      </c>
      <c r="K806" s="307">
        <f t="shared" ca="1" si="363"/>
        <v>-11.436274242622805</v>
      </c>
      <c r="L806" s="304">
        <f t="shared" ca="1" si="348"/>
        <v>589.08565609017603</v>
      </c>
      <c r="M806" s="306">
        <f t="shared" ca="1" si="364"/>
        <v>-1.5094156718214042</v>
      </c>
      <c r="N806" s="304">
        <f t="shared" ca="1" si="365"/>
        <v>-86.483147526270201</v>
      </c>
      <c r="P806" s="310">
        <f t="shared" ca="1" si="366"/>
        <v>23</v>
      </c>
      <c r="Q806" s="304">
        <f t="shared" ca="1" si="367"/>
        <v>0</v>
      </c>
      <c r="R806" s="306">
        <f t="shared" ca="1" si="368"/>
        <v>0</v>
      </c>
      <c r="S806" s="307">
        <f t="shared" ca="1" si="369"/>
        <v>2.5949999999999998</v>
      </c>
      <c r="T806" s="304">
        <f t="shared" ca="1" si="349"/>
        <v>25.456949999999999</v>
      </c>
      <c r="U806" s="311">
        <f t="shared" ca="1" si="350"/>
        <v>0</v>
      </c>
      <c r="V806" s="306">
        <f t="shared" ca="1" si="351"/>
        <v>1.2264017451318088</v>
      </c>
      <c r="W806" s="304">
        <f t="shared" ca="1" si="352"/>
        <v>23.56952760475184</v>
      </c>
      <c r="Y806" s="314" t="str">
        <f t="shared" ca="1" si="370"/>
        <v/>
      </c>
      <c r="Z806" s="315" t="str">
        <f t="shared" ca="1" si="371"/>
        <v/>
      </c>
      <c r="AA806" s="316" t="str">
        <f t="shared" ca="1" si="372"/>
        <v/>
      </c>
      <c r="AC806" s="310" t="e">
        <f t="shared" ca="1" si="373"/>
        <v>#N/A</v>
      </c>
      <c r="AD806" s="323" t="e">
        <f t="shared" ca="1" si="374"/>
        <v>#N/A</v>
      </c>
      <c r="AE806" s="324" t="e">
        <f t="shared" ca="1" si="353"/>
        <v>#N/A</v>
      </c>
      <c r="AG806" s="306">
        <f t="shared" ca="1" si="375"/>
        <v>0.70887790140641016</v>
      </c>
      <c r="AH806" s="304">
        <f t="shared" ca="1" si="376"/>
        <v>-9.0826475226780641</v>
      </c>
    </row>
    <row r="807" spans="1:34" x14ac:dyDescent="0.2">
      <c r="A807" s="347">
        <f t="shared" ca="1" si="354"/>
        <v>1E-4</v>
      </c>
      <c r="B807" s="304">
        <f t="shared" ca="1" si="355"/>
        <v>32.542000000001565</v>
      </c>
      <c r="D807" s="306">
        <f t="shared" ca="1" si="356"/>
        <v>-0.55715020317211761</v>
      </c>
      <c r="E807" s="307">
        <f t="shared" ca="1" si="357"/>
        <v>-0.74443489554394304</v>
      </c>
      <c r="F807" s="304">
        <f t="shared" ca="1" si="358"/>
        <v>0.9298385142583917</v>
      </c>
      <c r="G807" s="306">
        <f t="shared" ca="1" si="359"/>
        <v>5.9426113755882231</v>
      </c>
      <c r="H807" s="307">
        <f t="shared" ca="1" si="360"/>
        <v>-96.69506817640449</v>
      </c>
      <c r="I807" s="304">
        <f t="shared" ca="1" si="361"/>
        <v>96.877504301054245</v>
      </c>
      <c r="J807" s="306">
        <f t="shared" ca="1" si="362"/>
        <v>588.9746359926213</v>
      </c>
      <c r="K807" s="307">
        <f t="shared" ca="1" si="363"/>
        <v>-11.445943745718271</v>
      </c>
      <c r="L807" s="304">
        <f t="shared" ca="1" si="348"/>
        <v>589.08584388938664</v>
      </c>
      <c r="M807" s="306">
        <f t="shared" ca="1" si="364"/>
        <v>-1.509416292983351</v>
      </c>
      <c r="N807" s="304">
        <f t="shared" ca="1" si="365"/>
        <v>-86.483183116228147</v>
      </c>
      <c r="P807" s="310">
        <f t="shared" ca="1" si="366"/>
        <v>23</v>
      </c>
      <c r="Q807" s="304">
        <f t="shared" ca="1" si="367"/>
        <v>0</v>
      </c>
      <c r="R807" s="306">
        <f t="shared" ca="1" si="368"/>
        <v>0</v>
      </c>
      <c r="S807" s="307">
        <f t="shared" ca="1" si="369"/>
        <v>2.5949999999999998</v>
      </c>
      <c r="T807" s="304">
        <f t="shared" ca="1" si="349"/>
        <v>25.456949999999999</v>
      </c>
      <c r="U807" s="311">
        <f t="shared" ca="1" si="350"/>
        <v>0</v>
      </c>
      <c r="V807" s="306">
        <f t="shared" ca="1" si="351"/>
        <v>1.2264029310023172</v>
      </c>
      <c r="W807" s="304">
        <f t="shared" ca="1" si="352"/>
        <v>23.56958488722972</v>
      </c>
      <c r="Y807" s="314" t="str">
        <f t="shared" ca="1" si="370"/>
        <v/>
      </c>
      <c r="Z807" s="315" t="str">
        <f t="shared" ca="1" si="371"/>
        <v/>
      </c>
      <c r="AA807" s="316" t="str">
        <f t="shared" ca="1" si="372"/>
        <v/>
      </c>
      <c r="AC807" s="310" t="e">
        <f t="shared" ca="1" si="373"/>
        <v>#N/A</v>
      </c>
      <c r="AD807" s="323" t="e">
        <f t="shared" ca="1" si="374"/>
        <v>#N/A</v>
      </c>
      <c r="AE807" s="324" t="e">
        <f t="shared" ca="1" si="353"/>
        <v>#N/A</v>
      </c>
      <c r="AG807" s="306">
        <f t="shared" ca="1" si="375"/>
        <v>0.70885620067780053</v>
      </c>
      <c r="AH807" s="304">
        <f t="shared" ca="1" si="376"/>
        <v>-9.0826695972068752</v>
      </c>
    </row>
    <row r="808" spans="1:34" x14ac:dyDescent="0.2">
      <c r="A808" s="347">
        <f t="shared" ca="1" si="354"/>
        <v>1E-4</v>
      </c>
      <c r="B808" s="304">
        <f t="shared" ca="1" si="355"/>
        <v>32.542100000001568</v>
      </c>
      <c r="D808" s="306">
        <f t="shared" ca="1" si="356"/>
        <v>-0.55714592605078705</v>
      </c>
      <c r="E808" s="307">
        <f t="shared" ca="1" si="357"/>
        <v>-0.74441251686185517</v>
      </c>
      <c r="F808" s="304">
        <f t="shared" ca="1" si="358"/>
        <v>0.92981803498081861</v>
      </c>
      <c r="G808" s="306">
        <f t="shared" ca="1" si="359"/>
        <v>5.9425556609956178</v>
      </c>
      <c r="H808" s="307">
        <f t="shared" ca="1" si="360"/>
        <v>-96.695142617656174</v>
      </c>
      <c r="I808" s="304">
        <f t="shared" ca="1" si="361"/>
        <v>96.877575184522968</v>
      </c>
      <c r="J808" s="306">
        <f t="shared" ca="1" si="362"/>
        <v>588.9746359926213</v>
      </c>
      <c r="K808" s="307">
        <f t="shared" ca="1" si="363"/>
        <v>-11.455613256257974</v>
      </c>
      <c r="L808" s="304">
        <f t="shared" ca="1" si="348"/>
        <v>589.0860318474015</v>
      </c>
      <c r="M808" s="306">
        <f t="shared" ca="1" si="364"/>
        <v>-1.5094169141385649</v>
      </c>
      <c r="N808" s="304">
        <f t="shared" ca="1" si="365"/>
        <v>-86.483218705800326</v>
      </c>
      <c r="P808" s="310">
        <f t="shared" ca="1" si="366"/>
        <v>23</v>
      </c>
      <c r="Q808" s="304">
        <f t="shared" ca="1" si="367"/>
        <v>0</v>
      </c>
      <c r="R808" s="306">
        <f t="shared" ca="1" si="368"/>
        <v>0</v>
      </c>
      <c r="S808" s="307">
        <f t="shared" ca="1" si="369"/>
        <v>2.5949999999999998</v>
      </c>
      <c r="T808" s="304">
        <f t="shared" ca="1" si="349"/>
        <v>25.456949999999999</v>
      </c>
      <c r="U808" s="311">
        <f t="shared" ca="1" si="350"/>
        <v>0</v>
      </c>
      <c r="V808" s="306">
        <f t="shared" ca="1" si="351"/>
        <v>1.2264041168748858</v>
      </c>
      <c r="W808" s="304">
        <f t="shared" ca="1" si="352"/>
        <v>23.569642168783218</v>
      </c>
      <c r="Y808" s="314" t="str">
        <f t="shared" ca="1" si="370"/>
        <v/>
      </c>
      <c r="Z808" s="315" t="str">
        <f t="shared" ca="1" si="371"/>
        <v/>
      </c>
      <c r="AA808" s="316" t="str">
        <f t="shared" ca="1" si="372"/>
        <v/>
      </c>
      <c r="AC808" s="310" t="e">
        <f t="shared" ca="1" si="373"/>
        <v>#N/A</v>
      </c>
      <c r="AD808" s="323" t="e">
        <f t="shared" ca="1" si="374"/>
        <v>#N/A</v>
      </c>
      <c r="AE808" s="324" t="e">
        <f t="shared" ca="1" si="353"/>
        <v>#N/A</v>
      </c>
      <c r="AG808" s="306">
        <f t="shared" ca="1" si="375"/>
        <v>0.70883450029757533</v>
      </c>
      <c r="AH808" s="304">
        <f t="shared" ca="1" si="376"/>
        <v>-9.0826916713794699</v>
      </c>
    </row>
    <row r="809" spans="1:34" x14ac:dyDescent="0.2">
      <c r="A809" s="347">
        <f t="shared" ca="1" si="354"/>
        <v>1E-4</v>
      </c>
      <c r="B809" s="304">
        <f t="shared" ca="1" si="355"/>
        <v>32.542200000001571</v>
      </c>
      <c r="D809" s="306">
        <f t="shared" ca="1" si="356"/>
        <v>-0.55714164894105644</v>
      </c>
      <c r="E809" s="307">
        <f t="shared" ca="1" si="357"/>
        <v>-0.74439013854088287</v>
      </c>
      <c r="F809" s="304">
        <f t="shared" ca="1" si="358"/>
        <v>0.92979755610652914</v>
      </c>
      <c r="G809" s="306">
        <f t="shared" ca="1" si="359"/>
        <v>5.9424999468307238</v>
      </c>
      <c r="H809" s="307">
        <f t="shared" ca="1" si="360"/>
        <v>-96.695217056670032</v>
      </c>
      <c r="I809" s="304">
        <f t="shared" ca="1" si="361"/>
        <v>96.877646065821679</v>
      </c>
      <c r="J809" s="306">
        <f t="shared" ca="1" si="362"/>
        <v>588.9746359926213</v>
      </c>
      <c r="K809" s="307">
        <f t="shared" ca="1" si="363"/>
        <v>-11.465282774241691</v>
      </c>
      <c r="L809" s="304">
        <f t="shared" ca="1" si="348"/>
        <v>589.08621996422062</v>
      </c>
      <c r="M809" s="306">
        <f t="shared" ca="1" si="364"/>
        <v>-1.5094175352870465</v>
      </c>
      <c r="N809" s="304">
        <f t="shared" ca="1" si="365"/>
        <v>-86.483254294986779</v>
      </c>
      <c r="P809" s="310">
        <f t="shared" ca="1" si="366"/>
        <v>23</v>
      </c>
      <c r="Q809" s="304">
        <f t="shared" ca="1" si="367"/>
        <v>0</v>
      </c>
      <c r="R809" s="306">
        <f t="shared" ca="1" si="368"/>
        <v>0</v>
      </c>
      <c r="S809" s="307">
        <f t="shared" ca="1" si="369"/>
        <v>2.5949999999999998</v>
      </c>
      <c r="T809" s="304">
        <f t="shared" ca="1" si="349"/>
        <v>25.456949999999999</v>
      </c>
      <c r="U809" s="311">
        <f t="shared" ca="1" si="350"/>
        <v>0</v>
      </c>
      <c r="V809" s="306">
        <f t="shared" ca="1" si="351"/>
        <v>1.2264053027495152</v>
      </c>
      <c r="W809" s="304">
        <f t="shared" ca="1" si="352"/>
        <v>23.569699449412372</v>
      </c>
      <c r="Y809" s="314" t="str">
        <f t="shared" ca="1" si="370"/>
        <v/>
      </c>
      <c r="Z809" s="315" t="str">
        <f t="shared" ca="1" si="371"/>
        <v/>
      </c>
      <c r="AA809" s="316" t="str">
        <f t="shared" ca="1" si="372"/>
        <v/>
      </c>
      <c r="AC809" s="310" t="e">
        <f t="shared" ca="1" si="373"/>
        <v>#N/A</v>
      </c>
      <c r="AD809" s="323" t="e">
        <f t="shared" ca="1" si="374"/>
        <v>#N/A</v>
      </c>
      <c r="AE809" s="324" t="e">
        <f t="shared" ca="1" si="353"/>
        <v>#N/A</v>
      </c>
      <c r="AG809" s="306">
        <f t="shared" ca="1" si="375"/>
        <v>0.7088128002657399</v>
      </c>
      <c r="AH809" s="304">
        <f t="shared" ca="1" si="376"/>
        <v>-9.0827137451958464</v>
      </c>
    </row>
    <row r="810" spans="1:34" x14ac:dyDescent="0.2">
      <c r="A810" s="347">
        <f t="shared" ca="1" si="354"/>
        <v>1E-4</v>
      </c>
      <c r="B810" s="304">
        <f t="shared" ca="1" si="355"/>
        <v>32.542300000001575</v>
      </c>
      <c r="D810" s="306">
        <f t="shared" ca="1" si="356"/>
        <v>-0.55713737184292389</v>
      </c>
      <c r="E810" s="307">
        <f t="shared" ca="1" si="357"/>
        <v>-0.7443677605810084</v>
      </c>
      <c r="F810" s="304">
        <f t="shared" ca="1" si="358"/>
        <v>0.92977707763550832</v>
      </c>
      <c r="G810" s="306">
        <f t="shared" ca="1" si="359"/>
        <v>5.9424442330935392</v>
      </c>
      <c r="H810" s="307">
        <f t="shared" ca="1" si="360"/>
        <v>-96.695291493446092</v>
      </c>
      <c r="I810" s="304">
        <f t="shared" ca="1" si="361"/>
        <v>96.877716944950421</v>
      </c>
      <c r="J810" s="306">
        <f t="shared" ca="1" si="362"/>
        <v>588.9746359926213</v>
      </c>
      <c r="K810" s="307">
        <f t="shared" ca="1" si="363"/>
        <v>-11.474952299669198</v>
      </c>
      <c r="L810" s="304">
        <f t="shared" ca="1" si="348"/>
        <v>589.08640823984422</v>
      </c>
      <c r="M810" s="306">
        <f t="shared" ca="1" si="364"/>
        <v>-1.5094181564287954</v>
      </c>
      <c r="N810" s="304">
        <f t="shared" ca="1" si="365"/>
        <v>-86.483289883787464</v>
      </c>
      <c r="P810" s="310">
        <f t="shared" ca="1" si="366"/>
        <v>23</v>
      </c>
      <c r="Q810" s="304">
        <f t="shared" ca="1" si="367"/>
        <v>0</v>
      </c>
      <c r="R810" s="306">
        <f t="shared" ca="1" si="368"/>
        <v>0</v>
      </c>
      <c r="S810" s="307">
        <f t="shared" ca="1" si="369"/>
        <v>2.5949999999999998</v>
      </c>
      <c r="T810" s="304">
        <f t="shared" ca="1" si="349"/>
        <v>25.456949999999999</v>
      </c>
      <c r="U810" s="311">
        <f t="shared" ca="1" si="350"/>
        <v>0</v>
      </c>
      <c r="V810" s="306">
        <f t="shared" ca="1" si="351"/>
        <v>1.2264064886262043</v>
      </c>
      <c r="W810" s="304">
        <f t="shared" ca="1" si="352"/>
        <v>23.569756729117159</v>
      </c>
      <c r="Y810" s="314" t="str">
        <f t="shared" ca="1" si="370"/>
        <v/>
      </c>
      <c r="Z810" s="315" t="str">
        <f t="shared" ca="1" si="371"/>
        <v/>
      </c>
      <c r="AA810" s="316" t="str">
        <f t="shared" ca="1" si="372"/>
        <v/>
      </c>
      <c r="AC810" s="310" t="e">
        <f t="shared" ca="1" si="373"/>
        <v>#N/A</v>
      </c>
      <c r="AD810" s="323" t="e">
        <f t="shared" ca="1" si="374"/>
        <v>#N/A</v>
      </c>
      <c r="AE810" s="324" t="e">
        <f t="shared" ca="1" si="353"/>
        <v>#N/A</v>
      </c>
      <c r="AG810" s="306">
        <f t="shared" ca="1" si="375"/>
        <v>0.70879110058227646</v>
      </c>
      <c r="AH810" s="304">
        <f t="shared" ca="1" si="376"/>
        <v>-9.0827358186560208</v>
      </c>
    </row>
    <row r="811" spans="1:34" x14ac:dyDescent="0.2">
      <c r="A811" s="347">
        <f t="shared" ca="1" si="354"/>
        <v>1E-4</v>
      </c>
      <c r="B811" s="304">
        <f t="shared" ca="1" si="355"/>
        <v>32.542400000001578</v>
      </c>
      <c r="D811" s="306">
        <f t="shared" ca="1" si="356"/>
        <v>-0.55713309475639206</v>
      </c>
      <c r="E811" s="307">
        <f t="shared" ca="1" si="357"/>
        <v>-0.74434538298223885</v>
      </c>
      <c r="F811" s="304">
        <f t="shared" ca="1" si="358"/>
        <v>0.92975659956776369</v>
      </c>
      <c r="G811" s="306">
        <f t="shared" ca="1" si="359"/>
        <v>5.9423885197840631</v>
      </c>
      <c r="H811" s="307">
        <f t="shared" ca="1" si="360"/>
        <v>-96.695365927984383</v>
      </c>
      <c r="I811" s="304">
        <f t="shared" ca="1" si="361"/>
        <v>96.877787821909223</v>
      </c>
      <c r="J811" s="306">
        <f t="shared" ca="1" si="362"/>
        <v>588.9746359926213</v>
      </c>
      <c r="K811" s="307">
        <f t="shared" ca="1" si="363"/>
        <v>-11.48462183254027</v>
      </c>
      <c r="L811" s="304">
        <f t="shared" ca="1" si="348"/>
        <v>589.08659667427264</v>
      </c>
      <c r="M811" s="306">
        <f t="shared" ca="1" si="364"/>
        <v>-1.5094187775638122</v>
      </c>
      <c r="N811" s="304">
        <f t="shared" ca="1" si="365"/>
        <v>-86.483325472202438</v>
      </c>
      <c r="P811" s="310">
        <f t="shared" ca="1" si="366"/>
        <v>23</v>
      </c>
      <c r="Q811" s="304">
        <f t="shared" ca="1" si="367"/>
        <v>0</v>
      </c>
      <c r="R811" s="306">
        <f t="shared" ca="1" si="368"/>
        <v>0</v>
      </c>
      <c r="S811" s="307">
        <f t="shared" ca="1" si="369"/>
        <v>2.5949999999999998</v>
      </c>
      <c r="T811" s="304">
        <f t="shared" ca="1" si="349"/>
        <v>25.456949999999999</v>
      </c>
      <c r="U811" s="311">
        <f t="shared" ca="1" si="350"/>
        <v>0</v>
      </c>
      <c r="V811" s="306">
        <f t="shared" ca="1" si="351"/>
        <v>1.2264076745049539</v>
      </c>
      <c r="W811" s="304">
        <f t="shared" ca="1" si="352"/>
        <v>23.569814007897605</v>
      </c>
      <c r="Y811" s="314" t="str">
        <f t="shared" ca="1" si="370"/>
        <v/>
      </c>
      <c r="Z811" s="315" t="str">
        <f t="shared" ca="1" si="371"/>
        <v/>
      </c>
      <c r="AA811" s="316" t="str">
        <f t="shared" ca="1" si="372"/>
        <v/>
      </c>
      <c r="AC811" s="310" t="e">
        <f t="shared" ca="1" si="373"/>
        <v>#N/A</v>
      </c>
      <c r="AD811" s="323" t="e">
        <f t="shared" ca="1" si="374"/>
        <v>#N/A</v>
      </c>
      <c r="AE811" s="324" t="e">
        <f t="shared" ca="1" si="353"/>
        <v>#N/A</v>
      </c>
      <c r="AG811" s="306">
        <f t="shared" ca="1" si="375"/>
        <v>0.7087694012471939</v>
      </c>
      <c r="AH811" s="304">
        <f t="shared" ca="1" si="376"/>
        <v>-9.0827578917599858</v>
      </c>
    </row>
    <row r="812" spans="1:34" x14ac:dyDescent="0.2">
      <c r="A812" s="347">
        <f t="shared" ca="1" si="354"/>
        <v>1E-4</v>
      </c>
      <c r="B812" s="304">
        <f t="shared" ca="1" si="355"/>
        <v>32.542500000001581</v>
      </c>
      <c r="D812" s="306">
        <f t="shared" ca="1" si="356"/>
        <v>-0.55712881768145839</v>
      </c>
      <c r="E812" s="307">
        <f t="shared" ca="1" si="357"/>
        <v>-0.74432300574456534</v>
      </c>
      <c r="F812" s="304">
        <f t="shared" ca="1" si="358"/>
        <v>0.92973612190328714</v>
      </c>
      <c r="G812" s="306">
        <f t="shared" ca="1" si="359"/>
        <v>5.9423328069022947</v>
      </c>
      <c r="H812" s="307">
        <f t="shared" ca="1" si="360"/>
        <v>-96.695440360284962</v>
      </c>
      <c r="I812" s="304">
        <f t="shared" ca="1" si="361"/>
        <v>96.877858696698155</v>
      </c>
      <c r="J812" s="306">
        <f t="shared" ca="1" si="362"/>
        <v>588.9746359926213</v>
      </c>
      <c r="K812" s="307">
        <f t="shared" ca="1" si="363"/>
        <v>-11.494291372854684</v>
      </c>
      <c r="L812" s="304">
        <f t="shared" ca="1" si="348"/>
        <v>589.08678526750612</v>
      </c>
      <c r="M812" s="306">
        <f t="shared" ca="1" si="364"/>
        <v>-1.5094193986920965</v>
      </c>
      <c r="N812" s="304">
        <f t="shared" ca="1" si="365"/>
        <v>-86.483361060231658</v>
      </c>
      <c r="P812" s="310">
        <f t="shared" ca="1" si="366"/>
        <v>23</v>
      </c>
      <c r="Q812" s="304">
        <f t="shared" ca="1" si="367"/>
        <v>0</v>
      </c>
      <c r="R812" s="306">
        <f t="shared" ca="1" si="368"/>
        <v>0</v>
      </c>
      <c r="S812" s="307">
        <f t="shared" ca="1" si="369"/>
        <v>2.5949999999999998</v>
      </c>
      <c r="T812" s="304">
        <f t="shared" ca="1" si="349"/>
        <v>25.456949999999999</v>
      </c>
      <c r="U812" s="311">
        <f t="shared" ca="1" si="350"/>
        <v>0</v>
      </c>
      <c r="V812" s="306">
        <f t="shared" ca="1" si="351"/>
        <v>1.2264088603857637</v>
      </c>
      <c r="W812" s="304">
        <f t="shared" ca="1" si="352"/>
        <v>23.569871285753742</v>
      </c>
      <c r="Y812" s="314" t="str">
        <f t="shared" ca="1" si="370"/>
        <v/>
      </c>
      <c r="Z812" s="315" t="str">
        <f t="shared" ca="1" si="371"/>
        <v/>
      </c>
      <c r="AA812" s="316" t="str">
        <f t="shared" ca="1" si="372"/>
        <v/>
      </c>
      <c r="AC812" s="310" t="e">
        <f t="shared" ca="1" si="373"/>
        <v>#N/A</v>
      </c>
      <c r="AD812" s="323" t="e">
        <f t="shared" ca="1" si="374"/>
        <v>#N/A</v>
      </c>
      <c r="AE812" s="324" t="e">
        <f t="shared" ca="1" si="353"/>
        <v>#N/A</v>
      </c>
      <c r="AG812" s="306">
        <f t="shared" ca="1" si="375"/>
        <v>0.70874770226048511</v>
      </c>
      <c r="AH812" s="304">
        <f t="shared" ca="1" si="376"/>
        <v>-9.0827799645077487</v>
      </c>
    </row>
    <row r="813" spans="1:34" x14ac:dyDescent="0.2">
      <c r="A813" s="347">
        <f t="shared" ca="1" si="354"/>
        <v>1E-4</v>
      </c>
      <c r="B813" s="304">
        <f t="shared" ca="1" si="355"/>
        <v>32.542600000001585</v>
      </c>
      <c r="D813" s="306">
        <f t="shared" ca="1" si="356"/>
        <v>-0.55712454061812688</v>
      </c>
      <c r="E813" s="307">
        <f t="shared" ca="1" si="357"/>
        <v>-0.74430062886797721</v>
      </c>
      <c r="F813" s="304">
        <f t="shared" ca="1" si="358"/>
        <v>0.92971564464207301</v>
      </c>
      <c r="G813" s="306">
        <f t="shared" ca="1" si="359"/>
        <v>5.942277094448233</v>
      </c>
      <c r="H813" s="307">
        <f t="shared" ca="1" si="360"/>
        <v>-96.695514790347843</v>
      </c>
      <c r="I813" s="304">
        <f t="shared" ca="1" si="361"/>
        <v>96.877929569317203</v>
      </c>
      <c r="J813" s="306">
        <f t="shared" ca="1" si="362"/>
        <v>588.9746359926213</v>
      </c>
      <c r="K813" s="307">
        <f t="shared" ca="1" si="363"/>
        <v>-11.503960920612217</v>
      </c>
      <c r="L813" s="304">
        <f t="shared" ca="1" si="348"/>
        <v>589.08697401954464</v>
      </c>
      <c r="M813" s="306">
        <f t="shared" ca="1" si="364"/>
        <v>-1.5094200198136487</v>
      </c>
      <c r="N813" s="304">
        <f t="shared" ca="1" si="365"/>
        <v>-86.483396647875168</v>
      </c>
      <c r="P813" s="310">
        <f t="shared" ca="1" si="366"/>
        <v>23</v>
      </c>
      <c r="Q813" s="304">
        <f t="shared" ca="1" si="367"/>
        <v>0</v>
      </c>
      <c r="R813" s="306">
        <f t="shared" ca="1" si="368"/>
        <v>0</v>
      </c>
      <c r="S813" s="307">
        <f t="shared" ca="1" si="369"/>
        <v>2.5949999999999998</v>
      </c>
      <c r="T813" s="304">
        <f t="shared" ca="1" si="349"/>
        <v>25.456949999999999</v>
      </c>
      <c r="U813" s="311">
        <f t="shared" ca="1" si="350"/>
        <v>0</v>
      </c>
      <c r="V813" s="306">
        <f t="shared" ca="1" si="351"/>
        <v>1.2264100462686334</v>
      </c>
      <c r="W813" s="304">
        <f t="shared" ca="1" si="352"/>
        <v>23.569928562685543</v>
      </c>
      <c r="Y813" s="314" t="str">
        <f t="shared" ca="1" si="370"/>
        <v/>
      </c>
      <c r="Z813" s="315" t="str">
        <f t="shared" ca="1" si="371"/>
        <v/>
      </c>
      <c r="AA813" s="316" t="str">
        <f t="shared" ca="1" si="372"/>
        <v/>
      </c>
      <c r="AC813" s="310" t="e">
        <f t="shared" ca="1" si="373"/>
        <v>#N/A</v>
      </c>
      <c r="AD813" s="323" t="e">
        <f t="shared" ca="1" si="374"/>
        <v>#N/A</v>
      </c>
      <c r="AE813" s="324" t="e">
        <f t="shared" ca="1" si="353"/>
        <v>#N/A</v>
      </c>
      <c r="AG813" s="306">
        <f t="shared" ca="1" si="375"/>
        <v>0.70872600362213589</v>
      </c>
      <c r="AH813" s="304">
        <f t="shared" ca="1" si="376"/>
        <v>-9.0828020368993236</v>
      </c>
    </row>
    <row r="814" spans="1:34" x14ac:dyDescent="0.2">
      <c r="A814" s="347">
        <f t="shared" ca="1" si="354"/>
        <v>1E-4</v>
      </c>
      <c r="B814" s="304">
        <f t="shared" ca="1" si="355"/>
        <v>32.542700000001588</v>
      </c>
      <c r="D814" s="306">
        <f t="shared" ca="1" si="356"/>
        <v>-0.5571202635663961</v>
      </c>
      <c r="E814" s="307">
        <f t="shared" ca="1" si="357"/>
        <v>-0.74427825235248513</v>
      </c>
      <c r="F814" s="304">
        <f t="shared" ca="1" si="358"/>
        <v>0.92969516778412919</v>
      </c>
      <c r="G814" s="306">
        <f t="shared" ca="1" si="359"/>
        <v>5.9422213824218764</v>
      </c>
      <c r="H814" s="307">
        <f t="shared" ca="1" si="360"/>
        <v>-96.695589218173083</v>
      </c>
      <c r="I814" s="304">
        <f t="shared" ca="1" si="361"/>
        <v>96.878000439766424</v>
      </c>
      <c r="J814" s="306">
        <f t="shared" ca="1" si="362"/>
        <v>588.9746359926213</v>
      </c>
      <c r="K814" s="307">
        <f t="shared" ca="1" si="363"/>
        <v>-11.513630475812644</v>
      </c>
      <c r="L814" s="304">
        <f t="shared" ca="1" si="348"/>
        <v>589.08716293038867</v>
      </c>
      <c r="M814" s="306">
        <f t="shared" ca="1" si="364"/>
        <v>-1.5094206409284687</v>
      </c>
      <c r="N814" s="304">
        <f t="shared" ca="1" si="365"/>
        <v>-86.483432235132952</v>
      </c>
      <c r="P814" s="310">
        <f t="shared" ca="1" si="366"/>
        <v>23</v>
      </c>
      <c r="Q814" s="304">
        <f t="shared" ca="1" si="367"/>
        <v>0</v>
      </c>
      <c r="R814" s="306">
        <f t="shared" ca="1" si="368"/>
        <v>0</v>
      </c>
      <c r="S814" s="307">
        <f t="shared" ca="1" si="369"/>
        <v>2.5949999999999998</v>
      </c>
      <c r="T814" s="304">
        <f t="shared" ca="1" si="349"/>
        <v>25.456949999999999</v>
      </c>
      <c r="U814" s="311">
        <f t="shared" ca="1" si="350"/>
        <v>0</v>
      </c>
      <c r="V814" s="306">
        <f t="shared" ca="1" si="351"/>
        <v>1.2264112321535636</v>
      </c>
      <c r="W814" s="304">
        <f t="shared" ca="1" si="352"/>
        <v>23.569985838693054</v>
      </c>
      <c r="Y814" s="314" t="str">
        <f t="shared" ca="1" si="370"/>
        <v/>
      </c>
      <c r="Z814" s="315" t="str">
        <f t="shared" ca="1" si="371"/>
        <v/>
      </c>
      <c r="AA814" s="316" t="str">
        <f t="shared" ca="1" si="372"/>
        <v/>
      </c>
      <c r="AC814" s="310" t="e">
        <f t="shared" ca="1" si="373"/>
        <v>#N/A</v>
      </c>
      <c r="AD814" s="323" t="e">
        <f t="shared" ca="1" si="374"/>
        <v>#N/A</v>
      </c>
      <c r="AE814" s="324" t="e">
        <f t="shared" ca="1" si="353"/>
        <v>#N/A</v>
      </c>
      <c r="AG814" s="306">
        <f t="shared" ca="1" si="375"/>
        <v>0.70870430533215512</v>
      </c>
      <c r="AH814" s="304">
        <f t="shared" ca="1" si="376"/>
        <v>-9.0828241089346999</v>
      </c>
    </row>
    <row r="815" spans="1:34" x14ac:dyDescent="0.2">
      <c r="A815" s="347">
        <f t="shared" ca="1" si="354"/>
        <v>1E-4</v>
      </c>
      <c r="B815" s="304">
        <f t="shared" ca="1" si="355"/>
        <v>32.542800000001591</v>
      </c>
      <c r="D815" s="306">
        <f t="shared" ca="1" si="356"/>
        <v>-0.55711598652626815</v>
      </c>
      <c r="E815" s="307">
        <f t="shared" ca="1" si="357"/>
        <v>-0.74425587619806777</v>
      </c>
      <c r="F815" s="304">
        <f t="shared" ca="1" si="358"/>
        <v>0.92967469132944058</v>
      </c>
      <c r="G815" s="306">
        <f t="shared" ca="1" si="359"/>
        <v>5.9421656708232238</v>
      </c>
      <c r="H815" s="307">
        <f t="shared" ca="1" si="360"/>
        <v>-96.695663643760696</v>
      </c>
      <c r="I815" s="304">
        <f t="shared" ca="1" si="361"/>
        <v>96.878071308045833</v>
      </c>
      <c r="J815" s="306">
        <f t="shared" ca="1" si="362"/>
        <v>588.9746359926213</v>
      </c>
      <c r="K815" s="307">
        <f t="shared" ca="1" si="363"/>
        <v>-11.523300038455741</v>
      </c>
      <c r="L815" s="304">
        <f t="shared" ca="1" si="348"/>
        <v>589.08735200003832</v>
      </c>
      <c r="M815" s="306">
        <f t="shared" ca="1" si="364"/>
        <v>-1.5094212620365568</v>
      </c>
      <c r="N815" s="304">
        <f t="shared" ca="1" si="365"/>
        <v>-86.483467822005011</v>
      </c>
      <c r="P815" s="310">
        <f t="shared" ca="1" si="366"/>
        <v>23</v>
      </c>
      <c r="Q815" s="304">
        <f t="shared" ca="1" si="367"/>
        <v>0</v>
      </c>
      <c r="R815" s="306">
        <f t="shared" ca="1" si="368"/>
        <v>0</v>
      </c>
      <c r="S815" s="307">
        <f t="shared" ca="1" si="369"/>
        <v>2.5949999999999998</v>
      </c>
      <c r="T815" s="304">
        <f t="shared" ca="1" si="349"/>
        <v>25.456949999999999</v>
      </c>
      <c r="U815" s="311">
        <f t="shared" ca="1" si="350"/>
        <v>0</v>
      </c>
      <c r="V815" s="306">
        <f t="shared" ca="1" si="351"/>
        <v>1.2264124180405538</v>
      </c>
      <c r="W815" s="304">
        <f t="shared" ca="1" si="352"/>
        <v>23.570043113776254</v>
      </c>
      <c r="Y815" s="314" t="str">
        <f t="shared" ca="1" si="370"/>
        <v/>
      </c>
      <c r="Z815" s="315" t="str">
        <f t="shared" ca="1" si="371"/>
        <v/>
      </c>
      <c r="AA815" s="316" t="str">
        <f t="shared" ca="1" si="372"/>
        <v/>
      </c>
      <c r="AC815" s="310" t="e">
        <f t="shared" ca="1" si="373"/>
        <v>#N/A</v>
      </c>
      <c r="AD815" s="323" t="e">
        <f t="shared" ca="1" si="374"/>
        <v>#N/A</v>
      </c>
      <c r="AE815" s="324" t="e">
        <f t="shared" ca="1" si="353"/>
        <v>#N/A</v>
      </c>
      <c r="AG815" s="306">
        <f t="shared" ca="1" si="375"/>
        <v>0.70868260739052857</v>
      </c>
      <c r="AH815" s="304">
        <f t="shared" ca="1" si="376"/>
        <v>-9.0828461806138936</v>
      </c>
    </row>
    <row r="816" spans="1:34" x14ac:dyDescent="0.2">
      <c r="A816" s="347">
        <f t="shared" ca="1" si="354"/>
        <v>1E-4</v>
      </c>
      <c r="B816" s="304">
        <f t="shared" ca="1" si="355"/>
        <v>32.542900000001595</v>
      </c>
      <c r="D816" s="306">
        <f t="shared" ca="1" si="356"/>
        <v>-0.55711170949774169</v>
      </c>
      <c r="E816" s="307">
        <f t="shared" ca="1" si="357"/>
        <v>-0.74423350040473579</v>
      </c>
      <c r="F816" s="304">
        <f t="shared" ca="1" si="358"/>
        <v>0.92965421527801506</v>
      </c>
      <c r="G816" s="306">
        <f t="shared" ca="1" si="359"/>
        <v>5.9421099596522744</v>
      </c>
      <c r="H816" s="307">
        <f t="shared" ca="1" si="360"/>
        <v>-96.695738067110739</v>
      </c>
      <c r="I816" s="304">
        <f t="shared" ca="1" si="361"/>
        <v>96.878142174155499</v>
      </c>
      <c r="J816" s="306">
        <f t="shared" ca="1" si="362"/>
        <v>588.9746359926213</v>
      </c>
      <c r="K816" s="307">
        <f t="shared" ca="1" si="363"/>
        <v>-11.532969608541285</v>
      </c>
      <c r="L816" s="304">
        <f t="shared" ca="1" si="348"/>
        <v>589.08754122849371</v>
      </c>
      <c r="M816" s="306">
        <f t="shared" ca="1" si="364"/>
        <v>-1.5094218831379129</v>
      </c>
      <c r="N816" s="304">
        <f t="shared" ca="1" si="365"/>
        <v>-86.483503408491373</v>
      </c>
      <c r="P816" s="310">
        <f t="shared" ca="1" si="366"/>
        <v>23</v>
      </c>
      <c r="Q816" s="304">
        <f t="shared" ca="1" si="367"/>
        <v>0</v>
      </c>
      <c r="R816" s="306">
        <f t="shared" ca="1" si="368"/>
        <v>0</v>
      </c>
      <c r="S816" s="307">
        <f t="shared" ca="1" si="369"/>
        <v>2.5949999999999998</v>
      </c>
      <c r="T816" s="304">
        <f t="shared" ca="1" si="349"/>
        <v>25.456949999999999</v>
      </c>
      <c r="U816" s="311">
        <f t="shared" ca="1" si="350"/>
        <v>0</v>
      </c>
      <c r="V816" s="306">
        <f t="shared" ca="1" si="351"/>
        <v>1.2264136039296045</v>
      </c>
      <c r="W816" s="304">
        <f t="shared" ca="1" si="352"/>
        <v>23.570100387935195</v>
      </c>
      <c r="Y816" s="314" t="str">
        <f t="shared" ca="1" si="370"/>
        <v/>
      </c>
      <c r="Z816" s="315" t="str">
        <f t="shared" ca="1" si="371"/>
        <v/>
      </c>
      <c r="AA816" s="316" t="str">
        <f t="shared" ca="1" si="372"/>
        <v/>
      </c>
      <c r="AC816" s="310" t="e">
        <f t="shared" ca="1" si="373"/>
        <v>#N/A</v>
      </c>
      <c r="AD816" s="323" t="e">
        <f t="shared" ca="1" si="374"/>
        <v>#N/A</v>
      </c>
      <c r="AE816" s="324" t="e">
        <f t="shared" ca="1" si="353"/>
        <v>#N/A</v>
      </c>
      <c r="AG816" s="306">
        <f t="shared" ca="1" si="375"/>
        <v>0.70866090979725982</v>
      </c>
      <c r="AH816" s="304">
        <f t="shared" ca="1" si="376"/>
        <v>-9.0828682519369011</v>
      </c>
    </row>
    <row r="817" spans="1:34" x14ac:dyDescent="0.2">
      <c r="A817" s="347">
        <f t="shared" ca="1" si="354"/>
        <v>1E-4</v>
      </c>
      <c r="B817" s="304">
        <f t="shared" ca="1" si="355"/>
        <v>32.543000000001598</v>
      </c>
      <c r="D817" s="306">
        <f t="shared" ca="1" si="356"/>
        <v>-0.55710743248081906</v>
      </c>
      <c r="E817" s="307">
        <f t="shared" ca="1" si="357"/>
        <v>-0.74421112497246789</v>
      </c>
      <c r="F817" s="304">
        <f t="shared" ca="1" si="358"/>
        <v>0.92963373962983753</v>
      </c>
      <c r="G817" s="306">
        <f t="shared" ca="1" si="359"/>
        <v>5.9420542489090264</v>
      </c>
      <c r="H817" s="307">
        <f t="shared" ca="1" si="360"/>
        <v>-96.69581248822324</v>
      </c>
      <c r="I817" s="304">
        <f t="shared" ca="1" si="361"/>
        <v>96.878213038095453</v>
      </c>
      <c r="J817" s="306">
        <f t="shared" ca="1" si="362"/>
        <v>588.9746359926213</v>
      </c>
      <c r="K817" s="307">
        <f t="shared" ca="1" si="363"/>
        <v>-11.542639186069051</v>
      </c>
      <c r="L817" s="304">
        <f t="shared" ca="1" si="348"/>
        <v>589.08773061575516</v>
      </c>
      <c r="M817" s="306">
        <f t="shared" ca="1" si="364"/>
        <v>-1.5094225042325373</v>
      </c>
      <c r="N817" s="304">
        <f t="shared" ca="1" si="365"/>
        <v>-86.483538994592024</v>
      </c>
      <c r="P817" s="310">
        <f t="shared" ca="1" si="366"/>
        <v>23</v>
      </c>
      <c r="Q817" s="304">
        <f t="shared" ca="1" si="367"/>
        <v>0</v>
      </c>
      <c r="R817" s="306">
        <f t="shared" ca="1" si="368"/>
        <v>0</v>
      </c>
      <c r="S817" s="307">
        <f t="shared" ca="1" si="369"/>
        <v>2.5949999999999998</v>
      </c>
      <c r="T817" s="304">
        <f t="shared" ca="1" si="349"/>
        <v>25.456949999999999</v>
      </c>
      <c r="U817" s="311">
        <f t="shared" ca="1" si="350"/>
        <v>0</v>
      </c>
      <c r="V817" s="306">
        <f t="shared" ca="1" si="351"/>
        <v>1.2264147898207147</v>
      </c>
      <c r="W817" s="304">
        <f t="shared" ca="1" si="352"/>
        <v>23.570157661169855</v>
      </c>
      <c r="Y817" s="314" t="str">
        <f t="shared" ca="1" si="370"/>
        <v/>
      </c>
      <c r="Z817" s="315" t="str">
        <f t="shared" ca="1" si="371"/>
        <v/>
      </c>
      <c r="AA817" s="316" t="str">
        <f t="shared" ca="1" si="372"/>
        <v/>
      </c>
      <c r="AC817" s="310" t="e">
        <f t="shared" ca="1" si="373"/>
        <v>#N/A</v>
      </c>
      <c r="AD817" s="323" t="e">
        <f t="shared" ca="1" si="374"/>
        <v>#N/A</v>
      </c>
      <c r="AE817" s="324" t="e">
        <f t="shared" ca="1" si="353"/>
        <v>#N/A</v>
      </c>
      <c r="AG817" s="306">
        <f t="shared" ca="1" si="375"/>
        <v>0.70863921255233819</v>
      </c>
      <c r="AH817" s="304">
        <f t="shared" ca="1" si="376"/>
        <v>-9.0828903229037365</v>
      </c>
    </row>
    <row r="818" spans="1:34" x14ac:dyDescent="0.2">
      <c r="A818" s="347">
        <f t="shared" ca="1" si="354"/>
        <v>1E-4</v>
      </c>
      <c r="B818" s="304">
        <f t="shared" ca="1" si="355"/>
        <v>32.543100000001601</v>
      </c>
      <c r="D818" s="306">
        <f t="shared" ca="1" si="356"/>
        <v>-0.55710315547549882</v>
      </c>
      <c r="E818" s="307">
        <f t="shared" ca="1" si="357"/>
        <v>-0.74418874990127293</v>
      </c>
      <c r="F818" s="304">
        <f t="shared" ca="1" si="358"/>
        <v>0.92961326438491465</v>
      </c>
      <c r="G818" s="306">
        <f t="shared" ca="1" si="359"/>
        <v>5.941998538593479</v>
      </c>
      <c r="H818" s="307">
        <f t="shared" ca="1" si="360"/>
        <v>-96.695886907098227</v>
      </c>
      <c r="I818" s="304">
        <f t="shared" ca="1" si="361"/>
        <v>96.878283899865707</v>
      </c>
      <c r="J818" s="306">
        <f t="shared" ca="1" si="362"/>
        <v>588.9746359926213</v>
      </c>
      <c r="K818" s="307">
        <f t="shared" ca="1" si="363"/>
        <v>-11.552308771038817</v>
      </c>
      <c r="L818" s="304">
        <f t="shared" ca="1" si="348"/>
        <v>589.08792016182281</v>
      </c>
      <c r="M818" s="306">
        <f t="shared" ca="1" si="364"/>
        <v>-1.5094231253204298</v>
      </c>
      <c r="N818" s="304">
        <f t="shared" ca="1" si="365"/>
        <v>-86.483574580306978</v>
      </c>
      <c r="P818" s="310">
        <f t="shared" ca="1" si="366"/>
        <v>23</v>
      </c>
      <c r="Q818" s="304">
        <f t="shared" ca="1" si="367"/>
        <v>0</v>
      </c>
      <c r="R818" s="306">
        <f t="shared" ca="1" si="368"/>
        <v>0</v>
      </c>
      <c r="S818" s="307">
        <f t="shared" ca="1" si="369"/>
        <v>2.5949999999999998</v>
      </c>
      <c r="T818" s="304">
        <f t="shared" ca="1" si="349"/>
        <v>25.456949999999999</v>
      </c>
      <c r="U818" s="311">
        <f t="shared" ca="1" si="350"/>
        <v>0</v>
      </c>
      <c r="V818" s="306">
        <f t="shared" ca="1" si="351"/>
        <v>1.2264159757138853</v>
      </c>
      <c r="W818" s="304">
        <f t="shared" ca="1" si="352"/>
        <v>23.570214933480258</v>
      </c>
      <c r="Y818" s="314" t="str">
        <f t="shared" ca="1" si="370"/>
        <v/>
      </c>
      <c r="Z818" s="315" t="str">
        <f t="shared" ca="1" si="371"/>
        <v/>
      </c>
      <c r="AA818" s="316" t="str">
        <f t="shared" ca="1" si="372"/>
        <v/>
      </c>
      <c r="AC818" s="310" t="e">
        <f t="shared" ca="1" si="373"/>
        <v>#N/A</v>
      </c>
      <c r="AD818" s="323" t="e">
        <f t="shared" ca="1" si="374"/>
        <v>#N/A</v>
      </c>
      <c r="AE818" s="324" t="e">
        <f t="shared" ca="1" si="353"/>
        <v>#N/A</v>
      </c>
      <c r="AG818" s="306">
        <f t="shared" ca="1" si="375"/>
        <v>0.70861751565576192</v>
      </c>
      <c r="AH818" s="304">
        <f t="shared" ca="1" si="376"/>
        <v>-9.0829123935143965</v>
      </c>
    </row>
    <row r="819" spans="1:34" x14ac:dyDescent="0.2">
      <c r="A819" s="347">
        <f t="shared" ca="1" si="354"/>
        <v>1E-4</v>
      </c>
      <c r="B819" s="304">
        <f t="shared" ca="1" si="355"/>
        <v>32.543200000001605</v>
      </c>
      <c r="D819" s="306">
        <f t="shared" ca="1" si="356"/>
        <v>-0.55709887848178452</v>
      </c>
      <c r="E819" s="307">
        <f t="shared" ca="1" si="357"/>
        <v>-0.74416637519114204</v>
      </c>
      <c r="F819" s="304">
        <f t="shared" ca="1" si="358"/>
        <v>0.92959278954324176</v>
      </c>
      <c r="G819" s="306">
        <f t="shared" ca="1" si="359"/>
        <v>5.9419428287056313</v>
      </c>
      <c r="H819" s="307">
        <f t="shared" ca="1" si="360"/>
        <v>-96.695961323735744</v>
      </c>
      <c r="I819" s="304">
        <f t="shared" ca="1" si="361"/>
        <v>96.878354759466291</v>
      </c>
      <c r="J819" s="306">
        <f t="shared" ca="1" si="362"/>
        <v>588.9746359926213</v>
      </c>
      <c r="K819" s="307">
        <f t="shared" ca="1" si="363"/>
        <v>-11.561978363450358</v>
      </c>
      <c r="L819" s="304">
        <f t="shared" ca="1" si="348"/>
        <v>589.08810986669698</v>
      </c>
      <c r="M819" s="306">
        <f t="shared" ca="1" si="364"/>
        <v>-1.5094237464015907</v>
      </c>
      <c r="N819" s="304">
        <f t="shared" ca="1" si="365"/>
        <v>-86.483610165636236</v>
      </c>
      <c r="P819" s="310">
        <f t="shared" ca="1" si="366"/>
        <v>23</v>
      </c>
      <c r="Q819" s="304">
        <f t="shared" ca="1" si="367"/>
        <v>0</v>
      </c>
      <c r="R819" s="306">
        <f t="shared" ca="1" si="368"/>
        <v>0</v>
      </c>
      <c r="S819" s="307">
        <f t="shared" ca="1" si="369"/>
        <v>2.5949999999999998</v>
      </c>
      <c r="T819" s="304">
        <f t="shared" ca="1" si="349"/>
        <v>25.456949999999999</v>
      </c>
      <c r="U819" s="311">
        <f t="shared" ca="1" si="350"/>
        <v>0</v>
      </c>
      <c r="V819" s="306">
        <f t="shared" ca="1" si="351"/>
        <v>1.226417161609116</v>
      </c>
      <c r="W819" s="304">
        <f t="shared" ca="1" si="352"/>
        <v>23.570272204866406</v>
      </c>
      <c r="Y819" s="314" t="str">
        <f t="shared" ca="1" si="370"/>
        <v/>
      </c>
      <c r="Z819" s="315" t="str">
        <f t="shared" ca="1" si="371"/>
        <v/>
      </c>
      <c r="AA819" s="316" t="str">
        <f t="shared" ca="1" si="372"/>
        <v/>
      </c>
      <c r="AC819" s="310" t="e">
        <f t="shared" ca="1" si="373"/>
        <v>#N/A</v>
      </c>
      <c r="AD819" s="323" t="e">
        <f t="shared" ca="1" si="374"/>
        <v>#N/A</v>
      </c>
      <c r="AE819" s="324" t="e">
        <f t="shared" ca="1" si="353"/>
        <v>#N/A</v>
      </c>
      <c r="AG819" s="306">
        <f t="shared" ca="1" si="375"/>
        <v>0.70859581910752922</v>
      </c>
      <c r="AH819" s="304">
        <f t="shared" ca="1" si="376"/>
        <v>-9.0829344637688862</v>
      </c>
    </row>
    <row r="820" spans="1:34" x14ac:dyDescent="0.2">
      <c r="A820" s="347">
        <f t="shared" ca="1" si="354"/>
        <v>1E-4</v>
      </c>
      <c r="B820" s="304">
        <f t="shared" ca="1" si="355"/>
        <v>32.543300000001608</v>
      </c>
      <c r="D820" s="306">
        <f t="shared" ca="1" si="356"/>
        <v>-0.5570946014996736</v>
      </c>
      <c r="E820" s="307">
        <f t="shared" ca="1" si="357"/>
        <v>-0.74414400084207344</v>
      </c>
      <c r="F820" s="304">
        <f t="shared" ca="1" si="358"/>
        <v>0.9295723151048163</v>
      </c>
      <c r="G820" s="306">
        <f t="shared" ca="1" si="359"/>
        <v>5.9418871192454814</v>
      </c>
      <c r="H820" s="307">
        <f t="shared" ca="1" si="360"/>
        <v>-96.696035738135834</v>
      </c>
      <c r="I820" s="304">
        <f t="shared" ca="1" si="361"/>
        <v>96.878425616897275</v>
      </c>
      <c r="J820" s="306">
        <f t="shared" ca="1" si="362"/>
        <v>588.9746359926213</v>
      </c>
      <c r="K820" s="307">
        <f t="shared" ca="1" si="363"/>
        <v>-11.571647963303452</v>
      </c>
      <c r="L820" s="304">
        <f t="shared" ca="1" si="348"/>
        <v>589.0882997303778</v>
      </c>
      <c r="M820" s="306">
        <f t="shared" ca="1" si="364"/>
        <v>-1.5094243674760202</v>
      </c>
      <c r="N820" s="304">
        <f t="shared" ca="1" si="365"/>
        <v>-86.483645750579797</v>
      </c>
      <c r="P820" s="310">
        <f t="shared" ca="1" si="366"/>
        <v>23</v>
      </c>
      <c r="Q820" s="304">
        <f t="shared" ca="1" si="367"/>
        <v>0</v>
      </c>
      <c r="R820" s="306">
        <f t="shared" ca="1" si="368"/>
        <v>0</v>
      </c>
      <c r="S820" s="307">
        <f t="shared" ca="1" si="369"/>
        <v>2.5949999999999998</v>
      </c>
      <c r="T820" s="304">
        <f t="shared" ca="1" si="349"/>
        <v>25.456949999999999</v>
      </c>
      <c r="U820" s="311">
        <f t="shared" ca="1" si="350"/>
        <v>0</v>
      </c>
      <c r="V820" s="306">
        <f t="shared" ca="1" si="351"/>
        <v>1.2264183475064065</v>
      </c>
      <c r="W820" s="304">
        <f t="shared" ca="1" si="352"/>
        <v>23.570329475328329</v>
      </c>
      <c r="Y820" s="314" t="str">
        <f t="shared" ca="1" si="370"/>
        <v/>
      </c>
      <c r="Z820" s="315" t="str">
        <f t="shared" ca="1" si="371"/>
        <v/>
      </c>
      <c r="AA820" s="316" t="str">
        <f t="shared" ca="1" si="372"/>
        <v/>
      </c>
      <c r="AC820" s="310" t="e">
        <f t="shared" ca="1" si="373"/>
        <v>#N/A</v>
      </c>
      <c r="AD820" s="323" t="e">
        <f t="shared" ca="1" si="374"/>
        <v>#N/A</v>
      </c>
      <c r="AE820" s="324" t="e">
        <f t="shared" ca="1" si="353"/>
        <v>#N/A</v>
      </c>
      <c r="AG820" s="306">
        <f t="shared" ca="1" si="375"/>
        <v>0.70857412290763477</v>
      </c>
      <c r="AH820" s="304">
        <f t="shared" ca="1" si="376"/>
        <v>-9.0829565336672093</v>
      </c>
    </row>
    <row r="821" spans="1:34" x14ac:dyDescent="0.2">
      <c r="A821" s="347">
        <f t="shared" ca="1" si="354"/>
        <v>1E-4</v>
      </c>
      <c r="B821" s="304">
        <f t="shared" ca="1" si="355"/>
        <v>32.543400000001611</v>
      </c>
      <c r="D821" s="306">
        <f t="shared" ca="1" si="356"/>
        <v>-0.55709032452916774</v>
      </c>
      <c r="E821" s="307">
        <f t="shared" ca="1" si="357"/>
        <v>-0.74412162685405647</v>
      </c>
      <c r="F821" s="304">
        <f t="shared" ca="1" si="358"/>
        <v>0.92955184106963129</v>
      </c>
      <c r="G821" s="306">
        <f t="shared" ca="1" si="359"/>
        <v>5.9418314102130285</v>
      </c>
      <c r="H821" s="307">
        <f t="shared" ca="1" si="360"/>
        <v>-96.696110150298523</v>
      </c>
      <c r="I821" s="304">
        <f t="shared" ca="1" si="361"/>
        <v>96.878496472158673</v>
      </c>
      <c r="J821" s="306">
        <f t="shared" ca="1" si="362"/>
        <v>588.9746359926213</v>
      </c>
      <c r="K821" s="307">
        <f t="shared" ca="1" si="363"/>
        <v>-11.581317570597873</v>
      </c>
      <c r="L821" s="304">
        <f t="shared" ca="1" si="348"/>
        <v>589.08848975286537</v>
      </c>
      <c r="M821" s="306">
        <f t="shared" ca="1" si="364"/>
        <v>-1.5094249885437181</v>
      </c>
      <c r="N821" s="304">
        <f t="shared" ca="1" si="365"/>
        <v>-86.483681335137689</v>
      </c>
      <c r="P821" s="310">
        <f t="shared" ca="1" si="366"/>
        <v>23</v>
      </c>
      <c r="Q821" s="304">
        <f t="shared" ca="1" si="367"/>
        <v>0</v>
      </c>
      <c r="R821" s="306">
        <f t="shared" ca="1" si="368"/>
        <v>0</v>
      </c>
      <c r="S821" s="307">
        <f t="shared" ca="1" si="369"/>
        <v>2.5949999999999998</v>
      </c>
      <c r="T821" s="304">
        <f t="shared" ca="1" si="349"/>
        <v>25.456949999999999</v>
      </c>
      <c r="U821" s="311">
        <f t="shared" ca="1" si="350"/>
        <v>0</v>
      </c>
      <c r="V821" s="306">
        <f t="shared" ca="1" si="351"/>
        <v>1.2264195334057573</v>
      </c>
      <c r="W821" s="304">
        <f t="shared" ca="1" si="352"/>
        <v>23.570386744866024</v>
      </c>
      <c r="Y821" s="314" t="str">
        <f t="shared" ca="1" si="370"/>
        <v/>
      </c>
      <c r="Z821" s="315" t="str">
        <f t="shared" ca="1" si="371"/>
        <v/>
      </c>
      <c r="AA821" s="316" t="str">
        <f t="shared" ca="1" si="372"/>
        <v/>
      </c>
      <c r="AC821" s="310" t="e">
        <f t="shared" ca="1" si="373"/>
        <v>#N/A</v>
      </c>
      <c r="AD821" s="323" t="e">
        <f t="shared" ca="1" si="374"/>
        <v>#N/A</v>
      </c>
      <c r="AE821" s="324" t="e">
        <f t="shared" ca="1" si="353"/>
        <v>#N/A</v>
      </c>
      <c r="AG821" s="306">
        <f t="shared" ca="1" si="375"/>
        <v>0.70855242705606969</v>
      </c>
      <c r="AH821" s="304">
        <f t="shared" ca="1" si="376"/>
        <v>-9.0829786032093764</v>
      </c>
    </row>
    <row r="822" spans="1:34" x14ac:dyDescent="0.2">
      <c r="A822" s="347">
        <f t="shared" ca="1" si="354"/>
        <v>1E-4</v>
      </c>
      <c r="B822" s="304">
        <f t="shared" ca="1" si="355"/>
        <v>32.543500000001615</v>
      </c>
      <c r="D822" s="306">
        <f t="shared" ca="1" si="356"/>
        <v>-0.55708604757026792</v>
      </c>
      <c r="E822" s="307">
        <f t="shared" ca="1" si="357"/>
        <v>-0.74409925322709292</v>
      </c>
      <c r="F822" s="304">
        <f t="shared" ca="1" si="358"/>
        <v>0.92953136743768905</v>
      </c>
      <c r="G822" s="306">
        <f t="shared" ca="1" si="359"/>
        <v>5.9417757016082717</v>
      </c>
      <c r="H822" s="307">
        <f t="shared" ca="1" si="360"/>
        <v>-96.696184560223841</v>
      </c>
      <c r="I822" s="304">
        <f t="shared" ca="1" si="361"/>
        <v>96.878567325250501</v>
      </c>
      <c r="J822" s="306">
        <f t="shared" ca="1" si="362"/>
        <v>588.9746359926213</v>
      </c>
      <c r="K822" s="307">
        <f t="shared" ca="1" si="363"/>
        <v>-11.590987185333399</v>
      </c>
      <c r="L822" s="304">
        <f t="shared" ca="1" si="348"/>
        <v>589.08867993416015</v>
      </c>
      <c r="M822" s="306">
        <f t="shared" ca="1" si="364"/>
        <v>-1.5094256096046847</v>
      </c>
      <c r="N822" s="304">
        <f t="shared" ca="1" si="365"/>
        <v>-86.483716919309899</v>
      </c>
      <c r="P822" s="310">
        <f t="shared" ca="1" si="366"/>
        <v>23</v>
      </c>
      <c r="Q822" s="304">
        <f t="shared" ca="1" si="367"/>
        <v>0</v>
      </c>
      <c r="R822" s="306">
        <f t="shared" ca="1" si="368"/>
        <v>0</v>
      </c>
      <c r="S822" s="307">
        <f t="shared" ca="1" si="369"/>
        <v>2.5949999999999998</v>
      </c>
      <c r="T822" s="304">
        <f t="shared" ca="1" si="349"/>
        <v>25.456949999999999</v>
      </c>
      <c r="U822" s="311">
        <f t="shared" ca="1" si="350"/>
        <v>0</v>
      </c>
      <c r="V822" s="306">
        <f t="shared" ca="1" si="351"/>
        <v>1.2264207193071675</v>
      </c>
      <c r="W822" s="304">
        <f t="shared" ca="1" si="352"/>
        <v>23.570444013479488</v>
      </c>
      <c r="Y822" s="314" t="str">
        <f t="shared" ca="1" si="370"/>
        <v/>
      </c>
      <c r="Z822" s="315" t="str">
        <f t="shared" ca="1" si="371"/>
        <v/>
      </c>
      <c r="AA822" s="316" t="str">
        <f t="shared" ca="1" si="372"/>
        <v/>
      </c>
      <c r="AC822" s="310" t="e">
        <f t="shared" ca="1" si="373"/>
        <v>#N/A</v>
      </c>
      <c r="AD822" s="323" t="e">
        <f t="shared" ca="1" si="374"/>
        <v>#N/A</v>
      </c>
      <c r="AE822" s="324" t="e">
        <f t="shared" ca="1" si="353"/>
        <v>#N/A</v>
      </c>
      <c r="AG822" s="306">
        <f t="shared" ca="1" si="375"/>
        <v>0.70853073155283575</v>
      </c>
      <c r="AH822" s="304">
        <f t="shared" ca="1" si="376"/>
        <v>-9.0830006723953858</v>
      </c>
    </row>
    <row r="823" spans="1:34" x14ac:dyDescent="0.2">
      <c r="A823" s="347">
        <f t="shared" ca="1" si="354"/>
        <v>1E-4</v>
      </c>
      <c r="B823" s="304">
        <f t="shared" ca="1" si="355"/>
        <v>32.543600000001618</v>
      </c>
      <c r="D823" s="306">
        <f t="shared" ca="1" si="356"/>
        <v>-0.55708177062297315</v>
      </c>
      <c r="E823" s="307">
        <f t="shared" ca="1" si="357"/>
        <v>-0.74407687996118099</v>
      </c>
      <c r="F823" s="304">
        <f t="shared" ca="1" si="358"/>
        <v>0.92951089420898814</v>
      </c>
      <c r="G823" s="306">
        <f t="shared" ca="1" si="359"/>
        <v>5.9417199934312093</v>
      </c>
      <c r="H823" s="307">
        <f t="shared" ca="1" si="360"/>
        <v>-96.696258967911831</v>
      </c>
      <c r="I823" s="304">
        <f t="shared" ca="1" si="361"/>
        <v>96.878638176172814</v>
      </c>
      <c r="J823" s="306">
        <f t="shared" ca="1" si="362"/>
        <v>588.9746359926213</v>
      </c>
      <c r="K823" s="307">
        <f t="shared" ca="1" si="363"/>
        <v>-11.600656807509806</v>
      </c>
      <c r="L823" s="304">
        <f t="shared" ca="1" si="348"/>
        <v>589.08887027426204</v>
      </c>
      <c r="M823" s="306">
        <f t="shared" ca="1" si="364"/>
        <v>-1.5094262306589201</v>
      </c>
      <c r="N823" s="304">
        <f t="shared" ca="1" si="365"/>
        <v>-86.483752503096426</v>
      </c>
      <c r="P823" s="310">
        <f t="shared" ca="1" si="366"/>
        <v>23</v>
      </c>
      <c r="Q823" s="304">
        <f t="shared" ca="1" si="367"/>
        <v>0</v>
      </c>
      <c r="R823" s="306">
        <f t="shared" ca="1" si="368"/>
        <v>0</v>
      </c>
      <c r="S823" s="307">
        <f t="shared" ca="1" si="369"/>
        <v>2.5949999999999998</v>
      </c>
      <c r="T823" s="304">
        <f t="shared" ca="1" si="349"/>
        <v>25.456949999999999</v>
      </c>
      <c r="U823" s="311">
        <f t="shared" ca="1" si="350"/>
        <v>0</v>
      </c>
      <c r="V823" s="306">
        <f t="shared" ca="1" si="351"/>
        <v>1.2264219052106382</v>
      </c>
      <c r="W823" s="304">
        <f t="shared" ca="1" si="352"/>
        <v>23.57050128116876</v>
      </c>
      <c r="Y823" s="314" t="str">
        <f t="shared" ca="1" si="370"/>
        <v/>
      </c>
      <c r="Z823" s="315" t="str">
        <f t="shared" ca="1" si="371"/>
        <v/>
      </c>
      <c r="AA823" s="316" t="str">
        <f t="shared" ca="1" si="372"/>
        <v/>
      </c>
      <c r="AC823" s="310" t="e">
        <f t="shared" ca="1" si="373"/>
        <v>#N/A</v>
      </c>
      <c r="AD823" s="323" t="e">
        <f t="shared" ca="1" si="374"/>
        <v>#N/A</v>
      </c>
      <c r="AE823" s="324" t="e">
        <f t="shared" ca="1" si="353"/>
        <v>#N/A</v>
      </c>
      <c r="AG823" s="306">
        <f t="shared" ca="1" si="375"/>
        <v>0.70850903639793117</v>
      </c>
      <c r="AH823" s="304">
        <f t="shared" ca="1" si="376"/>
        <v>-9.0830227412252373</v>
      </c>
    </row>
    <row r="824" spans="1:34" x14ac:dyDescent="0.2">
      <c r="A824" s="347">
        <f t="shared" ca="1" si="354"/>
        <v>1E-4</v>
      </c>
      <c r="B824" s="304">
        <f t="shared" ca="1" si="355"/>
        <v>32.543700000001621</v>
      </c>
      <c r="D824" s="306">
        <f t="shared" ca="1" si="356"/>
        <v>-0.55707749368728565</v>
      </c>
      <c r="E824" s="307">
        <f t="shared" ca="1" si="357"/>
        <v>-0.74405450705630827</v>
      </c>
      <c r="F824" s="304">
        <f t="shared" ca="1" si="358"/>
        <v>0.92949042138352012</v>
      </c>
      <c r="G824" s="306">
        <f t="shared" ca="1" si="359"/>
        <v>5.9416642856818402</v>
      </c>
      <c r="H824" s="307">
        <f t="shared" ca="1" si="360"/>
        <v>-96.696333373362535</v>
      </c>
      <c r="I824" s="304">
        <f t="shared" ca="1" si="361"/>
        <v>96.878709024925655</v>
      </c>
      <c r="J824" s="306">
        <f t="shared" ca="1" si="362"/>
        <v>588.9746359926213</v>
      </c>
      <c r="K824" s="307">
        <f t="shared" ca="1" si="363"/>
        <v>-11.610326437126869</v>
      </c>
      <c r="L824" s="304">
        <f t="shared" ca="1" si="348"/>
        <v>589.08906077317158</v>
      </c>
      <c r="M824" s="306">
        <f t="shared" ca="1" si="364"/>
        <v>-1.5094268517064242</v>
      </c>
      <c r="N824" s="304">
        <f t="shared" ca="1" si="365"/>
        <v>-86.483788086497285</v>
      </c>
      <c r="P824" s="310">
        <f t="shared" ca="1" si="366"/>
        <v>23</v>
      </c>
      <c r="Q824" s="304">
        <f t="shared" ca="1" si="367"/>
        <v>0</v>
      </c>
      <c r="R824" s="306">
        <f t="shared" ca="1" si="368"/>
        <v>0</v>
      </c>
      <c r="S824" s="307">
        <f t="shared" ca="1" si="369"/>
        <v>2.5949999999999998</v>
      </c>
      <c r="T824" s="304">
        <f t="shared" ca="1" si="349"/>
        <v>25.456949999999999</v>
      </c>
      <c r="U824" s="311">
        <f t="shared" ca="1" si="350"/>
        <v>0</v>
      </c>
      <c r="V824" s="306">
        <f t="shared" ca="1" si="351"/>
        <v>1.2264230911161687</v>
      </c>
      <c r="W824" s="304">
        <f t="shared" ca="1" si="352"/>
        <v>23.570558547933846</v>
      </c>
      <c r="Y824" s="314" t="str">
        <f t="shared" ca="1" si="370"/>
        <v/>
      </c>
      <c r="Z824" s="315" t="str">
        <f t="shared" ca="1" si="371"/>
        <v/>
      </c>
      <c r="AA824" s="316" t="str">
        <f t="shared" ca="1" si="372"/>
        <v/>
      </c>
      <c r="AC824" s="310" t="e">
        <f t="shared" ca="1" si="373"/>
        <v>#N/A</v>
      </c>
      <c r="AD824" s="323" t="e">
        <f t="shared" ca="1" si="374"/>
        <v>#N/A</v>
      </c>
      <c r="AE824" s="324" t="e">
        <f t="shared" ca="1" si="353"/>
        <v>#N/A</v>
      </c>
      <c r="AG824" s="306">
        <f t="shared" ca="1" si="375"/>
        <v>0.7084873415913453</v>
      </c>
      <c r="AH824" s="304">
        <f t="shared" ca="1" si="376"/>
        <v>-9.0830448096989453</v>
      </c>
    </row>
    <row r="825" spans="1:34" x14ac:dyDescent="0.2">
      <c r="A825" s="347">
        <f t="shared" ca="1" si="354"/>
        <v>1E-4</v>
      </c>
      <c r="B825" s="304">
        <f t="shared" ca="1" si="355"/>
        <v>32.543800000001625</v>
      </c>
      <c r="D825" s="306">
        <f t="shared" ca="1" si="356"/>
        <v>-0.55707321676320642</v>
      </c>
      <c r="E825" s="307">
        <f t="shared" ca="1" si="357"/>
        <v>-0.74403213451247296</v>
      </c>
      <c r="F825" s="304">
        <f t="shared" ca="1" si="358"/>
        <v>0.92946994896128465</v>
      </c>
      <c r="G825" s="306">
        <f t="shared" ca="1" si="359"/>
        <v>5.9416085783601638</v>
      </c>
      <c r="H825" s="307">
        <f t="shared" ca="1" si="360"/>
        <v>-96.696407776575981</v>
      </c>
      <c r="I825" s="304">
        <f t="shared" ca="1" si="361"/>
        <v>96.878779871509053</v>
      </c>
      <c r="J825" s="306">
        <f t="shared" ca="1" si="362"/>
        <v>588.9746359926213</v>
      </c>
      <c r="K825" s="307">
        <f t="shared" ca="1" si="363"/>
        <v>-11.619996074184366</v>
      </c>
      <c r="L825" s="304">
        <f t="shared" ca="1" si="348"/>
        <v>589.08925143088868</v>
      </c>
      <c r="M825" s="306">
        <f t="shared" ca="1" si="364"/>
        <v>-1.5094274727471972</v>
      </c>
      <c r="N825" s="304">
        <f t="shared" ca="1" si="365"/>
        <v>-86.483823669512489</v>
      </c>
      <c r="P825" s="310">
        <f t="shared" ca="1" si="366"/>
        <v>23</v>
      </c>
      <c r="Q825" s="304">
        <f t="shared" ca="1" si="367"/>
        <v>0</v>
      </c>
      <c r="R825" s="306">
        <f t="shared" ca="1" si="368"/>
        <v>0</v>
      </c>
      <c r="S825" s="307">
        <f t="shared" ca="1" si="369"/>
        <v>2.5949999999999998</v>
      </c>
      <c r="T825" s="304">
        <f t="shared" ca="1" si="349"/>
        <v>25.456949999999999</v>
      </c>
      <c r="U825" s="311">
        <f t="shared" ca="1" si="350"/>
        <v>0</v>
      </c>
      <c r="V825" s="306">
        <f t="shared" ca="1" si="351"/>
        <v>1.2264242770237588</v>
      </c>
      <c r="W825" s="304">
        <f t="shared" ca="1" si="352"/>
        <v>23.570615813774747</v>
      </c>
      <c r="Y825" s="314" t="str">
        <f t="shared" ca="1" si="370"/>
        <v/>
      </c>
      <c r="Z825" s="315" t="str">
        <f t="shared" ca="1" si="371"/>
        <v/>
      </c>
      <c r="AA825" s="316" t="str">
        <f t="shared" ca="1" si="372"/>
        <v/>
      </c>
      <c r="AC825" s="310" t="e">
        <f t="shared" ca="1" si="373"/>
        <v>#N/A</v>
      </c>
      <c r="AD825" s="323" t="e">
        <f t="shared" ca="1" si="374"/>
        <v>#N/A</v>
      </c>
      <c r="AE825" s="324" t="e">
        <f t="shared" ca="1" si="353"/>
        <v>#N/A</v>
      </c>
      <c r="AG825" s="306">
        <f t="shared" ca="1" si="375"/>
        <v>0.70846564713307458</v>
      </c>
      <c r="AH825" s="304">
        <f t="shared" ca="1" si="376"/>
        <v>-9.0830668778165116</v>
      </c>
    </row>
    <row r="826" spans="1:34" x14ac:dyDescent="0.2">
      <c r="A826" s="347">
        <f t="shared" ca="1" si="354"/>
        <v>1E-4</v>
      </c>
      <c r="B826" s="304">
        <f t="shared" ca="1" si="355"/>
        <v>32.543900000001628</v>
      </c>
      <c r="D826" s="306">
        <f t="shared" ca="1" si="356"/>
        <v>-0.5570689398507348</v>
      </c>
      <c r="E826" s="307">
        <f t="shared" ca="1" si="357"/>
        <v>-0.74400976232967153</v>
      </c>
      <c r="F826" s="304">
        <f t="shared" ca="1" si="358"/>
        <v>0.92944947694227897</v>
      </c>
      <c r="G826" s="306">
        <f t="shared" ca="1" si="359"/>
        <v>5.9415528714661789</v>
      </c>
      <c r="H826" s="307">
        <f t="shared" ca="1" si="360"/>
        <v>-96.696482177552213</v>
      </c>
      <c r="I826" s="304">
        <f t="shared" ca="1" si="361"/>
        <v>96.878850715923022</v>
      </c>
      <c r="J826" s="306">
        <f t="shared" ca="1" si="362"/>
        <v>588.9746359926213</v>
      </c>
      <c r="K826" s="307">
        <f t="shared" ca="1" si="363"/>
        <v>-11.629665718682071</v>
      </c>
      <c r="L826" s="304">
        <f t="shared" ca="1" si="348"/>
        <v>589.08944224741379</v>
      </c>
      <c r="M826" s="306">
        <f t="shared" ca="1" si="364"/>
        <v>-1.5094280937812392</v>
      </c>
      <c r="N826" s="304">
        <f t="shared" ca="1" si="365"/>
        <v>-86.483859252142025</v>
      </c>
      <c r="P826" s="310">
        <f t="shared" ca="1" si="366"/>
        <v>23</v>
      </c>
      <c r="Q826" s="304">
        <f t="shared" ca="1" si="367"/>
        <v>0</v>
      </c>
      <c r="R826" s="306">
        <f t="shared" ca="1" si="368"/>
        <v>0</v>
      </c>
      <c r="S826" s="307">
        <f t="shared" ca="1" si="369"/>
        <v>2.5949999999999998</v>
      </c>
      <c r="T826" s="304">
        <f t="shared" ca="1" si="349"/>
        <v>25.456949999999999</v>
      </c>
      <c r="U826" s="311">
        <f t="shared" ca="1" si="350"/>
        <v>0</v>
      </c>
      <c r="V826" s="306">
        <f t="shared" ca="1" si="351"/>
        <v>1.2264254629334093</v>
      </c>
      <c r="W826" s="304">
        <f t="shared" ca="1" si="352"/>
        <v>23.570673078691478</v>
      </c>
      <c r="Y826" s="314" t="str">
        <f t="shared" ca="1" si="370"/>
        <v/>
      </c>
      <c r="Z826" s="315" t="str">
        <f t="shared" ca="1" si="371"/>
        <v/>
      </c>
      <c r="AA826" s="316" t="str">
        <f t="shared" ca="1" si="372"/>
        <v/>
      </c>
      <c r="AC826" s="310" t="e">
        <f t="shared" ca="1" si="373"/>
        <v>#N/A</v>
      </c>
      <c r="AD826" s="323" t="e">
        <f t="shared" ca="1" si="374"/>
        <v>#N/A</v>
      </c>
      <c r="AE826" s="324" t="e">
        <f t="shared" ca="1" si="353"/>
        <v>#N/A</v>
      </c>
      <c r="AG826" s="306">
        <f t="shared" ca="1" si="375"/>
        <v>0.70844395302311547</v>
      </c>
      <c r="AH826" s="304">
        <f t="shared" ca="1" si="376"/>
        <v>-9.0830889455779378</v>
      </c>
    </row>
    <row r="827" spans="1:34" x14ac:dyDescent="0.2">
      <c r="A827" s="347">
        <f t="shared" ca="1" si="354"/>
        <v>1E-4</v>
      </c>
      <c r="B827" s="304">
        <f t="shared" ca="1" si="355"/>
        <v>32.544000000001631</v>
      </c>
      <c r="D827" s="306">
        <f t="shared" ca="1" si="356"/>
        <v>-0.55706466294987222</v>
      </c>
      <c r="E827" s="307">
        <f t="shared" ca="1" si="357"/>
        <v>-0.74398739050789864</v>
      </c>
      <c r="F827" s="304">
        <f t="shared" ca="1" si="358"/>
        <v>0.92942900532649997</v>
      </c>
      <c r="G827" s="306">
        <f t="shared" ca="1" si="359"/>
        <v>5.941497164999884</v>
      </c>
      <c r="H827" s="307">
        <f t="shared" ca="1" si="360"/>
        <v>-96.696556576291258</v>
      </c>
      <c r="I827" s="304">
        <f t="shared" ca="1" si="361"/>
        <v>96.878921558167633</v>
      </c>
      <c r="J827" s="306">
        <f t="shared" ca="1" si="362"/>
        <v>588.9746359926213</v>
      </c>
      <c r="K827" s="307">
        <f t="shared" ca="1" si="363"/>
        <v>-11.639335370619763</v>
      </c>
      <c r="L827" s="304">
        <f t="shared" ca="1" si="348"/>
        <v>589.0896332227469</v>
      </c>
      <c r="M827" s="306">
        <f t="shared" ca="1" si="364"/>
        <v>-1.5094287148085503</v>
      </c>
      <c r="N827" s="304">
        <f t="shared" ca="1" si="365"/>
        <v>-86.483894834385922</v>
      </c>
      <c r="P827" s="310">
        <f t="shared" ca="1" si="366"/>
        <v>23</v>
      </c>
      <c r="Q827" s="304">
        <f t="shared" ca="1" si="367"/>
        <v>0</v>
      </c>
      <c r="R827" s="306">
        <f t="shared" ca="1" si="368"/>
        <v>0</v>
      </c>
      <c r="S827" s="307">
        <f t="shared" ca="1" si="369"/>
        <v>2.5949999999999998</v>
      </c>
      <c r="T827" s="304">
        <f t="shared" ca="1" si="349"/>
        <v>25.456949999999999</v>
      </c>
      <c r="U827" s="311">
        <f t="shared" ca="1" si="350"/>
        <v>0</v>
      </c>
      <c r="V827" s="306">
        <f t="shared" ca="1" si="351"/>
        <v>1.2264266488451192</v>
      </c>
      <c r="W827" s="304">
        <f t="shared" ca="1" si="352"/>
        <v>23.570730342684058</v>
      </c>
      <c r="Y827" s="314" t="str">
        <f t="shared" ca="1" si="370"/>
        <v/>
      </c>
      <c r="Z827" s="315" t="str">
        <f t="shared" ca="1" si="371"/>
        <v/>
      </c>
      <c r="AA827" s="316" t="str">
        <f t="shared" ca="1" si="372"/>
        <v/>
      </c>
      <c r="AC827" s="310" t="e">
        <f t="shared" ca="1" si="373"/>
        <v>#N/A</v>
      </c>
      <c r="AD827" s="323" t="e">
        <f t="shared" ca="1" si="374"/>
        <v>#N/A</v>
      </c>
      <c r="AE827" s="324" t="e">
        <f t="shared" ca="1" si="353"/>
        <v>#N/A</v>
      </c>
      <c r="AG827" s="306">
        <f t="shared" ca="1" si="375"/>
        <v>0.70842225926146796</v>
      </c>
      <c r="AH827" s="304">
        <f t="shared" ca="1" si="376"/>
        <v>-9.0831110129832293</v>
      </c>
    </row>
    <row r="828" spans="1:34" x14ac:dyDescent="0.2">
      <c r="A828" s="347">
        <f t="shared" ca="1" si="354"/>
        <v>1E-4</v>
      </c>
      <c r="B828" s="304">
        <f t="shared" ca="1" si="355"/>
        <v>32.544100000001634</v>
      </c>
      <c r="D828" s="306">
        <f t="shared" ca="1" si="356"/>
        <v>-0.55706038606061825</v>
      </c>
      <c r="E828" s="307">
        <f t="shared" ca="1" si="357"/>
        <v>-0.74396501904715073</v>
      </c>
      <c r="F828" s="304">
        <f t="shared" ca="1" si="358"/>
        <v>0.9294085341139452</v>
      </c>
      <c r="G828" s="306">
        <f t="shared" ca="1" si="359"/>
        <v>5.9414414589612781</v>
      </c>
      <c r="H828" s="307">
        <f t="shared" ca="1" si="360"/>
        <v>-96.696630972793159</v>
      </c>
      <c r="I828" s="304">
        <f t="shared" ca="1" si="361"/>
        <v>96.8789923982429</v>
      </c>
      <c r="J828" s="306">
        <f t="shared" ca="1" si="362"/>
        <v>588.9746359926213</v>
      </c>
      <c r="K828" s="307">
        <f t="shared" ca="1" si="363"/>
        <v>-11.649005029997218</v>
      </c>
      <c r="L828" s="304">
        <f t="shared" ca="1" si="348"/>
        <v>589.08982435688836</v>
      </c>
      <c r="M828" s="306">
        <f t="shared" ca="1" si="364"/>
        <v>-1.5094293358291309</v>
      </c>
      <c r="N828" s="304">
        <f t="shared" ca="1" si="365"/>
        <v>-86.483930416244178</v>
      </c>
      <c r="P828" s="310">
        <f t="shared" ca="1" si="366"/>
        <v>23</v>
      </c>
      <c r="Q828" s="304">
        <f t="shared" ca="1" si="367"/>
        <v>0</v>
      </c>
      <c r="R828" s="306">
        <f t="shared" ca="1" si="368"/>
        <v>0</v>
      </c>
      <c r="S828" s="307">
        <f t="shared" ca="1" si="369"/>
        <v>2.5949999999999998</v>
      </c>
      <c r="T828" s="304">
        <f t="shared" ca="1" si="349"/>
        <v>25.456949999999999</v>
      </c>
      <c r="U828" s="311">
        <f t="shared" ca="1" si="350"/>
        <v>0</v>
      </c>
      <c r="V828" s="306">
        <f t="shared" ca="1" si="351"/>
        <v>1.2264278347588893</v>
      </c>
      <c r="W828" s="304">
        <f t="shared" ca="1" si="352"/>
        <v>23.570787605752493</v>
      </c>
      <c r="Y828" s="314" t="str">
        <f t="shared" ca="1" si="370"/>
        <v/>
      </c>
      <c r="Z828" s="315" t="str">
        <f t="shared" ca="1" si="371"/>
        <v/>
      </c>
      <c r="AA828" s="316" t="str">
        <f t="shared" ca="1" si="372"/>
        <v/>
      </c>
      <c r="AC828" s="310" t="e">
        <f t="shared" ca="1" si="373"/>
        <v>#N/A</v>
      </c>
      <c r="AD828" s="323" t="e">
        <f t="shared" ca="1" si="374"/>
        <v>#N/A</v>
      </c>
      <c r="AE828" s="324" t="e">
        <f t="shared" ca="1" si="353"/>
        <v>#N/A</v>
      </c>
      <c r="AG828" s="306">
        <f t="shared" ca="1" si="375"/>
        <v>0.70840056584811961</v>
      </c>
      <c r="AH828" s="304">
        <f t="shared" ca="1" si="376"/>
        <v>-9.0831330800323933</v>
      </c>
    </row>
    <row r="829" spans="1:34" x14ac:dyDescent="0.2">
      <c r="A829" s="347">
        <f t="shared" ca="1" si="354"/>
        <v>1E-4</v>
      </c>
      <c r="B829" s="304">
        <f t="shared" ca="1" si="355"/>
        <v>32.544200000001638</v>
      </c>
      <c r="D829" s="306">
        <f t="shared" ca="1" si="356"/>
        <v>-0.55705610918297188</v>
      </c>
      <c r="E829" s="307">
        <f t="shared" ca="1" si="357"/>
        <v>-0.74394264794742071</v>
      </c>
      <c r="F829" s="304">
        <f t="shared" ca="1" si="358"/>
        <v>0.92938806330460855</v>
      </c>
      <c r="G829" s="306">
        <f t="shared" ca="1" si="359"/>
        <v>5.9413857533503593</v>
      </c>
      <c r="H829" s="307">
        <f t="shared" ca="1" si="360"/>
        <v>-96.696705367057959</v>
      </c>
      <c r="I829" s="304">
        <f t="shared" ca="1" si="361"/>
        <v>96.879063236148866</v>
      </c>
      <c r="J829" s="306">
        <f t="shared" ca="1" si="362"/>
        <v>588.9746359926213</v>
      </c>
      <c r="K829" s="307">
        <f t="shared" ca="1" si="363"/>
        <v>-11.658674696814211</v>
      </c>
      <c r="L829" s="304">
        <f t="shared" ca="1" si="348"/>
        <v>589.09001564983839</v>
      </c>
      <c r="M829" s="306">
        <f t="shared" ca="1" si="364"/>
        <v>-1.5094299568429803</v>
      </c>
      <c r="N829" s="304">
        <f t="shared" ca="1" si="365"/>
        <v>-86.483965997716766</v>
      </c>
      <c r="P829" s="310">
        <f t="shared" ca="1" si="366"/>
        <v>23</v>
      </c>
      <c r="Q829" s="304">
        <f t="shared" ca="1" si="367"/>
        <v>0</v>
      </c>
      <c r="R829" s="306">
        <f t="shared" ca="1" si="368"/>
        <v>0</v>
      </c>
      <c r="S829" s="307">
        <f t="shared" ca="1" si="369"/>
        <v>2.5949999999999998</v>
      </c>
      <c r="T829" s="304">
        <f t="shared" ca="1" si="349"/>
        <v>25.456949999999999</v>
      </c>
      <c r="U829" s="311">
        <f t="shared" ca="1" si="350"/>
        <v>0</v>
      </c>
      <c r="V829" s="306">
        <f t="shared" ca="1" si="351"/>
        <v>1.2264290206747188</v>
      </c>
      <c r="W829" s="304">
        <f t="shared" ca="1" si="352"/>
        <v>23.570844867896788</v>
      </c>
      <c r="Y829" s="314" t="str">
        <f t="shared" ca="1" si="370"/>
        <v/>
      </c>
      <c r="Z829" s="315" t="str">
        <f t="shared" ca="1" si="371"/>
        <v/>
      </c>
      <c r="AA829" s="316" t="str">
        <f t="shared" ca="1" si="372"/>
        <v/>
      </c>
      <c r="AC829" s="310" t="e">
        <f t="shared" ca="1" si="373"/>
        <v>#N/A</v>
      </c>
      <c r="AD829" s="323" t="e">
        <f t="shared" ca="1" si="374"/>
        <v>#N/A</v>
      </c>
      <c r="AE829" s="324" t="e">
        <f t="shared" ca="1" si="353"/>
        <v>#N/A</v>
      </c>
      <c r="AG829" s="306">
        <f t="shared" ca="1" si="375"/>
        <v>0.70837887278307043</v>
      </c>
      <c r="AH829" s="304">
        <f t="shared" ca="1" si="376"/>
        <v>-9.0831551467254315</v>
      </c>
    </row>
    <row r="830" spans="1:34" x14ac:dyDescent="0.2">
      <c r="A830" s="347">
        <f t="shared" ca="1" si="354"/>
        <v>1E-4</v>
      </c>
      <c r="B830" s="304">
        <f t="shared" ca="1" si="355"/>
        <v>32.544300000001641</v>
      </c>
      <c r="D830" s="306">
        <f t="shared" ca="1" si="356"/>
        <v>-0.55705183231693878</v>
      </c>
      <c r="E830" s="307">
        <f t="shared" ca="1" si="357"/>
        <v>-0.74392027720871035</v>
      </c>
      <c r="F830" s="304">
        <f t="shared" ca="1" si="358"/>
        <v>0.92936759289849535</v>
      </c>
      <c r="G830" s="306">
        <f t="shared" ca="1" si="359"/>
        <v>5.9413300481671278</v>
      </c>
      <c r="H830" s="307">
        <f t="shared" ca="1" si="360"/>
        <v>-96.696779759085686</v>
      </c>
      <c r="I830" s="304">
        <f t="shared" ca="1" si="361"/>
        <v>96.879134071885559</v>
      </c>
      <c r="J830" s="306">
        <f t="shared" ca="1" si="362"/>
        <v>588.9746359926213</v>
      </c>
      <c r="K830" s="307">
        <f t="shared" ca="1" si="363"/>
        <v>-11.668344371070518</v>
      </c>
      <c r="L830" s="304">
        <f t="shared" ca="1" si="348"/>
        <v>589.09020710159712</v>
      </c>
      <c r="M830" s="306">
        <f t="shared" ca="1" si="364"/>
        <v>-1.5094305778500994</v>
      </c>
      <c r="N830" s="304">
        <f t="shared" ca="1" si="365"/>
        <v>-86.484001578803742</v>
      </c>
      <c r="P830" s="310">
        <f t="shared" ca="1" si="366"/>
        <v>23</v>
      </c>
      <c r="Q830" s="304">
        <f t="shared" ca="1" si="367"/>
        <v>0</v>
      </c>
      <c r="R830" s="306">
        <f t="shared" ca="1" si="368"/>
        <v>0</v>
      </c>
      <c r="S830" s="307">
        <f t="shared" ca="1" si="369"/>
        <v>2.5949999999999998</v>
      </c>
      <c r="T830" s="304">
        <f t="shared" ca="1" si="349"/>
        <v>25.456949999999999</v>
      </c>
      <c r="U830" s="311">
        <f t="shared" ca="1" si="350"/>
        <v>0</v>
      </c>
      <c r="V830" s="306">
        <f t="shared" ca="1" si="351"/>
        <v>1.2264302065926085</v>
      </c>
      <c r="W830" s="304">
        <f t="shared" ca="1" si="352"/>
        <v>23.570902129116977</v>
      </c>
      <c r="Y830" s="314" t="str">
        <f t="shared" ca="1" si="370"/>
        <v/>
      </c>
      <c r="Z830" s="315" t="str">
        <f t="shared" ca="1" si="371"/>
        <v/>
      </c>
      <c r="AA830" s="316" t="str">
        <f t="shared" ca="1" si="372"/>
        <v/>
      </c>
      <c r="AC830" s="310" t="e">
        <f t="shared" ca="1" si="373"/>
        <v>#N/A</v>
      </c>
      <c r="AD830" s="323" t="e">
        <f t="shared" ca="1" si="374"/>
        <v>#N/A</v>
      </c>
      <c r="AE830" s="324" t="e">
        <f t="shared" ca="1" si="353"/>
        <v>#N/A</v>
      </c>
      <c r="AG830" s="306">
        <f t="shared" ca="1" si="375"/>
        <v>0.70835718006632042</v>
      </c>
      <c r="AH830" s="304">
        <f t="shared" ca="1" si="376"/>
        <v>-9.0831772130623474</v>
      </c>
    </row>
    <row r="831" spans="1:34" x14ac:dyDescent="0.2">
      <c r="A831" s="347">
        <f t="shared" ca="1" si="354"/>
        <v>1E-4</v>
      </c>
      <c r="B831" s="304">
        <f t="shared" ca="1" si="355"/>
        <v>32.544400000001644</v>
      </c>
      <c r="D831" s="306">
        <f t="shared" ca="1" si="356"/>
        <v>-0.5570475554625145</v>
      </c>
      <c r="E831" s="307">
        <f t="shared" ca="1" si="357"/>
        <v>-0.74389790683100365</v>
      </c>
      <c r="F831" s="304">
        <f t="shared" ca="1" si="358"/>
        <v>0.92934712289559041</v>
      </c>
      <c r="G831" s="306">
        <f t="shared" ca="1" si="359"/>
        <v>5.9412743434115818</v>
      </c>
      <c r="H831" s="307">
        <f t="shared" ca="1" si="360"/>
        <v>-96.696854148876369</v>
      </c>
      <c r="I831" s="304">
        <f t="shared" ca="1" si="361"/>
        <v>96.879204905453008</v>
      </c>
      <c r="J831" s="306">
        <f t="shared" ca="1" si="362"/>
        <v>588.9746359926213</v>
      </c>
      <c r="K831" s="307">
        <f t="shared" ca="1" si="363"/>
        <v>-11.678014052765915</v>
      </c>
      <c r="L831" s="304">
        <f t="shared" ca="1" si="348"/>
        <v>589.09039871216487</v>
      </c>
      <c r="M831" s="306">
        <f t="shared" ca="1" si="364"/>
        <v>-1.5094311988504878</v>
      </c>
      <c r="N831" s="304">
        <f t="shared" ca="1" si="365"/>
        <v>-86.484037159505064</v>
      </c>
      <c r="P831" s="310">
        <f t="shared" ca="1" si="366"/>
        <v>23</v>
      </c>
      <c r="Q831" s="304">
        <f t="shared" ca="1" si="367"/>
        <v>0</v>
      </c>
      <c r="R831" s="306">
        <f t="shared" ca="1" si="368"/>
        <v>0</v>
      </c>
      <c r="S831" s="307">
        <f t="shared" ca="1" si="369"/>
        <v>2.5949999999999998</v>
      </c>
      <c r="T831" s="304">
        <f t="shared" ca="1" si="349"/>
        <v>25.456949999999999</v>
      </c>
      <c r="U831" s="311">
        <f t="shared" ca="1" si="350"/>
        <v>0</v>
      </c>
      <c r="V831" s="306">
        <f t="shared" ca="1" si="351"/>
        <v>1.2264313925125578</v>
      </c>
      <c r="W831" s="304">
        <f t="shared" ca="1" si="352"/>
        <v>23.570959389413037</v>
      </c>
      <c r="Y831" s="314" t="str">
        <f t="shared" ca="1" si="370"/>
        <v/>
      </c>
      <c r="Z831" s="315" t="str">
        <f t="shared" ca="1" si="371"/>
        <v/>
      </c>
      <c r="AA831" s="316" t="str">
        <f t="shared" ca="1" si="372"/>
        <v/>
      </c>
      <c r="AC831" s="310" t="e">
        <f t="shared" ca="1" si="373"/>
        <v>#N/A</v>
      </c>
      <c r="AD831" s="323" t="e">
        <f t="shared" ca="1" si="374"/>
        <v>#N/A</v>
      </c>
      <c r="AE831" s="324" t="e">
        <f t="shared" ca="1" si="353"/>
        <v>#N/A</v>
      </c>
      <c r="AG831" s="306">
        <f t="shared" ca="1" si="375"/>
        <v>0.70833548769785537</v>
      </c>
      <c r="AH831" s="304">
        <f t="shared" ca="1" si="376"/>
        <v>-9.0831992790431517</v>
      </c>
    </row>
    <row r="832" spans="1:34" x14ac:dyDescent="0.2">
      <c r="A832" s="347">
        <f t="shared" ca="1" si="354"/>
        <v>1E-4</v>
      </c>
      <c r="B832" s="304">
        <f t="shared" ca="1" si="355"/>
        <v>32.544500000001648</v>
      </c>
      <c r="D832" s="306">
        <f t="shared" ca="1" si="356"/>
        <v>-0.55704327861970171</v>
      </c>
      <c r="E832" s="307">
        <f t="shared" ca="1" si="357"/>
        <v>-0.74387553681431129</v>
      </c>
      <c r="F832" s="304">
        <f t="shared" ca="1" si="358"/>
        <v>0.92932665329590458</v>
      </c>
      <c r="G832" s="306">
        <f t="shared" ca="1" si="359"/>
        <v>5.9412186390837194</v>
      </c>
      <c r="H832" s="307">
        <f t="shared" ca="1" si="360"/>
        <v>-96.69692853643005</v>
      </c>
      <c r="I832" s="304">
        <f t="shared" ca="1" si="361"/>
        <v>96.879275736851255</v>
      </c>
      <c r="J832" s="306">
        <f t="shared" ca="1" si="362"/>
        <v>588.9746359926213</v>
      </c>
      <c r="K832" s="307">
        <f t="shared" ca="1" si="363"/>
        <v>-11.68768374190018</v>
      </c>
      <c r="L832" s="304">
        <f t="shared" ca="1" si="348"/>
        <v>589.09059048154165</v>
      </c>
      <c r="M832" s="306">
        <f t="shared" ca="1" si="364"/>
        <v>-1.5094318198441459</v>
      </c>
      <c r="N832" s="304">
        <f t="shared" ca="1" si="365"/>
        <v>-86.484072739820775</v>
      </c>
      <c r="P832" s="310">
        <f t="shared" ca="1" si="366"/>
        <v>23</v>
      </c>
      <c r="Q832" s="304">
        <f t="shared" ca="1" si="367"/>
        <v>0</v>
      </c>
      <c r="R832" s="306">
        <f t="shared" ca="1" si="368"/>
        <v>0</v>
      </c>
      <c r="S832" s="307">
        <f t="shared" ca="1" si="369"/>
        <v>2.5949999999999998</v>
      </c>
      <c r="T832" s="304">
        <f t="shared" ca="1" si="349"/>
        <v>25.456949999999999</v>
      </c>
      <c r="U832" s="311">
        <f t="shared" ca="1" si="350"/>
        <v>0</v>
      </c>
      <c r="V832" s="306">
        <f t="shared" ca="1" si="351"/>
        <v>1.2264325784345669</v>
      </c>
      <c r="W832" s="304">
        <f t="shared" ca="1" si="352"/>
        <v>23.571016648785008</v>
      </c>
      <c r="Y832" s="314" t="str">
        <f t="shared" ca="1" si="370"/>
        <v/>
      </c>
      <c r="Z832" s="315" t="str">
        <f t="shared" ca="1" si="371"/>
        <v/>
      </c>
      <c r="AA832" s="316" t="str">
        <f t="shared" ca="1" si="372"/>
        <v/>
      </c>
      <c r="AC832" s="310" t="e">
        <f t="shared" ca="1" si="373"/>
        <v>#N/A</v>
      </c>
      <c r="AD832" s="323" t="e">
        <f t="shared" ca="1" si="374"/>
        <v>#N/A</v>
      </c>
      <c r="AE832" s="324" t="e">
        <f t="shared" ca="1" si="353"/>
        <v>#N/A</v>
      </c>
      <c r="AG832" s="306">
        <f t="shared" ca="1" si="375"/>
        <v>0.70831379567768238</v>
      </c>
      <c r="AH832" s="304">
        <f t="shared" ca="1" si="376"/>
        <v>-9.0832213446678374</v>
      </c>
    </row>
    <row r="833" spans="1:34" x14ac:dyDescent="0.2">
      <c r="A833" s="347">
        <f t="shared" ca="1" si="354"/>
        <v>1E-4</v>
      </c>
      <c r="B833" s="304">
        <f t="shared" ca="1" si="355"/>
        <v>32.544600000001651</v>
      </c>
      <c r="D833" s="306">
        <f t="shared" ca="1" si="356"/>
        <v>-0.55703900178850063</v>
      </c>
      <c r="E833" s="307">
        <f t="shared" ca="1" si="357"/>
        <v>-0.74385316715861549</v>
      </c>
      <c r="F833" s="304">
        <f t="shared" ca="1" si="358"/>
        <v>0.92930618409942389</v>
      </c>
      <c r="G833" s="306">
        <f t="shared" ca="1" si="359"/>
        <v>5.9411629351835407</v>
      </c>
      <c r="H833" s="307">
        <f t="shared" ca="1" si="360"/>
        <v>-96.697002921746773</v>
      </c>
      <c r="I833" s="304">
        <f t="shared" ca="1" si="361"/>
        <v>96.879346566080343</v>
      </c>
      <c r="J833" s="306">
        <f t="shared" ca="1" si="362"/>
        <v>588.9746359926213</v>
      </c>
      <c r="K833" s="307">
        <f t="shared" ca="1" si="363"/>
        <v>-11.697353438473089</v>
      </c>
      <c r="L833" s="304">
        <f t="shared" ca="1" si="348"/>
        <v>589.09078240972781</v>
      </c>
      <c r="M833" s="306">
        <f t="shared" ca="1" si="364"/>
        <v>-1.5094324408310733</v>
      </c>
      <c r="N833" s="304">
        <f t="shared" ca="1" si="365"/>
        <v>-86.48410831975086</v>
      </c>
      <c r="P833" s="310">
        <f t="shared" ca="1" si="366"/>
        <v>23</v>
      </c>
      <c r="Q833" s="304">
        <f t="shared" ca="1" si="367"/>
        <v>0</v>
      </c>
      <c r="R833" s="306">
        <f t="shared" ca="1" si="368"/>
        <v>0</v>
      </c>
      <c r="S833" s="307">
        <f t="shared" ca="1" si="369"/>
        <v>2.5949999999999998</v>
      </c>
      <c r="T833" s="304">
        <f t="shared" ca="1" si="349"/>
        <v>25.456949999999999</v>
      </c>
      <c r="U833" s="311">
        <f t="shared" ca="1" si="350"/>
        <v>0</v>
      </c>
      <c r="V833" s="306">
        <f t="shared" ca="1" si="351"/>
        <v>1.2264337643586358</v>
      </c>
      <c r="W833" s="304">
        <f t="shared" ca="1" si="352"/>
        <v>23.571073907232886</v>
      </c>
      <c r="Y833" s="314" t="str">
        <f t="shared" ca="1" si="370"/>
        <v/>
      </c>
      <c r="Z833" s="315" t="str">
        <f t="shared" ca="1" si="371"/>
        <v/>
      </c>
      <c r="AA833" s="316" t="str">
        <f t="shared" ca="1" si="372"/>
        <v/>
      </c>
      <c r="AC833" s="310" t="e">
        <f t="shared" ca="1" si="373"/>
        <v>#N/A</v>
      </c>
      <c r="AD833" s="323" t="e">
        <f t="shared" ca="1" si="374"/>
        <v>#N/A</v>
      </c>
      <c r="AE833" s="324" t="e">
        <f t="shared" ca="1" si="353"/>
        <v>#N/A</v>
      </c>
      <c r="AG833" s="306">
        <f t="shared" ca="1" si="375"/>
        <v>0.70829210400578901</v>
      </c>
      <c r="AH833" s="304">
        <f t="shared" ca="1" si="376"/>
        <v>-9.0832434099364203</v>
      </c>
    </row>
    <row r="834" spans="1:34" x14ac:dyDescent="0.2">
      <c r="A834" s="347">
        <f t="shared" ca="1" si="354"/>
        <v>1E-4</v>
      </c>
      <c r="B834" s="304">
        <f t="shared" ca="1" si="355"/>
        <v>32.544700000001654</v>
      </c>
      <c r="D834" s="306">
        <f t="shared" ca="1" si="356"/>
        <v>-0.55703472496891404</v>
      </c>
      <c r="E834" s="307">
        <f t="shared" ca="1" si="357"/>
        <v>-0.74383079786392159</v>
      </c>
      <c r="F834" s="304">
        <f t="shared" ca="1" si="358"/>
        <v>0.92928571530615489</v>
      </c>
      <c r="G834" s="306">
        <f t="shared" ca="1" si="359"/>
        <v>5.9411072317110438</v>
      </c>
      <c r="H834" s="307">
        <f t="shared" ca="1" si="360"/>
        <v>-96.697077304826564</v>
      </c>
      <c r="I834" s="304">
        <f t="shared" ca="1" si="361"/>
        <v>96.879417393140301</v>
      </c>
      <c r="J834" s="306">
        <f t="shared" ca="1" si="362"/>
        <v>588.9746359926213</v>
      </c>
      <c r="K834" s="307">
        <f t="shared" ca="1" si="363"/>
        <v>-11.707023142484417</v>
      </c>
      <c r="L834" s="304">
        <f t="shared" ca="1" si="348"/>
        <v>589.09097449672356</v>
      </c>
      <c r="M834" s="306">
        <f t="shared" ca="1" si="364"/>
        <v>-1.5094330618112708</v>
      </c>
      <c r="N834" s="304">
        <f t="shared" ca="1" si="365"/>
        <v>-86.484143899295333</v>
      </c>
      <c r="P834" s="310">
        <f t="shared" ca="1" si="366"/>
        <v>23</v>
      </c>
      <c r="Q834" s="304">
        <f t="shared" ca="1" si="367"/>
        <v>0</v>
      </c>
      <c r="R834" s="306">
        <f t="shared" ca="1" si="368"/>
        <v>0</v>
      </c>
      <c r="S834" s="307">
        <f t="shared" ca="1" si="369"/>
        <v>2.5949999999999998</v>
      </c>
      <c r="T834" s="304">
        <f t="shared" ca="1" si="349"/>
        <v>25.456949999999999</v>
      </c>
      <c r="U834" s="311">
        <f t="shared" ca="1" si="350"/>
        <v>0</v>
      </c>
      <c r="V834" s="306">
        <f t="shared" ca="1" si="351"/>
        <v>1.226434950284764</v>
      </c>
      <c r="W834" s="304">
        <f t="shared" ca="1" si="352"/>
        <v>23.571131164756686</v>
      </c>
      <c r="Y834" s="314" t="str">
        <f t="shared" ca="1" si="370"/>
        <v/>
      </c>
      <c r="Z834" s="315" t="str">
        <f t="shared" ca="1" si="371"/>
        <v/>
      </c>
      <c r="AA834" s="316" t="str">
        <f t="shared" ca="1" si="372"/>
        <v/>
      </c>
      <c r="AC834" s="310" t="e">
        <f t="shared" ca="1" si="373"/>
        <v>#N/A</v>
      </c>
      <c r="AD834" s="323" t="e">
        <f t="shared" ca="1" si="374"/>
        <v>#N/A</v>
      </c>
      <c r="AE834" s="324" t="e">
        <f t="shared" ca="1" si="353"/>
        <v>#N/A</v>
      </c>
      <c r="AG834" s="306">
        <f t="shared" ca="1" si="375"/>
        <v>0.70827041268217528</v>
      </c>
      <c r="AH834" s="304">
        <f t="shared" ca="1" si="376"/>
        <v>-9.083265474848897</v>
      </c>
    </row>
    <row r="835" spans="1:34" x14ac:dyDescent="0.2">
      <c r="A835" s="347">
        <f t="shared" ca="1" si="354"/>
        <v>1E-4</v>
      </c>
      <c r="B835" s="304">
        <f t="shared" ca="1" si="355"/>
        <v>32.544800000001658</v>
      </c>
      <c r="D835" s="306">
        <f t="shared" ca="1" si="356"/>
        <v>-0.5570304481609375</v>
      </c>
      <c r="E835" s="307">
        <f t="shared" ca="1" si="357"/>
        <v>-0.74380842893021892</v>
      </c>
      <c r="F835" s="304">
        <f t="shared" ca="1" si="358"/>
        <v>0.92926524691608658</v>
      </c>
      <c r="G835" s="306">
        <f t="shared" ca="1" si="359"/>
        <v>5.941051528666228</v>
      </c>
      <c r="H835" s="307">
        <f t="shared" ca="1" si="360"/>
        <v>-96.697151685669454</v>
      </c>
      <c r="I835" s="304">
        <f t="shared" ca="1" si="361"/>
        <v>96.879488218031142</v>
      </c>
      <c r="J835" s="306">
        <f t="shared" ca="1" si="362"/>
        <v>588.9746359926213</v>
      </c>
      <c r="K835" s="307">
        <f t="shared" ca="1" si="363"/>
        <v>-11.716692853933942</v>
      </c>
      <c r="L835" s="304">
        <f t="shared" ca="1" si="348"/>
        <v>589.09116674252903</v>
      </c>
      <c r="M835" s="306">
        <f t="shared" ca="1" si="364"/>
        <v>-1.5094336827847379</v>
      </c>
      <c r="N835" s="304">
        <f t="shared" ca="1" si="365"/>
        <v>-86.48417947845418</v>
      </c>
      <c r="P835" s="310">
        <f t="shared" ca="1" si="366"/>
        <v>23</v>
      </c>
      <c r="Q835" s="304">
        <f t="shared" ca="1" si="367"/>
        <v>0</v>
      </c>
      <c r="R835" s="306">
        <f t="shared" ca="1" si="368"/>
        <v>0</v>
      </c>
      <c r="S835" s="307">
        <f t="shared" ca="1" si="369"/>
        <v>2.5949999999999998</v>
      </c>
      <c r="T835" s="304">
        <f t="shared" ca="1" si="349"/>
        <v>25.456949999999999</v>
      </c>
      <c r="U835" s="311">
        <f t="shared" ca="1" si="350"/>
        <v>0</v>
      </c>
      <c r="V835" s="306">
        <f t="shared" ca="1" si="351"/>
        <v>1.2264361362129521</v>
      </c>
      <c r="W835" s="304">
        <f t="shared" ca="1" si="352"/>
        <v>23.571188421356414</v>
      </c>
      <c r="Y835" s="314" t="str">
        <f t="shared" ca="1" si="370"/>
        <v/>
      </c>
      <c r="Z835" s="315" t="str">
        <f t="shared" ca="1" si="371"/>
        <v/>
      </c>
      <c r="AA835" s="316" t="str">
        <f t="shared" ca="1" si="372"/>
        <v/>
      </c>
      <c r="AC835" s="310" t="e">
        <f t="shared" ca="1" si="373"/>
        <v>#N/A</v>
      </c>
      <c r="AD835" s="323" t="e">
        <f t="shared" ca="1" si="374"/>
        <v>#N/A</v>
      </c>
      <c r="AE835" s="324" t="e">
        <f t="shared" ca="1" si="353"/>
        <v>#N/A</v>
      </c>
      <c r="AG835" s="306">
        <f t="shared" ca="1" si="375"/>
        <v>0.70824872170683761</v>
      </c>
      <c r="AH835" s="304">
        <f t="shared" ca="1" si="376"/>
        <v>-9.0832875394052746</v>
      </c>
    </row>
    <row r="836" spans="1:34" x14ac:dyDescent="0.2">
      <c r="A836" s="347">
        <f t="shared" ca="1" si="354"/>
        <v>1E-4</v>
      </c>
      <c r="B836" s="304">
        <f t="shared" ca="1" si="355"/>
        <v>32.544900000001661</v>
      </c>
      <c r="D836" s="306">
        <f t="shared" ca="1" si="356"/>
        <v>-0.55702617136457633</v>
      </c>
      <c r="E836" s="307">
        <f t="shared" ca="1" si="357"/>
        <v>-0.74378606035750927</v>
      </c>
      <c r="F836" s="304">
        <f t="shared" ca="1" si="358"/>
        <v>0.92924477892922419</v>
      </c>
      <c r="G836" s="306">
        <f t="shared" ca="1" si="359"/>
        <v>5.9409958260490914</v>
      </c>
      <c r="H836" s="307">
        <f t="shared" ca="1" si="360"/>
        <v>-96.697226064275483</v>
      </c>
      <c r="I836" s="304">
        <f t="shared" ca="1" si="361"/>
        <v>96.879559040752923</v>
      </c>
      <c r="J836" s="306">
        <f t="shared" ca="1" si="362"/>
        <v>588.9746359926213</v>
      </c>
      <c r="K836" s="307">
        <f t="shared" ca="1" si="363"/>
        <v>-11.72636257282144</v>
      </c>
      <c r="L836" s="304">
        <f t="shared" ref="L836:L899" ca="1" si="377">SQRT(pos_x^2+pos_z^2)</f>
        <v>589.09135914714454</v>
      </c>
      <c r="M836" s="306">
        <f t="shared" ca="1" si="364"/>
        <v>-1.509434303751475</v>
      </c>
      <c r="N836" s="304">
        <f t="shared" ca="1" si="365"/>
        <v>-86.484215057227445</v>
      </c>
      <c r="P836" s="310">
        <f t="shared" ca="1" si="366"/>
        <v>23</v>
      </c>
      <c r="Q836" s="304">
        <f t="shared" ca="1" si="367"/>
        <v>0</v>
      </c>
      <c r="R836" s="306">
        <f t="shared" ca="1" si="368"/>
        <v>0</v>
      </c>
      <c r="S836" s="307">
        <f t="shared" ca="1" si="369"/>
        <v>2.5949999999999998</v>
      </c>
      <c r="T836" s="304">
        <f t="shared" ref="T836:T899" ca="1" si="378">m*g</f>
        <v>25.456949999999999</v>
      </c>
      <c r="U836" s="311">
        <f t="shared" ref="U836:U899" ca="1" si="379">IF(pos_xz&lt;L_rampe,Poids*COS(Beta),0)</f>
        <v>0</v>
      </c>
      <c r="V836" s="306">
        <f t="shared" ref="V836:V899" ca="1" si="380">Rho_moyen*(20000-Alt_rampe-pos_z)/(20000+Alt_rampe+pos_z)</f>
        <v>1.2264373221432001</v>
      </c>
      <c r="W836" s="304">
        <f t="shared" ref="W836:W899" ca="1" si="381">1/2*Rho*Sref*Cx*vit_xz^2</f>
        <v>23.571245677032099</v>
      </c>
      <c r="Y836" s="314" t="str">
        <f t="shared" ca="1" si="370"/>
        <v/>
      </c>
      <c r="Z836" s="315" t="str">
        <f t="shared" ca="1" si="371"/>
        <v/>
      </c>
      <c r="AA836" s="316" t="str">
        <f t="shared" ca="1" si="372"/>
        <v/>
      </c>
      <c r="AC836" s="310" t="e">
        <f t="shared" ca="1" si="373"/>
        <v>#N/A</v>
      </c>
      <c r="AD836" s="323" t="e">
        <f t="shared" ca="1" si="374"/>
        <v>#N/A</v>
      </c>
      <c r="AE836" s="324" t="e">
        <f t="shared" ref="AE836:AE899" ca="1" si="382">IF(t&lt;T_para, pos_z, NA())</f>
        <v>#N/A</v>
      </c>
      <c r="AG836" s="306">
        <f t="shared" ca="1" si="375"/>
        <v>0.70822703107977247</v>
      </c>
      <c r="AH836" s="304">
        <f t="shared" ca="1" si="376"/>
        <v>-9.0833096036055547</v>
      </c>
    </row>
    <row r="837" spans="1:34" x14ac:dyDescent="0.2">
      <c r="A837" s="347">
        <f t="shared" ref="A837:A900" ca="1" si="383">IF(B836+0.01&lt;=T_ini+ROUNDUP(Temps_fin_propu,0), 0.01, IF(K836&gt;0, 0.1, 0.0001))</f>
        <v>1E-4</v>
      </c>
      <c r="B837" s="304">
        <f t="shared" ref="B837:B900" ca="1" si="384">B836+pas</f>
        <v>32.545000000001664</v>
      </c>
      <c r="D837" s="306">
        <f t="shared" ref="D837:D900" ca="1" si="385">IF(AND(L836&lt;L_rampe,Poussee&lt;Poids*SIN(M836)),0,(-W836+Poussee)/m*COS(M836)-U836/m*SIN(M836))</f>
        <v>-0.55702189457982809</v>
      </c>
      <c r="E837" s="307">
        <f t="shared" ref="E837:E900" ca="1" si="386">IF(AND(L836&lt;L_rampe,Poussee&lt;Poids*SIN(M836)),0,(-W836+Poussee)/m*SIN(M836)+U836/m*COS(M836)-Poids/m)</f>
        <v>-0.74376369214577842</v>
      </c>
      <c r="F837" s="304">
        <f t="shared" ref="F837:F900" ca="1" si="387">SQRT(acc_x^2+acc_z^2)</f>
        <v>0.92922431134555528</v>
      </c>
      <c r="G837" s="306">
        <f t="shared" ref="G837:G900" ca="1" si="388">G836+acc_x*pas</f>
        <v>5.9409401238596331</v>
      </c>
      <c r="H837" s="307">
        <f t="shared" ref="H837:H900" ca="1" si="389">H836+acc_z*pas</f>
        <v>-96.697300440644696</v>
      </c>
      <c r="I837" s="304">
        <f t="shared" ref="I837:I900" ca="1" si="390">SQRT(vit_x^2+vit_z^2)</f>
        <v>96.879629861305673</v>
      </c>
      <c r="J837" s="306">
        <f t="shared" ref="J837:J900" ca="1" si="391">J836+0.5*(vit_x+G836)*pas*(K836&gt;=0)</f>
        <v>588.9746359926213</v>
      </c>
      <c r="K837" s="307">
        <f t="shared" ref="K837:K900" ca="1" si="392">K836+0.5*(vit_z+H836)*pas</f>
        <v>-11.736032299146686</v>
      </c>
      <c r="L837" s="304">
        <f t="shared" ca="1" si="377"/>
        <v>589.09155171057012</v>
      </c>
      <c r="M837" s="306">
        <f t="shared" ref="M837:M900" ca="1" si="393">IF(AND(L836&gt;L_rampe,G837&gt;0),ATAN2(G837,H837),$M$4)</f>
        <v>-1.5094349247114822</v>
      </c>
      <c r="N837" s="304">
        <f t="shared" ref="N837:N900" ca="1" si="394">DEGREES(Beta)</f>
        <v>-86.484250635615098</v>
      </c>
      <c r="P837" s="310">
        <f t="shared" ref="P837:P900" ca="1" si="395">MATCH(t-pas/2-T_ini,CdP_t)</f>
        <v>23</v>
      </c>
      <c r="Q837" s="304">
        <f t="shared" ref="Q837:Q900" ca="1" si="396">(INDEX(CdP,2,i_P+1)-INDEX(CdP,2,i_P+0))/(INDEX(CdP,1,i_P+1)-INDEX(CdP,1,i_P+0))*(t-pas/2-T_ini-INDEX(CdP,1,i_P+0))+INDEX(CdP,2,i_P+0)</f>
        <v>0</v>
      </c>
      <c r="R837" s="306">
        <f t="shared" ref="R837:R900" ca="1" si="397">Poussee/(g*ISP)</f>
        <v>0</v>
      </c>
      <c r="S837" s="307">
        <f t="shared" ref="S837:S900" ca="1" si="398">S836-Débit*pas</f>
        <v>2.5949999999999998</v>
      </c>
      <c r="T837" s="304">
        <f t="shared" ca="1" si="378"/>
        <v>25.456949999999999</v>
      </c>
      <c r="U837" s="311">
        <f t="shared" ca="1" si="379"/>
        <v>0</v>
      </c>
      <c r="V837" s="306">
        <f t="shared" ca="1" si="380"/>
        <v>1.2264385080755076</v>
      </c>
      <c r="W837" s="304">
        <f t="shared" ca="1" si="381"/>
        <v>23.571302931783734</v>
      </c>
      <c r="Y837" s="314" t="str">
        <f t="shared" ref="Y837:Y900" ca="1" si="399">IF(AND(pos_z&lt;=0,K836&gt;0),"Impact balistique","") &amp; IF(AND(H838&lt;0,vit_z&gt;=0),"Apogée","") &amp; IF(AND(Poussee=0,Q836&gt;0),"Fin de propulsion","") &amp; IF(AND(L838&gt;L_rampe,pos_xz&lt;=L_rampe),"Sortie de rampe","")</f>
        <v/>
      </c>
      <c r="Z837" s="315" t="str">
        <f t="shared" ref="Z837:Z900" ca="1" si="400">IF(ABS(t-T_para)&lt;pas/2,"Para","")</f>
        <v/>
      </c>
      <c r="AA837" s="316" t="str">
        <f t="shared" ref="AA837:AA900" ca="1" si="401">IF(ABS(t-T_satellite)&lt;pas/2,"Satellite","")</f>
        <v/>
      </c>
      <c r="AC837" s="310" t="e">
        <f t="shared" ref="AC837:AC900" ca="1" si="402">IF(ABS(t-ROUND(t,0))&lt;0.001,t,NA())</f>
        <v>#N/A</v>
      </c>
      <c r="AD837" s="323" t="e">
        <f t="shared" ref="AD837:AD900" ca="1" si="403">IF(ABS(t-ROUND(t,0))&lt;0.001,pos_x,NA())</f>
        <v>#N/A</v>
      </c>
      <c r="AE837" s="324" t="e">
        <f t="shared" ca="1" si="382"/>
        <v>#N/A</v>
      </c>
      <c r="AG837" s="306">
        <f t="shared" ref="AG837:AG900" ca="1" si="404">IF(AND(L836&lt;L_rampe,Poussee&lt;Poids*SIN(M836)),0,(-W836+Poussee)/m-Poids*SIN(M836)/m)</f>
        <v>0.70820534080096742</v>
      </c>
      <c r="AH837" s="304">
        <f t="shared" ref="AH837:AH900" ca="1" si="405">IF(AND(L836&lt;L_rampe,Poussee&lt;Poids*SIN(M836)), g*SIN(M836), (-W836+Poussee)/m)</f>
        <v>-9.08333166744975</v>
      </c>
    </row>
    <row r="838" spans="1:34" x14ac:dyDescent="0.2">
      <c r="A838" s="347">
        <f t="shared" ca="1" si="383"/>
        <v>1E-4</v>
      </c>
      <c r="B838" s="304">
        <f t="shared" ca="1" si="384"/>
        <v>32.545100000001668</v>
      </c>
      <c r="D838" s="306">
        <f t="shared" ca="1" si="385"/>
        <v>-0.55701761780669412</v>
      </c>
      <c r="E838" s="307">
        <f t="shared" ca="1" si="386"/>
        <v>-0.74374132429502993</v>
      </c>
      <c r="F838" s="304">
        <f t="shared" ca="1" si="387"/>
        <v>0.92920384416508373</v>
      </c>
      <c r="G838" s="306">
        <f t="shared" ca="1" si="388"/>
        <v>5.9408844220978523</v>
      </c>
      <c r="H838" s="307">
        <f t="shared" ca="1" si="389"/>
        <v>-96.69737481477712</v>
      </c>
      <c r="I838" s="304">
        <f t="shared" ca="1" si="390"/>
        <v>96.879700679689435</v>
      </c>
      <c r="J838" s="306">
        <f t="shared" ca="1" si="391"/>
        <v>588.9746359926213</v>
      </c>
      <c r="K838" s="307">
        <f t="shared" ca="1" si="392"/>
        <v>-11.745702032909456</v>
      </c>
      <c r="L838" s="304">
        <f t="shared" ca="1" si="377"/>
        <v>589.09174443280619</v>
      </c>
      <c r="M838" s="306">
        <f t="shared" ca="1" si="393"/>
        <v>-1.5094355456647595</v>
      </c>
      <c r="N838" s="304">
        <f t="shared" ca="1" si="394"/>
        <v>-86.484286213617168</v>
      </c>
      <c r="P838" s="310">
        <f t="shared" ca="1" si="395"/>
        <v>23</v>
      </c>
      <c r="Q838" s="304">
        <f t="shared" ca="1" si="396"/>
        <v>0</v>
      </c>
      <c r="R838" s="306">
        <f t="shared" ca="1" si="397"/>
        <v>0</v>
      </c>
      <c r="S838" s="307">
        <f t="shared" ca="1" si="398"/>
        <v>2.5949999999999998</v>
      </c>
      <c r="T838" s="304">
        <f t="shared" ca="1" si="378"/>
        <v>25.456949999999999</v>
      </c>
      <c r="U838" s="311">
        <f t="shared" ca="1" si="379"/>
        <v>0</v>
      </c>
      <c r="V838" s="306">
        <f t="shared" ca="1" si="380"/>
        <v>1.2264396940098743</v>
      </c>
      <c r="W838" s="304">
        <f t="shared" ca="1" si="381"/>
        <v>23.571360185611326</v>
      </c>
      <c r="Y838" s="314" t="str">
        <f t="shared" ca="1" si="399"/>
        <v/>
      </c>
      <c r="Z838" s="315" t="str">
        <f t="shared" ca="1" si="400"/>
        <v/>
      </c>
      <c r="AA838" s="316" t="str">
        <f t="shared" ca="1" si="401"/>
        <v/>
      </c>
      <c r="AC838" s="310" t="e">
        <f t="shared" ca="1" si="402"/>
        <v>#N/A</v>
      </c>
      <c r="AD838" s="323" t="e">
        <f t="shared" ca="1" si="403"/>
        <v>#N/A</v>
      </c>
      <c r="AE838" s="324" t="e">
        <f t="shared" ca="1" si="382"/>
        <v>#N/A</v>
      </c>
      <c r="AG838" s="306">
        <f t="shared" ca="1" si="404"/>
        <v>0.70818365087042601</v>
      </c>
      <c r="AH838" s="304">
        <f t="shared" ca="1" si="405"/>
        <v>-9.0833537309378567</v>
      </c>
    </row>
    <row r="839" spans="1:34" x14ac:dyDescent="0.2">
      <c r="A839" s="347">
        <f t="shared" ca="1" si="383"/>
        <v>1E-4</v>
      </c>
      <c r="B839" s="304">
        <f t="shared" ca="1" si="384"/>
        <v>32.545200000001671</v>
      </c>
      <c r="D839" s="306">
        <f t="shared" ca="1" si="385"/>
        <v>-0.55701334104517541</v>
      </c>
      <c r="E839" s="307">
        <f t="shared" ca="1" si="386"/>
        <v>-0.74371895680526379</v>
      </c>
      <c r="F839" s="304">
        <f t="shared" ca="1" si="387"/>
        <v>0.92918337738781076</v>
      </c>
      <c r="G839" s="306">
        <f t="shared" ca="1" si="388"/>
        <v>5.940828720763748</v>
      </c>
      <c r="H839" s="307">
        <f t="shared" ca="1" si="389"/>
        <v>-96.697449186672799</v>
      </c>
      <c r="I839" s="304">
        <f t="shared" ca="1" si="390"/>
        <v>96.879771495904237</v>
      </c>
      <c r="J839" s="306">
        <f t="shared" ca="1" si="391"/>
        <v>588.9746359926213</v>
      </c>
      <c r="K839" s="307">
        <f t="shared" ca="1" si="392"/>
        <v>-11.755371774109529</v>
      </c>
      <c r="L839" s="304">
        <f t="shared" ca="1" si="377"/>
        <v>589.09193731385278</v>
      </c>
      <c r="M839" s="306">
        <f t="shared" ca="1" si="393"/>
        <v>-1.5094361666113068</v>
      </c>
      <c r="N839" s="304">
        <f t="shared" ca="1" si="394"/>
        <v>-86.484321791233626</v>
      </c>
      <c r="P839" s="310">
        <f t="shared" ca="1" si="395"/>
        <v>23</v>
      </c>
      <c r="Q839" s="304">
        <f t="shared" ca="1" si="396"/>
        <v>0</v>
      </c>
      <c r="R839" s="306">
        <f t="shared" ca="1" si="397"/>
        <v>0</v>
      </c>
      <c r="S839" s="307">
        <f t="shared" ca="1" si="398"/>
        <v>2.5949999999999998</v>
      </c>
      <c r="T839" s="304">
        <f t="shared" ca="1" si="378"/>
        <v>25.456949999999999</v>
      </c>
      <c r="U839" s="311">
        <f t="shared" ca="1" si="379"/>
        <v>0</v>
      </c>
      <c r="V839" s="306">
        <f t="shared" ca="1" si="380"/>
        <v>1.2264408799463011</v>
      </c>
      <c r="W839" s="304">
        <f t="shared" ca="1" si="381"/>
        <v>23.571417438514914</v>
      </c>
      <c r="Y839" s="314" t="str">
        <f t="shared" ca="1" si="399"/>
        <v/>
      </c>
      <c r="Z839" s="315" t="str">
        <f t="shared" ca="1" si="400"/>
        <v/>
      </c>
      <c r="AA839" s="316" t="str">
        <f t="shared" ca="1" si="401"/>
        <v/>
      </c>
      <c r="AC839" s="310" t="e">
        <f t="shared" ca="1" si="402"/>
        <v>#N/A</v>
      </c>
      <c r="AD839" s="323" t="e">
        <f t="shared" ca="1" si="403"/>
        <v>#N/A</v>
      </c>
      <c r="AE839" s="324" t="e">
        <f t="shared" ca="1" si="382"/>
        <v>#N/A</v>
      </c>
      <c r="AG839" s="306">
        <f t="shared" ca="1" si="404"/>
        <v>0.70816196128814823</v>
      </c>
      <c r="AH839" s="304">
        <f t="shared" ca="1" si="405"/>
        <v>-9.0833757940698767</v>
      </c>
    </row>
    <row r="840" spans="1:34" x14ac:dyDescent="0.2">
      <c r="A840" s="347">
        <f t="shared" ca="1" si="383"/>
        <v>1E-4</v>
      </c>
      <c r="B840" s="304">
        <f t="shared" ca="1" si="384"/>
        <v>32.545300000001674</v>
      </c>
      <c r="D840" s="306">
        <f t="shared" ca="1" si="385"/>
        <v>-0.55700906429527386</v>
      </c>
      <c r="E840" s="307">
        <f t="shared" ca="1" si="386"/>
        <v>-0.74369658967646224</v>
      </c>
      <c r="F840" s="304">
        <f t="shared" ca="1" si="387"/>
        <v>0.92916291101372361</v>
      </c>
      <c r="G840" s="306">
        <f t="shared" ca="1" si="388"/>
        <v>5.9407730198573185</v>
      </c>
      <c r="H840" s="307">
        <f t="shared" ca="1" si="389"/>
        <v>-96.69752355633176</v>
      </c>
      <c r="I840" s="304">
        <f t="shared" ca="1" si="390"/>
        <v>96.879842309950121</v>
      </c>
      <c r="J840" s="306">
        <f t="shared" ca="1" si="391"/>
        <v>588.9746359926213</v>
      </c>
      <c r="K840" s="307">
        <f t="shared" ca="1" si="392"/>
        <v>-11.76504152274668</v>
      </c>
      <c r="L840" s="304">
        <f t="shared" ca="1" si="377"/>
        <v>589.09213035371022</v>
      </c>
      <c r="M840" s="306">
        <f t="shared" ca="1" si="393"/>
        <v>-1.5094367875511245</v>
      </c>
      <c r="N840" s="304">
        <f t="shared" ca="1" si="394"/>
        <v>-86.484357368464515</v>
      </c>
      <c r="P840" s="310">
        <f t="shared" ca="1" si="395"/>
        <v>23</v>
      </c>
      <c r="Q840" s="304">
        <f t="shared" ca="1" si="396"/>
        <v>0</v>
      </c>
      <c r="R840" s="306">
        <f t="shared" ca="1" si="397"/>
        <v>0</v>
      </c>
      <c r="S840" s="307">
        <f t="shared" ca="1" si="398"/>
        <v>2.5949999999999998</v>
      </c>
      <c r="T840" s="304">
        <f t="shared" ca="1" si="378"/>
        <v>25.456949999999999</v>
      </c>
      <c r="U840" s="311">
        <f t="shared" ca="1" si="379"/>
        <v>0</v>
      </c>
      <c r="V840" s="306">
        <f t="shared" ca="1" si="380"/>
        <v>1.2264420658847872</v>
      </c>
      <c r="W840" s="304">
        <f t="shared" ca="1" si="381"/>
        <v>23.571474690494487</v>
      </c>
      <c r="Y840" s="314" t="str">
        <f t="shared" ca="1" si="399"/>
        <v/>
      </c>
      <c r="Z840" s="315" t="str">
        <f t="shared" ca="1" si="400"/>
        <v/>
      </c>
      <c r="AA840" s="316" t="str">
        <f t="shared" ca="1" si="401"/>
        <v/>
      </c>
      <c r="AC840" s="310" t="e">
        <f t="shared" ca="1" si="402"/>
        <v>#N/A</v>
      </c>
      <c r="AD840" s="323" t="e">
        <f t="shared" ca="1" si="403"/>
        <v>#N/A</v>
      </c>
      <c r="AE840" s="324" t="e">
        <f t="shared" ca="1" si="382"/>
        <v>#N/A</v>
      </c>
      <c r="AG840" s="306">
        <f t="shared" ca="1" si="404"/>
        <v>0.70814027205411989</v>
      </c>
      <c r="AH840" s="304">
        <f t="shared" ca="1" si="405"/>
        <v>-9.0833978568458242</v>
      </c>
    </row>
    <row r="841" spans="1:34" x14ac:dyDescent="0.2">
      <c r="A841" s="347">
        <f t="shared" ca="1" si="383"/>
        <v>1E-4</v>
      </c>
      <c r="B841" s="304">
        <f t="shared" ca="1" si="384"/>
        <v>32.545400000001678</v>
      </c>
      <c r="D841" s="306">
        <f t="shared" ca="1" si="385"/>
        <v>-0.55700478755698668</v>
      </c>
      <c r="E841" s="307">
        <f t="shared" ca="1" si="386"/>
        <v>-0.74367422290862706</v>
      </c>
      <c r="F841" s="304">
        <f t="shared" ca="1" si="387"/>
        <v>0.9291424450428224</v>
      </c>
      <c r="G841" s="306">
        <f t="shared" ca="1" si="388"/>
        <v>5.940717319378563</v>
      </c>
      <c r="H841" s="307">
        <f t="shared" ca="1" si="389"/>
        <v>-96.697597923754046</v>
      </c>
      <c r="I841" s="304">
        <f t="shared" ca="1" si="390"/>
        <v>96.879913121827101</v>
      </c>
      <c r="J841" s="306">
        <f t="shared" ca="1" si="391"/>
        <v>588.9746359926213</v>
      </c>
      <c r="K841" s="307">
        <f t="shared" ca="1" si="392"/>
        <v>-11.774711278820684</v>
      </c>
      <c r="L841" s="304">
        <f t="shared" ca="1" si="377"/>
        <v>589.09232355237862</v>
      </c>
      <c r="M841" s="306">
        <f t="shared" ca="1" si="393"/>
        <v>-1.5094374084842126</v>
      </c>
      <c r="N841" s="304">
        <f t="shared" ca="1" si="394"/>
        <v>-86.484392945309821</v>
      </c>
      <c r="P841" s="310">
        <f t="shared" ca="1" si="395"/>
        <v>23</v>
      </c>
      <c r="Q841" s="304">
        <f t="shared" ca="1" si="396"/>
        <v>0</v>
      </c>
      <c r="R841" s="306">
        <f t="shared" ca="1" si="397"/>
        <v>0</v>
      </c>
      <c r="S841" s="307">
        <f t="shared" ca="1" si="398"/>
        <v>2.5949999999999998</v>
      </c>
      <c r="T841" s="304">
        <f t="shared" ca="1" si="378"/>
        <v>25.456949999999999</v>
      </c>
      <c r="U841" s="311">
        <f t="shared" ca="1" si="379"/>
        <v>0</v>
      </c>
      <c r="V841" s="306">
        <f t="shared" ca="1" si="380"/>
        <v>1.226443251825333</v>
      </c>
      <c r="W841" s="304">
        <f t="shared" ca="1" si="381"/>
        <v>23.571531941550056</v>
      </c>
      <c r="Y841" s="314" t="str">
        <f t="shared" ca="1" si="399"/>
        <v/>
      </c>
      <c r="Z841" s="315" t="str">
        <f t="shared" ca="1" si="400"/>
        <v/>
      </c>
      <c r="AA841" s="316" t="str">
        <f t="shared" ca="1" si="401"/>
        <v/>
      </c>
      <c r="AC841" s="310" t="e">
        <f t="shared" ca="1" si="402"/>
        <v>#N/A</v>
      </c>
      <c r="AD841" s="323" t="e">
        <f t="shared" ca="1" si="403"/>
        <v>#N/A</v>
      </c>
      <c r="AE841" s="324" t="e">
        <f t="shared" ca="1" si="382"/>
        <v>#N/A</v>
      </c>
      <c r="AG841" s="306">
        <f t="shared" ca="1" si="404"/>
        <v>0.7081185831683392</v>
      </c>
      <c r="AH841" s="304">
        <f t="shared" ca="1" si="405"/>
        <v>-9.0834199192656992</v>
      </c>
    </row>
    <row r="842" spans="1:34" x14ac:dyDescent="0.2">
      <c r="A842" s="347">
        <f t="shared" ca="1" si="383"/>
        <v>1E-4</v>
      </c>
      <c r="B842" s="304">
        <f t="shared" ca="1" si="384"/>
        <v>32.545500000001681</v>
      </c>
      <c r="D842" s="306">
        <f t="shared" ca="1" si="385"/>
        <v>-0.55700051083031688</v>
      </c>
      <c r="E842" s="307">
        <f t="shared" ca="1" si="386"/>
        <v>-0.74365185650176002</v>
      </c>
      <c r="F842" s="304">
        <f t="shared" ca="1" si="387"/>
        <v>0.92912197947511077</v>
      </c>
      <c r="G842" s="306">
        <f t="shared" ca="1" si="388"/>
        <v>5.9406616193274795</v>
      </c>
      <c r="H842" s="307">
        <f t="shared" ca="1" si="389"/>
        <v>-96.6976722889397</v>
      </c>
      <c r="I842" s="304">
        <f t="shared" ca="1" si="390"/>
        <v>96.87998393153525</v>
      </c>
      <c r="J842" s="306">
        <f t="shared" ca="1" si="391"/>
        <v>588.9746359926213</v>
      </c>
      <c r="K842" s="307">
        <f t="shared" ca="1" si="392"/>
        <v>-11.784381042331319</v>
      </c>
      <c r="L842" s="304">
        <f t="shared" ca="1" si="377"/>
        <v>589.0925169098582</v>
      </c>
      <c r="M842" s="306">
        <f t="shared" ca="1" si="393"/>
        <v>-1.5094380294105711</v>
      </c>
      <c r="N842" s="304">
        <f t="shared" ca="1" si="394"/>
        <v>-86.484428521769559</v>
      </c>
      <c r="P842" s="310">
        <f t="shared" ca="1" si="395"/>
        <v>23</v>
      </c>
      <c r="Q842" s="304">
        <f t="shared" ca="1" si="396"/>
        <v>0</v>
      </c>
      <c r="R842" s="306">
        <f t="shared" ca="1" si="397"/>
        <v>0</v>
      </c>
      <c r="S842" s="307">
        <f t="shared" ca="1" si="398"/>
        <v>2.5949999999999998</v>
      </c>
      <c r="T842" s="304">
        <f t="shared" ca="1" si="378"/>
        <v>25.456949999999999</v>
      </c>
      <c r="U842" s="311">
        <f t="shared" ca="1" si="379"/>
        <v>0</v>
      </c>
      <c r="V842" s="306">
        <f t="shared" ca="1" si="380"/>
        <v>1.2264444377679384</v>
      </c>
      <c r="W842" s="304">
        <f t="shared" ca="1" si="381"/>
        <v>23.57158919168166</v>
      </c>
      <c r="Y842" s="314" t="str">
        <f t="shared" ca="1" si="399"/>
        <v/>
      </c>
      <c r="Z842" s="315" t="str">
        <f t="shared" ca="1" si="400"/>
        <v/>
      </c>
      <c r="AA842" s="316" t="str">
        <f t="shared" ca="1" si="401"/>
        <v/>
      </c>
      <c r="AC842" s="310" t="e">
        <f t="shared" ca="1" si="402"/>
        <v>#N/A</v>
      </c>
      <c r="AD842" s="323" t="e">
        <f t="shared" ca="1" si="403"/>
        <v>#N/A</v>
      </c>
      <c r="AE842" s="324" t="e">
        <f t="shared" ca="1" si="382"/>
        <v>#N/A</v>
      </c>
      <c r="AG842" s="306">
        <f t="shared" ca="1" si="404"/>
        <v>0.70809689463080616</v>
      </c>
      <c r="AH842" s="304">
        <f t="shared" ca="1" si="405"/>
        <v>-9.0834419813295018</v>
      </c>
    </row>
    <row r="843" spans="1:34" x14ac:dyDescent="0.2">
      <c r="A843" s="347">
        <f t="shared" ca="1" si="383"/>
        <v>1E-4</v>
      </c>
      <c r="B843" s="304">
        <f t="shared" ca="1" si="384"/>
        <v>32.545600000001684</v>
      </c>
      <c r="D843" s="306">
        <f t="shared" ca="1" si="385"/>
        <v>-0.55699623411526489</v>
      </c>
      <c r="E843" s="307">
        <f t="shared" ca="1" si="386"/>
        <v>-0.74362949045584159</v>
      </c>
      <c r="F843" s="304">
        <f t="shared" ca="1" si="387"/>
        <v>0.92910151431057386</v>
      </c>
      <c r="G843" s="306">
        <f t="shared" ca="1" si="388"/>
        <v>5.9406059197040681</v>
      </c>
      <c r="H843" s="307">
        <f t="shared" ca="1" si="389"/>
        <v>-96.69774665188875</v>
      </c>
      <c r="I843" s="304">
        <f t="shared" ca="1" si="390"/>
        <v>96.880054739074566</v>
      </c>
      <c r="J843" s="306">
        <f t="shared" ca="1" si="391"/>
        <v>588.9746359926213</v>
      </c>
      <c r="K843" s="307">
        <f t="shared" ca="1" si="392"/>
        <v>-11.794050813278361</v>
      </c>
      <c r="L843" s="304">
        <f t="shared" ca="1" si="377"/>
        <v>589.09271042614921</v>
      </c>
      <c r="M843" s="306">
        <f t="shared" ca="1" si="393"/>
        <v>-1.5094386503302002</v>
      </c>
      <c r="N843" s="304">
        <f t="shared" ca="1" si="394"/>
        <v>-86.484464097843713</v>
      </c>
      <c r="P843" s="310">
        <f t="shared" ca="1" si="395"/>
        <v>23</v>
      </c>
      <c r="Q843" s="304">
        <f t="shared" ca="1" si="396"/>
        <v>0</v>
      </c>
      <c r="R843" s="306">
        <f t="shared" ca="1" si="397"/>
        <v>0</v>
      </c>
      <c r="S843" s="307">
        <f t="shared" ca="1" si="398"/>
        <v>2.5949999999999998</v>
      </c>
      <c r="T843" s="304">
        <f t="shared" ca="1" si="378"/>
        <v>25.456949999999999</v>
      </c>
      <c r="U843" s="311">
        <f t="shared" ca="1" si="379"/>
        <v>0</v>
      </c>
      <c r="V843" s="306">
        <f t="shared" ca="1" si="380"/>
        <v>1.2264456237126027</v>
      </c>
      <c r="W843" s="304">
        <f t="shared" ca="1" si="381"/>
        <v>23.571646440889264</v>
      </c>
      <c r="Y843" s="314" t="str">
        <f t="shared" ca="1" si="399"/>
        <v/>
      </c>
      <c r="Z843" s="315" t="str">
        <f t="shared" ca="1" si="400"/>
        <v/>
      </c>
      <c r="AA843" s="316" t="str">
        <f t="shared" ca="1" si="401"/>
        <v/>
      </c>
      <c r="AC843" s="310" t="e">
        <f t="shared" ca="1" si="402"/>
        <v>#N/A</v>
      </c>
      <c r="AD843" s="323" t="e">
        <f t="shared" ca="1" si="403"/>
        <v>#N/A</v>
      </c>
      <c r="AE843" s="324" t="e">
        <f t="shared" ca="1" si="382"/>
        <v>#N/A</v>
      </c>
      <c r="AG843" s="306">
        <f t="shared" ca="1" si="404"/>
        <v>0.70807520644150479</v>
      </c>
      <c r="AH843" s="304">
        <f t="shared" ca="1" si="405"/>
        <v>-9.0834640430372495</v>
      </c>
    </row>
    <row r="844" spans="1:34" x14ac:dyDescent="0.2">
      <c r="A844" s="347">
        <f t="shared" ca="1" si="383"/>
        <v>1E-4</v>
      </c>
      <c r="B844" s="304">
        <f t="shared" ca="1" si="384"/>
        <v>32.545700000001688</v>
      </c>
      <c r="D844" s="306">
        <f t="shared" ca="1" si="385"/>
        <v>-0.55699195741183061</v>
      </c>
      <c r="E844" s="307">
        <f t="shared" ca="1" si="386"/>
        <v>-0.74360712477088597</v>
      </c>
      <c r="F844" s="304">
        <f t="shared" ca="1" si="387"/>
        <v>0.92908104954922344</v>
      </c>
      <c r="G844" s="306">
        <f t="shared" ca="1" si="388"/>
        <v>5.9405502205083272</v>
      </c>
      <c r="H844" s="307">
        <f t="shared" ca="1" si="389"/>
        <v>-96.697821012601224</v>
      </c>
      <c r="I844" s="304">
        <f t="shared" ca="1" si="390"/>
        <v>96.880125544445107</v>
      </c>
      <c r="J844" s="306">
        <f t="shared" ca="1" si="391"/>
        <v>588.9746359926213</v>
      </c>
      <c r="K844" s="307">
        <f t="shared" ca="1" si="392"/>
        <v>-11.803720591661586</v>
      </c>
      <c r="L844" s="304">
        <f t="shared" ca="1" si="377"/>
        <v>589.09290410125186</v>
      </c>
      <c r="M844" s="306">
        <f t="shared" ca="1" si="393"/>
        <v>-1.5094392712431</v>
      </c>
      <c r="N844" s="304">
        <f t="shared" ca="1" si="394"/>
        <v>-86.484499673532312</v>
      </c>
      <c r="P844" s="310">
        <f t="shared" ca="1" si="395"/>
        <v>23</v>
      </c>
      <c r="Q844" s="304">
        <f t="shared" ca="1" si="396"/>
        <v>0</v>
      </c>
      <c r="R844" s="306">
        <f t="shared" ca="1" si="397"/>
        <v>0</v>
      </c>
      <c r="S844" s="307">
        <f t="shared" ca="1" si="398"/>
        <v>2.5949999999999998</v>
      </c>
      <c r="T844" s="304">
        <f t="shared" ca="1" si="378"/>
        <v>25.456949999999999</v>
      </c>
      <c r="U844" s="311">
        <f t="shared" ca="1" si="379"/>
        <v>0</v>
      </c>
      <c r="V844" s="306">
        <f t="shared" ca="1" si="380"/>
        <v>1.2264468096593273</v>
      </c>
      <c r="W844" s="304">
        <f t="shared" ca="1" si="381"/>
        <v>23.571703689172924</v>
      </c>
      <c r="Y844" s="314" t="str">
        <f t="shared" ca="1" si="399"/>
        <v/>
      </c>
      <c r="Z844" s="315" t="str">
        <f t="shared" ca="1" si="400"/>
        <v/>
      </c>
      <c r="AA844" s="316" t="str">
        <f t="shared" ca="1" si="401"/>
        <v/>
      </c>
      <c r="AC844" s="310" t="e">
        <f t="shared" ca="1" si="402"/>
        <v>#N/A</v>
      </c>
      <c r="AD844" s="323" t="e">
        <f t="shared" ca="1" si="403"/>
        <v>#N/A</v>
      </c>
      <c r="AE844" s="324" t="e">
        <f t="shared" ca="1" si="382"/>
        <v>#N/A</v>
      </c>
      <c r="AG844" s="306">
        <f t="shared" ca="1" si="404"/>
        <v>0.70805351860045285</v>
      </c>
      <c r="AH844" s="304">
        <f t="shared" ca="1" si="405"/>
        <v>-9.0834861043889266</v>
      </c>
    </row>
    <row r="845" spans="1:34" x14ac:dyDescent="0.2">
      <c r="A845" s="347">
        <f t="shared" ca="1" si="383"/>
        <v>1E-4</v>
      </c>
      <c r="B845" s="304">
        <f t="shared" ca="1" si="384"/>
        <v>32.545800000001691</v>
      </c>
      <c r="D845" s="306">
        <f t="shared" ca="1" si="385"/>
        <v>-0.55698768072001481</v>
      </c>
      <c r="E845" s="307">
        <f t="shared" ca="1" si="386"/>
        <v>-0.74358475944687008</v>
      </c>
      <c r="F845" s="304">
        <f t="shared" ca="1" si="387"/>
        <v>0.92906058519104173</v>
      </c>
      <c r="G845" s="306">
        <f t="shared" ca="1" si="388"/>
        <v>5.9404945217402547</v>
      </c>
      <c r="H845" s="307">
        <f t="shared" ca="1" si="389"/>
        <v>-96.697895371077166</v>
      </c>
      <c r="I845" s="304">
        <f t="shared" ca="1" si="390"/>
        <v>96.880196347646887</v>
      </c>
      <c r="J845" s="306">
        <f t="shared" ca="1" si="391"/>
        <v>588.9746359926213</v>
      </c>
      <c r="K845" s="307">
        <f t="shared" ca="1" si="392"/>
        <v>-11.81339037748077</v>
      </c>
      <c r="L845" s="304">
        <f t="shared" ca="1" si="377"/>
        <v>589.09309793516638</v>
      </c>
      <c r="M845" s="306">
        <f t="shared" ca="1" si="393"/>
        <v>-1.5094398921492704</v>
      </c>
      <c r="N845" s="304">
        <f t="shared" ca="1" si="394"/>
        <v>-86.484535248835357</v>
      </c>
      <c r="P845" s="310">
        <f t="shared" ca="1" si="395"/>
        <v>23</v>
      </c>
      <c r="Q845" s="304">
        <f t="shared" ca="1" si="396"/>
        <v>0</v>
      </c>
      <c r="R845" s="306">
        <f t="shared" ca="1" si="397"/>
        <v>0</v>
      </c>
      <c r="S845" s="307">
        <f t="shared" ca="1" si="398"/>
        <v>2.5949999999999998</v>
      </c>
      <c r="T845" s="304">
        <f t="shared" ca="1" si="378"/>
        <v>25.456949999999999</v>
      </c>
      <c r="U845" s="311">
        <f t="shared" ca="1" si="379"/>
        <v>0</v>
      </c>
      <c r="V845" s="306">
        <f t="shared" ca="1" si="380"/>
        <v>1.2264479956081105</v>
      </c>
      <c r="W845" s="304">
        <f t="shared" ca="1" si="381"/>
        <v>23.57176093653262</v>
      </c>
      <c r="Y845" s="314" t="str">
        <f t="shared" ca="1" si="399"/>
        <v/>
      </c>
      <c r="Z845" s="315" t="str">
        <f t="shared" ca="1" si="400"/>
        <v/>
      </c>
      <c r="AA845" s="316" t="str">
        <f t="shared" ca="1" si="401"/>
        <v/>
      </c>
      <c r="AC845" s="310" t="e">
        <f t="shared" ca="1" si="402"/>
        <v>#N/A</v>
      </c>
      <c r="AD845" s="323" t="e">
        <f t="shared" ca="1" si="403"/>
        <v>#N/A</v>
      </c>
      <c r="AE845" s="324" t="e">
        <f t="shared" ca="1" si="382"/>
        <v>#N/A</v>
      </c>
      <c r="AG845" s="306">
        <f t="shared" ca="1" si="404"/>
        <v>0.70803183110762191</v>
      </c>
      <c r="AH845" s="304">
        <f t="shared" ca="1" si="405"/>
        <v>-9.0835081653845577</v>
      </c>
    </row>
    <row r="846" spans="1:34" x14ac:dyDescent="0.2">
      <c r="A846" s="347">
        <f t="shared" ca="1" si="383"/>
        <v>1E-4</v>
      </c>
      <c r="B846" s="304">
        <f t="shared" ca="1" si="384"/>
        <v>32.545900000001694</v>
      </c>
      <c r="D846" s="306">
        <f t="shared" ca="1" si="385"/>
        <v>-0.55698340403981783</v>
      </c>
      <c r="E846" s="307">
        <f t="shared" ca="1" si="386"/>
        <v>-0.74356239448380634</v>
      </c>
      <c r="F846" s="304">
        <f t="shared" ca="1" si="387"/>
        <v>0.9290401212360393</v>
      </c>
      <c r="G846" s="306">
        <f t="shared" ca="1" si="388"/>
        <v>5.9404388233998509</v>
      </c>
      <c r="H846" s="307">
        <f t="shared" ca="1" si="389"/>
        <v>-96.697969727316618</v>
      </c>
      <c r="I846" s="304">
        <f t="shared" ca="1" si="390"/>
        <v>96.880267148679962</v>
      </c>
      <c r="J846" s="306">
        <f t="shared" ca="1" si="391"/>
        <v>588.9746359926213</v>
      </c>
      <c r="K846" s="307">
        <f t="shared" ca="1" si="392"/>
        <v>-11.82306017073569</v>
      </c>
      <c r="L846" s="304">
        <f t="shared" ca="1" si="377"/>
        <v>589.09329192789278</v>
      </c>
      <c r="M846" s="306">
        <f t="shared" ca="1" si="393"/>
        <v>-1.5094405130487116</v>
      </c>
      <c r="N846" s="304">
        <f t="shared" ca="1" si="394"/>
        <v>-86.484570823752847</v>
      </c>
      <c r="P846" s="310">
        <f t="shared" ca="1" si="395"/>
        <v>23</v>
      </c>
      <c r="Q846" s="304">
        <f t="shared" ca="1" si="396"/>
        <v>0</v>
      </c>
      <c r="R846" s="306">
        <f t="shared" ca="1" si="397"/>
        <v>0</v>
      </c>
      <c r="S846" s="307">
        <f t="shared" ca="1" si="398"/>
        <v>2.5949999999999998</v>
      </c>
      <c r="T846" s="304">
        <f t="shared" ca="1" si="378"/>
        <v>25.456949999999999</v>
      </c>
      <c r="U846" s="311">
        <f t="shared" ca="1" si="379"/>
        <v>0</v>
      </c>
      <c r="V846" s="306">
        <f t="shared" ca="1" si="380"/>
        <v>1.2264491815589538</v>
      </c>
      <c r="W846" s="304">
        <f t="shared" ca="1" si="381"/>
        <v>23.571818182968379</v>
      </c>
      <c r="Y846" s="314" t="str">
        <f t="shared" ca="1" si="399"/>
        <v/>
      </c>
      <c r="Z846" s="315" t="str">
        <f t="shared" ca="1" si="400"/>
        <v/>
      </c>
      <c r="AA846" s="316" t="str">
        <f t="shared" ca="1" si="401"/>
        <v/>
      </c>
      <c r="AC846" s="310" t="e">
        <f t="shared" ca="1" si="402"/>
        <v>#N/A</v>
      </c>
      <c r="AD846" s="323" t="e">
        <f t="shared" ca="1" si="403"/>
        <v>#N/A</v>
      </c>
      <c r="AE846" s="324" t="e">
        <f t="shared" ca="1" si="382"/>
        <v>#N/A</v>
      </c>
      <c r="AG846" s="306">
        <f t="shared" ca="1" si="404"/>
        <v>0.7080101439630262</v>
      </c>
      <c r="AH846" s="304">
        <f t="shared" ca="1" si="405"/>
        <v>-9.0835302260241324</v>
      </c>
    </row>
    <row r="847" spans="1:34" x14ac:dyDescent="0.2">
      <c r="A847" s="347">
        <f t="shared" ca="1" si="383"/>
        <v>1E-4</v>
      </c>
      <c r="B847" s="304">
        <f t="shared" ca="1" si="384"/>
        <v>32.546000000001698</v>
      </c>
      <c r="D847" s="306">
        <f t="shared" ca="1" si="385"/>
        <v>-0.55697912737124144</v>
      </c>
      <c r="E847" s="307">
        <f t="shared" ca="1" si="386"/>
        <v>-0.74354002988167878</v>
      </c>
      <c r="F847" s="304">
        <f t="shared" ca="1" si="387"/>
        <v>0.92901965768420491</v>
      </c>
      <c r="G847" s="306">
        <f t="shared" ca="1" si="388"/>
        <v>5.9403831254871138</v>
      </c>
      <c r="H847" s="307">
        <f t="shared" ca="1" si="389"/>
        <v>-96.698044081319608</v>
      </c>
      <c r="I847" s="304">
        <f t="shared" ca="1" si="390"/>
        <v>96.880337947544348</v>
      </c>
      <c r="J847" s="306">
        <f t="shared" ca="1" si="391"/>
        <v>588.9746359926213</v>
      </c>
      <c r="K847" s="307">
        <f t="shared" ca="1" si="392"/>
        <v>-11.832729971426122</v>
      </c>
      <c r="L847" s="304">
        <f t="shared" ca="1" si="377"/>
        <v>589.09348607943161</v>
      </c>
      <c r="M847" s="306">
        <f t="shared" ca="1" si="393"/>
        <v>-1.509441133941424</v>
      </c>
      <c r="N847" s="304">
        <f t="shared" ca="1" si="394"/>
        <v>-86.484606398284797</v>
      </c>
      <c r="P847" s="310">
        <f t="shared" ca="1" si="395"/>
        <v>23</v>
      </c>
      <c r="Q847" s="304">
        <f t="shared" ca="1" si="396"/>
        <v>0</v>
      </c>
      <c r="R847" s="306">
        <f t="shared" ca="1" si="397"/>
        <v>0</v>
      </c>
      <c r="S847" s="307">
        <f t="shared" ca="1" si="398"/>
        <v>2.5949999999999998</v>
      </c>
      <c r="T847" s="304">
        <f t="shared" ca="1" si="378"/>
        <v>25.456949999999999</v>
      </c>
      <c r="U847" s="311">
        <f t="shared" ca="1" si="379"/>
        <v>0</v>
      </c>
      <c r="V847" s="306">
        <f t="shared" ca="1" si="380"/>
        <v>1.2264503675118561</v>
      </c>
      <c r="W847" s="304">
        <f t="shared" ca="1" si="381"/>
        <v>23.571875428480212</v>
      </c>
      <c r="Y847" s="314" t="str">
        <f t="shared" ca="1" si="399"/>
        <v/>
      </c>
      <c r="Z847" s="315" t="str">
        <f t="shared" ca="1" si="400"/>
        <v/>
      </c>
      <c r="AA847" s="316" t="str">
        <f t="shared" ca="1" si="401"/>
        <v/>
      </c>
      <c r="AC847" s="310" t="e">
        <f t="shared" ca="1" si="402"/>
        <v>#N/A</v>
      </c>
      <c r="AD847" s="323" t="e">
        <f t="shared" ca="1" si="403"/>
        <v>#N/A</v>
      </c>
      <c r="AE847" s="324" t="e">
        <f t="shared" ca="1" si="382"/>
        <v>#N/A</v>
      </c>
      <c r="AG847" s="306">
        <f t="shared" ca="1" si="404"/>
        <v>0.70798845716665504</v>
      </c>
      <c r="AH847" s="304">
        <f t="shared" ca="1" si="405"/>
        <v>-9.0835522863076612</v>
      </c>
    </row>
    <row r="848" spans="1:34" x14ac:dyDescent="0.2">
      <c r="A848" s="347">
        <f t="shared" ca="1" si="383"/>
        <v>1E-4</v>
      </c>
      <c r="B848" s="304">
        <f t="shared" ca="1" si="384"/>
        <v>32.546100000001701</v>
      </c>
      <c r="D848" s="306">
        <f t="shared" ca="1" si="385"/>
        <v>-0.55697485071428332</v>
      </c>
      <c r="E848" s="307">
        <f t="shared" ca="1" si="386"/>
        <v>-0.74351766564048738</v>
      </c>
      <c r="F848" s="304">
        <f t="shared" ca="1" si="387"/>
        <v>0.92899919453553759</v>
      </c>
      <c r="G848" s="306">
        <f t="shared" ca="1" si="388"/>
        <v>5.9403274280020426</v>
      </c>
      <c r="H848" s="307">
        <f t="shared" ca="1" si="389"/>
        <v>-96.698118433086179</v>
      </c>
      <c r="I848" s="304">
        <f t="shared" ca="1" si="390"/>
        <v>96.880408744240114</v>
      </c>
      <c r="J848" s="306">
        <f t="shared" ca="1" si="391"/>
        <v>588.9746359926213</v>
      </c>
      <c r="K848" s="307">
        <f t="shared" ca="1" si="392"/>
        <v>-11.842399779551842</v>
      </c>
      <c r="L848" s="304">
        <f t="shared" ca="1" si="377"/>
        <v>589.09368038978266</v>
      </c>
      <c r="M848" s="306">
        <f t="shared" ca="1" si="393"/>
        <v>-1.5094417548274071</v>
      </c>
      <c r="N848" s="304">
        <f t="shared" ca="1" si="394"/>
        <v>-86.484641972431177</v>
      </c>
      <c r="P848" s="310">
        <f t="shared" ca="1" si="395"/>
        <v>23</v>
      </c>
      <c r="Q848" s="304">
        <f t="shared" ca="1" si="396"/>
        <v>0</v>
      </c>
      <c r="R848" s="306">
        <f t="shared" ca="1" si="397"/>
        <v>0</v>
      </c>
      <c r="S848" s="307">
        <f t="shared" ca="1" si="398"/>
        <v>2.5949999999999998</v>
      </c>
      <c r="T848" s="304">
        <f t="shared" ca="1" si="378"/>
        <v>25.456949999999999</v>
      </c>
      <c r="U848" s="311">
        <f t="shared" ca="1" si="379"/>
        <v>0</v>
      </c>
      <c r="V848" s="306">
        <f t="shared" ca="1" si="380"/>
        <v>1.2264515534668179</v>
      </c>
      <c r="W848" s="304">
        <f t="shared" ca="1" si="381"/>
        <v>23.571932673068133</v>
      </c>
      <c r="Y848" s="314" t="str">
        <f t="shared" ca="1" si="399"/>
        <v/>
      </c>
      <c r="Z848" s="315" t="str">
        <f t="shared" ca="1" si="400"/>
        <v/>
      </c>
      <c r="AA848" s="316" t="str">
        <f t="shared" ca="1" si="401"/>
        <v/>
      </c>
      <c r="AC848" s="310" t="e">
        <f t="shared" ca="1" si="402"/>
        <v>#N/A</v>
      </c>
      <c r="AD848" s="323" t="e">
        <f t="shared" ca="1" si="403"/>
        <v>#N/A</v>
      </c>
      <c r="AE848" s="324" t="e">
        <f t="shared" ca="1" si="382"/>
        <v>#N/A</v>
      </c>
      <c r="AG848" s="306">
        <f t="shared" ca="1" si="404"/>
        <v>0.70796677071849956</v>
      </c>
      <c r="AH848" s="304">
        <f t="shared" ca="1" si="405"/>
        <v>-9.0835743462351495</v>
      </c>
    </row>
    <row r="849" spans="1:34" x14ac:dyDescent="0.2">
      <c r="A849" s="347">
        <f t="shared" ca="1" si="383"/>
        <v>1E-4</v>
      </c>
      <c r="B849" s="304">
        <f t="shared" ca="1" si="384"/>
        <v>32.546200000001704</v>
      </c>
      <c r="D849" s="306">
        <f t="shared" ca="1" si="385"/>
        <v>-0.55697057406894857</v>
      </c>
      <c r="E849" s="307">
        <f t="shared" ca="1" si="386"/>
        <v>-0.74349530176022505</v>
      </c>
      <c r="F849" s="304">
        <f t="shared" ca="1" si="387"/>
        <v>0.92897873179003521</v>
      </c>
      <c r="G849" s="306">
        <f t="shared" ca="1" si="388"/>
        <v>5.9402717309446356</v>
      </c>
      <c r="H849" s="307">
        <f t="shared" ca="1" si="389"/>
        <v>-96.69819278261636</v>
      </c>
      <c r="I849" s="304">
        <f t="shared" ca="1" si="390"/>
        <v>96.880479538767247</v>
      </c>
      <c r="J849" s="306">
        <f t="shared" ca="1" si="391"/>
        <v>588.9746359926213</v>
      </c>
      <c r="K849" s="307">
        <f t="shared" ca="1" si="392"/>
        <v>-11.852069595112628</v>
      </c>
      <c r="L849" s="304">
        <f t="shared" ca="1" si="377"/>
        <v>589.09387485894649</v>
      </c>
      <c r="M849" s="306">
        <f t="shared" ca="1" si="393"/>
        <v>-1.5094423757066615</v>
      </c>
      <c r="N849" s="304">
        <f t="shared" ca="1" si="394"/>
        <v>-86.484677546192046</v>
      </c>
      <c r="P849" s="310">
        <f t="shared" ca="1" si="395"/>
        <v>23</v>
      </c>
      <c r="Q849" s="304">
        <f t="shared" ca="1" si="396"/>
        <v>0</v>
      </c>
      <c r="R849" s="306">
        <f t="shared" ca="1" si="397"/>
        <v>0</v>
      </c>
      <c r="S849" s="307">
        <f t="shared" ca="1" si="398"/>
        <v>2.5949999999999998</v>
      </c>
      <c r="T849" s="304">
        <f t="shared" ca="1" si="378"/>
        <v>25.456949999999999</v>
      </c>
      <c r="U849" s="311">
        <f t="shared" ca="1" si="379"/>
        <v>0</v>
      </c>
      <c r="V849" s="306">
        <f t="shared" ca="1" si="380"/>
        <v>1.2264527394238391</v>
      </c>
      <c r="W849" s="304">
        <f t="shared" ca="1" si="381"/>
        <v>23.571989916732136</v>
      </c>
      <c r="Y849" s="314" t="str">
        <f t="shared" ca="1" si="399"/>
        <v/>
      </c>
      <c r="Z849" s="315" t="str">
        <f t="shared" ca="1" si="400"/>
        <v/>
      </c>
      <c r="AA849" s="316" t="str">
        <f t="shared" ca="1" si="401"/>
        <v/>
      </c>
      <c r="AC849" s="310" t="e">
        <f t="shared" ca="1" si="402"/>
        <v>#N/A</v>
      </c>
      <c r="AD849" s="323" t="e">
        <f t="shared" ca="1" si="403"/>
        <v>#N/A</v>
      </c>
      <c r="AE849" s="324" t="e">
        <f t="shared" ca="1" si="382"/>
        <v>#N/A</v>
      </c>
      <c r="AG849" s="306">
        <f t="shared" ca="1" si="404"/>
        <v>0.70794508461855798</v>
      </c>
      <c r="AH849" s="304">
        <f t="shared" ca="1" si="405"/>
        <v>-9.0835964058066025</v>
      </c>
    </row>
    <row r="850" spans="1:34" x14ac:dyDescent="0.2">
      <c r="A850" s="347">
        <f t="shared" ca="1" si="383"/>
        <v>1E-4</v>
      </c>
      <c r="B850" s="304">
        <f t="shared" ca="1" si="384"/>
        <v>32.546300000001708</v>
      </c>
      <c r="D850" s="306">
        <f t="shared" ca="1" si="385"/>
        <v>-0.55696629743523229</v>
      </c>
      <c r="E850" s="307">
        <f t="shared" ca="1" si="386"/>
        <v>-0.74347293824089178</v>
      </c>
      <c r="F850" s="304">
        <f t="shared" ca="1" si="387"/>
        <v>0.92895826944769511</v>
      </c>
      <c r="G850" s="306">
        <f t="shared" ca="1" si="388"/>
        <v>5.9402160343148918</v>
      </c>
      <c r="H850" s="307">
        <f t="shared" ca="1" si="389"/>
        <v>-96.698267129910178</v>
      </c>
      <c r="I850" s="304">
        <f t="shared" ca="1" si="390"/>
        <v>96.880550331125789</v>
      </c>
      <c r="J850" s="306">
        <f t="shared" ca="1" si="391"/>
        <v>588.9746359926213</v>
      </c>
      <c r="K850" s="307">
        <f t="shared" ca="1" si="392"/>
        <v>-11.861739418108254</v>
      </c>
      <c r="L850" s="304">
        <f t="shared" ca="1" si="377"/>
        <v>589.0940694869231</v>
      </c>
      <c r="M850" s="306">
        <f t="shared" ca="1" si="393"/>
        <v>-1.5094429965791871</v>
      </c>
      <c r="N850" s="304">
        <f t="shared" ca="1" si="394"/>
        <v>-86.484713119567374</v>
      </c>
      <c r="P850" s="310">
        <f t="shared" ca="1" si="395"/>
        <v>23</v>
      </c>
      <c r="Q850" s="304">
        <f t="shared" ca="1" si="396"/>
        <v>0</v>
      </c>
      <c r="R850" s="306">
        <f t="shared" ca="1" si="397"/>
        <v>0</v>
      </c>
      <c r="S850" s="307">
        <f t="shared" ca="1" si="398"/>
        <v>2.5949999999999998</v>
      </c>
      <c r="T850" s="304">
        <f t="shared" ca="1" si="378"/>
        <v>25.456949999999999</v>
      </c>
      <c r="U850" s="311">
        <f t="shared" ca="1" si="379"/>
        <v>0</v>
      </c>
      <c r="V850" s="306">
        <f t="shared" ca="1" si="380"/>
        <v>1.2264539253829199</v>
      </c>
      <c r="W850" s="304">
        <f t="shared" ca="1" si="381"/>
        <v>23.572047159472241</v>
      </c>
      <c r="Y850" s="314" t="str">
        <f t="shared" ca="1" si="399"/>
        <v/>
      </c>
      <c r="Z850" s="315" t="str">
        <f t="shared" ca="1" si="400"/>
        <v/>
      </c>
      <c r="AA850" s="316" t="str">
        <f t="shared" ca="1" si="401"/>
        <v/>
      </c>
      <c r="AC850" s="310" t="e">
        <f t="shared" ca="1" si="402"/>
        <v>#N/A</v>
      </c>
      <c r="AD850" s="323" t="e">
        <f t="shared" ca="1" si="403"/>
        <v>#N/A</v>
      </c>
      <c r="AE850" s="324" t="e">
        <f t="shared" ca="1" si="382"/>
        <v>#N/A</v>
      </c>
      <c r="AG850" s="306">
        <f t="shared" ca="1" si="404"/>
        <v>0.70792339886683031</v>
      </c>
      <c r="AH850" s="304">
        <f t="shared" ca="1" si="405"/>
        <v>-9.0836184650220186</v>
      </c>
    </row>
    <row r="851" spans="1:34" x14ac:dyDescent="0.2">
      <c r="A851" s="347">
        <f t="shared" ca="1" si="383"/>
        <v>1E-4</v>
      </c>
      <c r="B851" s="304">
        <f t="shared" ca="1" si="384"/>
        <v>32.546400000001711</v>
      </c>
      <c r="D851" s="306">
        <f t="shared" ca="1" si="385"/>
        <v>-0.55696202081313817</v>
      </c>
      <c r="E851" s="307">
        <f t="shared" ca="1" si="386"/>
        <v>-0.74345057508248225</v>
      </c>
      <c r="F851" s="304">
        <f t="shared" ca="1" si="387"/>
        <v>0.92893780750851573</v>
      </c>
      <c r="G851" s="306">
        <f t="shared" ca="1" si="388"/>
        <v>5.9401603381128103</v>
      </c>
      <c r="H851" s="307">
        <f t="shared" ca="1" si="389"/>
        <v>-96.698341474967691</v>
      </c>
      <c r="I851" s="304">
        <f t="shared" ca="1" si="390"/>
        <v>96.880621121315826</v>
      </c>
      <c r="J851" s="306">
        <f t="shared" ca="1" si="391"/>
        <v>588.9746359926213</v>
      </c>
      <c r="K851" s="307">
        <f t="shared" ca="1" si="392"/>
        <v>-11.871409248538498</v>
      </c>
      <c r="L851" s="304">
        <f t="shared" ca="1" si="377"/>
        <v>589.09426427371284</v>
      </c>
      <c r="M851" s="306">
        <f t="shared" ca="1" si="393"/>
        <v>-1.5094436174449839</v>
      </c>
      <c r="N851" s="304">
        <f t="shared" ca="1" si="394"/>
        <v>-86.484748692557176</v>
      </c>
      <c r="P851" s="310">
        <f t="shared" ca="1" si="395"/>
        <v>23</v>
      </c>
      <c r="Q851" s="304">
        <f t="shared" ca="1" si="396"/>
        <v>0</v>
      </c>
      <c r="R851" s="306">
        <f t="shared" ca="1" si="397"/>
        <v>0</v>
      </c>
      <c r="S851" s="307">
        <f t="shared" ca="1" si="398"/>
        <v>2.5949999999999998</v>
      </c>
      <c r="T851" s="304">
        <f t="shared" ca="1" si="378"/>
        <v>25.456949999999999</v>
      </c>
      <c r="U851" s="311">
        <f t="shared" ca="1" si="379"/>
        <v>0</v>
      </c>
      <c r="V851" s="306">
        <f t="shared" ca="1" si="380"/>
        <v>1.2264551113440594</v>
      </c>
      <c r="W851" s="304">
        <f t="shared" ca="1" si="381"/>
        <v>23.57210440128847</v>
      </c>
      <c r="Y851" s="314" t="str">
        <f t="shared" ca="1" si="399"/>
        <v/>
      </c>
      <c r="Z851" s="315" t="str">
        <f t="shared" ca="1" si="400"/>
        <v/>
      </c>
      <c r="AA851" s="316" t="str">
        <f t="shared" ca="1" si="401"/>
        <v/>
      </c>
      <c r="AC851" s="310" t="e">
        <f t="shared" ca="1" si="402"/>
        <v>#N/A</v>
      </c>
      <c r="AD851" s="323" t="e">
        <f t="shared" ca="1" si="403"/>
        <v>#N/A</v>
      </c>
      <c r="AE851" s="324" t="e">
        <f t="shared" ca="1" si="382"/>
        <v>#N/A</v>
      </c>
      <c r="AG851" s="306">
        <f t="shared" ca="1" si="404"/>
        <v>0.70790171346331121</v>
      </c>
      <c r="AH851" s="304">
        <f t="shared" ca="1" si="405"/>
        <v>-9.0836405238814049</v>
      </c>
    </row>
    <row r="852" spans="1:34" x14ac:dyDescent="0.2">
      <c r="A852" s="347">
        <f t="shared" ca="1" si="383"/>
        <v>1E-4</v>
      </c>
      <c r="B852" s="304">
        <f t="shared" ca="1" si="384"/>
        <v>32.546500000001714</v>
      </c>
      <c r="D852" s="306">
        <f t="shared" ca="1" si="385"/>
        <v>-0.55695774420266753</v>
      </c>
      <c r="E852" s="307">
        <f t="shared" ca="1" si="386"/>
        <v>-0.74342821228498934</v>
      </c>
      <c r="F852" s="304">
        <f t="shared" ca="1" si="387"/>
        <v>0.92891734597249243</v>
      </c>
      <c r="G852" s="306">
        <f t="shared" ca="1" si="388"/>
        <v>5.9401046423383903</v>
      </c>
      <c r="H852" s="307">
        <f t="shared" ca="1" si="389"/>
        <v>-96.698415817788913</v>
      </c>
      <c r="I852" s="304">
        <f t="shared" ca="1" si="390"/>
        <v>96.880691909337315</v>
      </c>
      <c r="J852" s="306">
        <f t="shared" ca="1" si="391"/>
        <v>588.9746359926213</v>
      </c>
      <c r="K852" s="307">
        <f t="shared" ca="1" si="392"/>
        <v>-11.881079086403137</v>
      </c>
      <c r="L852" s="304">
        <f t="shared" ca="1" si="377"/>
        <v>589.09445921931581</v>
      </c>
      <c r="M852" s="306">
        <f t="shared" ca="1" si="393"/>
        <v>-1.5094442383040521</v>
      </c>
      <c r="N852" s="304">
        <f t="shared" ca="1" si="394"/>
        <v>-86.484784265161451</v>
      </c>
      <c r="P852" s="310">
        <f t="shared" ca="1" si="395"/>
        <v>23</v>
      </c>
      <c r="Q852" s="304">
        <f t="shared" ca="1" si="396"/>
        <v>0</v>
      </c>
      <c r="R852" s="306">
        <f t="shared" ca="1" si="397"/>
        <v>0</v>
      </c>
      <c r="S852" s="307">
        <f t="shared" ca="1" si="398"/>
        <v>2.5949999999999998</v>
      </c>
      <c r="T852" s="304">
        <f t="shared" ca="1" si="378"/>
        <v>25.456949999999999</v>
      </c>
      <c r="U852" s="311">
        <f t="shared" ca="1" si="379"/>
        <v>0</v>
      </c>
      <c r="V852" s="306">
        <f t="shared" ca="1" si="380"/>
        <v>1.2264562973072588</v>
      </c>
      <c r="W852" s="304">
        <f t="shared" ca="1" si="381"/>
        <v>23.57216164218082</v>
      </c>
      <c r="Y852" s="314" t="str">
        <f t="shared" ca="1" si="399"/>
        <v/>
      </c>
      <c r="Z852" s="315" t="str">
        <f t="shared" ca="1" si="400"/>
        <v/>
      </c>
      <c r="AA852" s="316" t="str">
        <f t="shared" ca="1" si="401"/>
        <v/>
      </c>
      <c r="AC852" s="310" t="e">
        <f t="shared" ca="1" si="402"/>
        <v>#N/A</v>
      </c>
      <c r="AD852" s="323" t="e">
        <f t="shared" ca="1" si="403"/>
        <v>#N/A</v>
      </c>
      <c r="AE852" s="324" t="e">
        <f t="shared" ca="1" si="382"/>
        <v>#N/A</v>
      </c>
      <c r="AG852" s="306">
        <f t="shared" ca="1" si="404"/>
        <v>0.70788002840799358</v>
      </c>
      <c r="AH852" s="304">
        <f t="shared" ca="1" si="405"/>
        <v>-9.0836625823847683</v>
      </c>
    </row>
    <row r="853" spans="1:34" x14ac:dyDescent="0.2">
      <c r="A853" s="347">
        <f t="shared" ca="1" si="383"/>
        <v>1E-4</v>
      </c>
      <c r="B853" s="304">
        <f t="shared" ca="1" si="384"/>
        <v>32.546600000001717</v>
      </c>
      <c r="D853" s="306">
        <f t="shared" ca="1" si="385"/>
        <v>-0.5569534676038197</v>
      </c>
      <c r="E853" s="307">
        <f t="shared" ca="1" si="386"/>
        <v>-0.74340584984841129</v>
      </c>
      <c r="F853" s="304">
        <f t="shared" ca="1" si="387"/>
        <v>0.92889688483962396</v>
      </c>
      <c r="G853" s="306">
        <f t="shared" ca="1" si="388"/>
        <v>5.94004894699163</v>
      </c>
      <c r="H853" s="307">
        <f t="shared" ca="1" si="389"/>
        <v>-96.6984901583739</v>
      </c>
      <c r="I853" s="304">
        <f t="shared" ca="1" si="390"/>
        <v>96.88076269519037</v>
      </c>
      <c r="J853" s="306">
        <f t="shared" ca="1" si="391"/>
        <v>588.9746359926213</v>
      </c>
      <c r="K853" s="307">
        <f t="shared" ca="1" si="392"/>
        <v>-11.890748931701944</v>
      </c>
      <c r="L853" s="304">
        <f t="shared" ca="1" si="377"/>
        <v>589.09465432373224</v>
      </c>
      <c r="M853" s="306">
        <f t="shared" ca="1" si="393"/>
        <v>-1.5094448591563918</v>
      </c>
      <c r="N853" s="304">
        <f t="shared" ca="1" si="394"/>
        <v>-86.484819837380229</v>
      </c>
      <c r="P853" s="310">
        <f t="shared" ca="1" si="395"/>
        <v>23</v>
      </c>
      <c r="Q853" s="304">
        <f t="shared" ca="1" si="396"/>
        <v>0</v>
      </c>
      <c r="R853" s="306">
        <f t="shared" ca="1" si="397"/>
        <v>0</v>
      </c>
      <c r="S853" s="307">
        <f t="shared" ca="1" si="398"/>
        <v>2.5949999999999998</v>
      </c>
      <c r="T853" s="304">
        <f t="shared" ca="1" si="378"/>
        <v>25.456949999999999</v>
      </c>
      <c r="U853" s="311">
        <f t="shared" ca="1" si="379"/>
        <v>0</v>
      </c>
      <c r="V853" s="306">
        <f t="shared" ca="1" si="380"/>
        <v>1.226457483272517</v>
      </c>
      <c r="W853" s="304">
        <f t="shared" ca="1" si="381"/>
        <v>23.572218882149318</v>
      </c>
      <c r="Y853" s="314" t="str">
        <f t="shared" ca="1" si="399"/>
        <v/>
      </c>
      <c r="Z853" s="315" t="str">
        <f t="shared" ca="1" si="400"/>
        <v/>
      </c>
      <c r="AA853" s="316" t="str">
        <f t="shared" ca="1" si="401"/>
        <v/>
      </c>
      <c r="AC853" s="310" t="e">
        <f t="shared" ca="1" si="402"/>
        <v>#N/A</v>
      </c>
      <c r="AD853" s="323" t="e">
        <f t="shared" ca="1" si="403"/>
        <v>#N/A</v>
      </c>
      <c r="AE853" s="324" t="e">
        <f t="shared" ca="1" si="382"/>
        <v>#N/A</v>
      </c>
      <c r="AG853" s="306">
        <f t="shared" ca="1" si="404"/>
        <v>0.70785834370087564</v>
      </c>
      <c r="AH853" s="304">
        <f t="shared" ca="1" si="405"/>
        <v>-9.083684640532109</v>
      </c>
    </row>
    <row r="854" spans="1:34" x14ac:dyDescent="0.2">
      <c r="A854" s="347">
        <f t="shared" ca="1" si="383"/>
        <v>1E-4</v>
      </c>
      <c r="B854" s="304">
        <f t="shared" ca="1" si="384"/>
        <v>32.546700000001721</v>
      </c>
      <c r="D854" s="306">
        <f t="shared" ca="1" si="385"/>
        <v>-0.55694919101659435</v>
      </c>
      <c r="E854" s="307">
        <f t="shared" ca="1" si="386"/>
        <v>-0.74338348777273922</v>
      </c>
      <c r="F854" s="304">
        <f t="shared" ca="1" si="387"/>
        <v>0.92887642410990345</v>
      </c>
      <c r="G854" s="306">
        <f t="shared" ca="1" si="388"/>
        <v>5.9399932520725285</v>
      </c>
      <c r="H854" s="307">
        <f t="shared" ca="1" si="389"/>
        <v>-96.698564496722682</v>
      </c>
      <c r="I854" s="304">
        <f t="shared" ca="1" si="390"/>
        <v>96.880833478874976</v>
      </c>
      <c r="J854" s="306">
        <f t="shared" ca="1" si="391"/>
        <v>588.9746359926213</v>
      </c>
      <c r="K854" s="307">
        <f t="shared" ca="1" si="392"/>
        <v>-11.900418784434699</v>
      </c>
      <c r="L854" s="304">
        <f t="shared" ca="1" si="377"/>
        <v>589.09484958696225</v>
      </c>
      <c r="M854" s="306">
        <f t="shared" ca="1" si="393"/>
        <v>-1.509445480002003</v>
      </c>
      <c r="N854" s="304">
        <f t="shared" ca="1" si="394"/>
        <v>-86.48485540921348</v>
      </c>
      <c r="P854" s="310">
        <f t="shared" ca="1" si="395"/>
        <v>23</v>
      </c>
      <c r="Q854" s="304">
        <f t="shared" ca="1" si="396"/>
        <v>0</v>
      </c>
      <c r="R854" s="306">
        <f t="shared" ca="1" si="397"/>
        <v>0</v>
      </c>
      <c r="S854" s="307">
        <f t="shared" ca="1" si="398"/>
        <v>2.5949999999999998</v>
      </c>
      <c r="T854" s="304">
        <f t="shared" ca="1" si="378"/>
        <v>25.456949999999999</v>
      </c>
      <c r="U854" s="311">
        <f t="shared" ca="1" si="379"/>
        <v>0</v>
      </c>
      <c r="V854" s="306">
        <f t="shared" ca="1" si="380"/>
        <v>1.226458669239834</v>
      </c>
      <c r="W854" s="304">
        <f t="shared" ca="1" si="381"/>
        <v>23.572276121193944</v>
      </c>
      <c r="Y854" s="314" t="str">
        <f t="shared" ca="1" si="399"/>
        <v/>
      </c>
      <c r="Z854" s="315" t="str">
        <f t="shared" ca="1" si="400"/>
        <v/>
      </c>
      <c r="AA854" s="316" t="str">
        <f t="shared" ca="1" si="401"/>
        <v/>
      </c>
      <c r="AC854" s="310" t="e">
        <f t="shared" ca="1" si="402"/>
        <v>#N/A</v>
      </c>
      <c r="AD854" s="323" t="e">
        <f t="shared" ca="1" si="403"/>
        <v>#N/A</v>
      </c>
      <c r="AE854" s="324" t="e">
        <f t="shared" ca="1" si="382"/>
        <v>#N/A</v>
      </c>
      <c r="AG854" s="306">
        <f t="shared" ca="1" si="404"/>
        <v>0.70783665934195028</v>
      </c>
      <c r="AH854" s="304">
        <f t="shared" ca="1" si="405"/>
        <v>-9.0837066983234376</v>
      </c>
    </row>
    <row r="855" spans="1:34" x14ac:dyDescent="0.2">
      <c r="A855" s="347">
        <f t="shared" ca="1" si="383"/>
        <v>1E-4</v>
      </c>
      <c r="B855" s="304">
        <f t="shared" ca="1" si="384"/>
        <v>32.546800000001724</v>
      </c>
      <c r="D855" s="306">
        <f t="shared" ca="1" si="385"/>
        <v>-0.55694491444099414</v>
      </c>
      <c r="E855" s="307">
        <f t="shared" ca="1" si="386"/>
        <v>-0.74336112605797844</v>
      </c>
      <c r="F855" s="304">
        <f t="shared" ca="1" si="387"/>
        <v>0.92885596378333701</v>
      </c>
      <c r="G855" s="306">
        <f t="shared" ca="1" si="388"/>
        <v>5.939937557581084</v>
      </c>
      <c r="H855" s="307">
        <f t="shared" ca="1" si="389"/>
        <v>-96.698638832835286</v>
      </c>
      <c r="I855" s="304">
        <f t="shared" ca="1" si="390"/>
        <v>96.880904260391176</v>
      </c>
      <c r="J855" s="306">
        <f t="shared" ca="1" si="391"/>
        <v>588.9746359926213</v>
      </c>
      <c r="K855" s="307">
        <f t="shared" ca="1" si="392"/>
        <v>-11.910088644601176</v>
      </c>
      <c r="L855" s="304">
        <f t="shared" ca="1" si="377"/>
        <v>589.09504500900618</v>
      </c>
      <c r="M855" s="306">
        <f t="shared" ca="1" si="393"/>
        <v>-1.5094461008408859</v>
      </c>
      <c r="N855" s="304">
        <f t="shared" ca="1" si="394"/>
        <v>-86.48489098066122</v>
      </c>
      <c r="P855" s="310">
        <f t="shared" ca="1" si="395"/>
        <v>23</v>
      </c>
      <c r="Q855" s="304">
        <f t="shared" ca="1" si="396"/>
        <v>0</v>
      </c>
      <c r="R855" s="306">
        <f t="shared" ca="1" si="397"/>
        <v>0</v>
      </c>
      <c r="S855" s="307">
        <f t="shared" ca="1" si="398"/>
        <v>2.5949999999999998</v>
      </c>
      <c r="T855" s="304">
        <f t="shared" ca="1" si="378"/>
        <v>25.456949999999999</v>
      </c>
      <c r="U855" s="311">
        <f t="shared" ca="1" si="379"/>
        <v>0</v>
      </c>
      <c r="V855" s="306">
        <f t="shared" ca="1" si="380"/>
        <v>1.226459855209211</v>
      </c>
      <c r="W855" s="304">
        <f t="shared" ca="1" si="381"/>
        <v>23.572333359314747</v>
      </c>
      <c r="Y855" s="314" t="str">
        <f t="shared" ca="1" si="399"/>
        <v/>
      </c>
      <c r="Z855" s="315" t="str">
        <f t="shared" ca="1" si="400"/>
        <v/>
      </c>
      <c r="AA855" s="316" t="str">
        <f t="shared" ca="1" si="401"/>
        <v/>
      </c>
      <c r="AC855" s="310" t="e">
        <f t="shared" ca="1" si="402"/>
        <v>#N/A</v>
      </c>
      <c r="AD855" s="323" t="e">
        <f t="shared" ca="1" si="403"/>
        <v>#N/A</v>
      </c>
      <c r="AE855" s="324" t="e">
        <f t="shared" ca="1" si="382"/>
        <v>#N/A</v>
      </c>
      <c r="AG855" s="306">
        <f t="shared" ca="1" si="404"/>
        <v>0.70781497533122284</v>
      </c>
      <c r="AH855" s="304">
        <f t="shared" ca="1" si="405"/>
        <v>-9.0837287557587469</v>
      </c>
    </row>
    <row r="856" spans="1:34" x14ac:dyDescent="0.2">
      <c r="A856" s="347">
        <f t="shared" ca="1" si="383"/>
        <v>1E-4</v>
      </c>
      <c r="B856" s="304">
        <f t="shared" ca="1" si="384"/>
        <v>32.546900000001727</v>
      </c>
      <c r="D856" s="306">
        <f t="shared" ca="1" si="385"/>
        <v>-0.55694063787701709</v>
      </c>
      <c r="E856" s="307">
        <f t="shared" ca="1" si="386"/>
        <v>-0.74333876470411298</v>
      </c>
      <c r="F856" s="304">
        <f t="shared" ca="1" si="387"/>
        <v>0.92883550385991132</v>
      </c>
      <c r="G856" s="306">
        <f t="shared" ca="1" si="388"/>
        <v>5.9398818635172965</v>
      </c>
      <c r="H856" s="307">
        <f t="shared" ca="1" si="389"/>
        <v>-96.698713166711755</v>
      </c>
      <c r="I856" s="304">
        <f t="shared" ca="1" si="390"/>
        <v>96.880975039739027</v>
      </c>
      <c r="J856" s="306">
        <f t="shared" ca="1" si="391"/>
        <v>588.9746359926213</v>
      </c>
      <c r="K856" s="307">
        <f t="shared" ca="1" si="392"/>
        <v>-11.919758512201154</v>
      </c>
      <c r="L856" s="304">
        <f t="shared" ca="1" si="377"/>
        <v>589.09524058986415</v>
      </c>
      <c r="M856" s="306">
        <f t="shared" ca="1" si="393"/>
        <v>-1.5094467216730407</v>
      </c>
      <c r="N856" s="304">
        <f t="shared" ca="1" si="394"/>
        <v>-86.484926551723476</v>
      </c>
      <c r="P856" s="310">
        <f t="shared" ca="1" si="395"/>
        <v>23</v>
      </c>
      <c r="Q856" s="304">
        <f t="shared" ca="1" si="396"/>
        <v>0</v>
      </c>
      <c r="R856" s="306">
        <f t="shared" ca="1" si="397"/>
        <v>0</v>
      </c>
      <c r="S856" s="307">
        <f t="shared" ca="1" si="398"/>
        <v>2.5949999999999998</v>
      </c>
      <c r="T856" s="304">
        <f t="shared" ca="1" si="378"/>
        <v>25.456949999999999</v>
      </c>
      <c r="U856" s="311">
        <f t="shared" ca="1" si="379"/>
        <v>0</v>
      </c>
      <c r="V856" s="306">
        <f t="shared" ca="1" si="380"/>
        <v>1.2264610411806474</v>
      </c>
      <c r="W856" s="304">
        <f t="shared" ca="1" si="381"/>
        <v>23.572390596511745</v>
      </c>
      <c r="Y856" s="314" t="str">
        <f t="shared" ca="1" si="399"/>
        <v/>
      </c>
      <c r="Z856" s="315" t="str">
        <f t="shared" ca="1" si="400"/>
        <v/>
      </c>
      <c r="AA856" s="316" t="str">
        <f t="shared" ca="1" si="401"/>
        <v/>
      </c>
      <c r="AC856" s="310" t="e">
        <f t="shared" ca="1" si="402"/>
        <v>#N/A</v>
      </c>
      <c r="AD856" s="323" t="e">
        <f t="shared" ca="1" si="403"/>
        <v>#N/A</v>
      </c>
      <c r="AE856" s="324" t="e">
        <f t="shared" ca="1" si="382"/>
        <v>#N/A</v>
      </c>
      <c r="AG856" s="306">
        <f t="shared" ca="1" si="404"/>
        <v>0.70779329166867733</v>
      </c>
      <c r="AH856" s="304">
        <f t="shared" ca="1" si="405"/>
        <v>-9.0837508128380531</v>
      </c>
    </row>
    <row r="857" spans="1:34" x14ac:dyDescent="0.2">
      <c r="A857" s="347">
        <f t="shared" ca="1" si="383"/>
        <v>1E-4</v>
      </c>
      <c r="B857" s="304">
        <f t="shared" ca="1" si="384"/>
        <v>32.547000000001731</v>
      </c>
      <c r="D857" s="306">
        <f t="shared" ca="1" si="385"/>
        <v>-0.55693636132466506</v>
      </c>
      <c r="E857" s="307">
        <f t="shared" ca="1" si="386"/>
        <v>-0.74331640371113572</v>
      </c>
      <c r="F857" s="304">
        <f t="shared" ca="1" si="387"/>
        <v>0.92881504433962203</v>
      </c>
      <c r="G857" s="306">
        <f t="shared" ca="1" si="388"/>
        <v>5.9398261698811643</v>
      </c>
      <c r="H857" s="307">
        <f t="shared" ca="1" si="389"/>
        <v>-96.698787498352132</v>
      </c>
      <c r="I857" s="304">
        <f t="shared" ca="1" si="390"/>
        <v>96.88104581691853</v>
      </c>
      <c r="J857" s="306">
        <f t="shared" ca="1" si="391"/>
        <v>588.9746359926213</v>
      </c>
      <c r="K857" s="307">
        <f t="shared" ca="1" si="392"/>
        <v>-11.929428387234408</v>
      </c>
      <c r="L857" s="304">
        <f t="shared" ca="1" si="377"/>
        <v>589.09543632953637</v>
      </c>
      <c r="M857" s="306">
        <f t="shared" ca="1" si="393"/>
        <v>-1.5094473424984671</v>
      </c>
      <c r="N857" s="304">
        <f t="shared" ca="1" si="394"/>
        <v>-86.484962122400233</v>
      </c>
      <c r="P857" s="310">
        <f t="shared" ca="1" si="395"/>
        <v>23</v>
      </c>
      <c r="Q857" s="304">
        <f t="shared" ca="1" si="396"/>
        <v>0</v>
      </c>
      <c r="R857" s="306">
        <f t="shared" ca="1" si="397"/>
        <v>0</v>
      </c>
      <c r="S857" s="307">
        <f t="shared" ca="1" si="398"/>
        <v>2.5949999999999998</v>
      </c>
      <c r="T857" s="304">
        <f t="shared" ca="1" si="378"/>
        <v>25.456949999999999</v>
      </c>
      <c r="U857" s="311">
        <f t="shared" ca="1" si="379"/>
        <v>0</v>
      </c>
      <c r="V857" s="306">
        <f t="shared" ca="1" si="380"/>
        <v>1.2264622271541423</v>
      </c>
      <c r="W857" s="304">
        <f t="shared" ca="1" si="381"/>
        <v>23.572447832784896</v>
      </c>
      <c r="Y857" s="314" t="str">
        <f t="shared" ca="1" si="399"/>
        <v/>
      </c>
      <c r="Z857" s="315" t="str">
        <f t="shared" ca="1" si="400"/>
        <v/>
      </c>
      <c r="AA857" s="316" t="str">
        <f t="shared" ca="1" si="401"/>
        <v/>
      </c>
      <c r="AC857" s="310" t="e">
        <f t="shared" ca="1" si="402"/>
        <v>#N/A</v>
      </c>
      <c r="AD857" s="323" t="e">
        <f t="shared" ca="1" si="403"/>
        <v>#N/A</v>
      </c>
      <c r="AE857" s="324" t="e">
        <f t="shared" ca="1" si="382"/>
        <v>#N/A</v>
      </c>
      <c r="AG857" s="306">
        <f t="shared" ca="1" si="404"/>
        <v>0.70777160835430308</v>
      </c>
      <c r="AH857" s="304">
        <f t="shared" ca="1" si="405"/>
        <v>-9.0837728695613666</v>
      </c>
    </row>
    <row r="858" spans="1:34" x14ac:dyDescent="0.2">
      <c r="A858" s="347">
        <f t="shared" ca="1" si="383"/>
        <v>1E-4</v>
      </c>
      <c r="B858" s="304">
        <f t="shared" ca="1" si="384"/>
        <v>32.547100000001734</v>
      </c>
      <c r="D858" s="306">
        <f t="shared" ca="1" si="385"/>
        <v>-0.55693208478394007</v>
      </c>
      <c r="E858" s="307">
        <f t="shared" ca="1" si="386"/>
        <v>-0.74329404307905911</v>
      </c>
      <c r="F858" s="304">
        <f t="shared" ca="1" si="387"/>
        <v>0.92879458522248071</v>
      </c>
      <c r="G858" s="306">
        <f t="shared" ca="1" si="388"/>
        <v>5.9397704766726855</v>
      </c>
      <c r="H858" s="307">
        <f t="shared" ca="1" si="389"/>
        <v>-96.698861827756446</v>
      </c>
      <c r="I858" s="304">
        <f t="shared" ca="1" si="390"/>
        <v>96.881116591929739</v>
      </c>
      <c r="J858" s="306">
        <f t="shared" ca="1" si="391"/>
        <v>588.9746359926213</v>
      </c>
      <c r="K858" s="307">
        <f t="shared" ca="1" si="392"/>
        <v>-11.939098269700713</v>
      </c>
      <c r="L858" s="304">
        <f t="shared" ca="1" si="377"/>
        <v>589.09563222802308</v>
      </c>
      <c r="M858" s="306">
        <f t="shared" ca="1" si="393"/>
        <v>-1.5094479633171656</v>
      </c>
      <c r="N858" s="304">
        <f t="shared" ca="1" si="394"/>
        <v>-86.484997692691493</v>
      </c>
      <c r="P858" s="310">
        <f t="shared" ca="1" si="395"/>
        <v>23</v>
      </c>
      <c r="Q858" s="304">
        <f t="shared" ca="1" si="396"/>
        <v>0</v>
      </c>
      <c r="R858" s="306">
        <f t="shared" ca="1" si="397"/>
        <v>0</v>
      </c>
      <c r="S858" s="307">
        <f t="shared" ca="1" si="398"/>
        <v>2.5949999999999998</v>
      </c>
      <c r="T858" s="304">
        <f t="shared" ca="1" si="378"/>
        <v>25.456949999999999</v>
      </c>
      <c r="U858" s="311">
        <f t="shared" ca="1" si="379"/>
        <v>0</v>
      </c>
      <c r="V858" s="306">
        <f t="shared" ca="1" si="380"/>
        <v>1.2264634131296968</v>
      </c>
      <c r="W858" s="304">
        <f t="shared" ca="1" si="381"/>
        <v>23.572505068134262</v>
      </c>
      <c r="Y858" s="314" t="str">
        <f t="shared" ca="1" si="399"/>
        <v/>
      </c>
      <c r="Z858" s="315" t="str">
        <f t="shared" ca="1" si="400"/>
        <v/>
      </c>
      <c r="AA858" s="316" t="str">
        <f t="shared" ca="1" si="401"/>
        <v/>
      </c>
      <c r="AC858" s="310" t="e">
        <f t="shared" ca="1" si="402"/>
        <v>#N/A</v>
      </c>
      <c r="AD858" s="323" t="e">
        <f t="shared" ca="1" si="403"/>
        <v>#N/A</v>
      </c>
      <c r="AE858" s="324" t="e">
        <f t="shared" ca="1" si="382"/>
        <v>#N/A</v>
      </c>
      <c r="AG858" s="306">
        <f t="shared" ca="1" si="404"/>
        <v>0.70774992538811787</v>
      </c>
      <c r="AH858" s="304">
        <f t="shared" ca="1" si="405"/>
        <v>-9.0837949259286699</v>
      </c>
    </row>
    <row r="859" spans="1:34" x14ac:dyDescent="0.2">
      <c r="A859" s="347">
        <f t="shared" ca="1" si="383"/>
        <v>1E-4</v>
      </c>
      <c r="B859" s="304">
        <f t="shared" ca="1" si="384"/>
        <v>32.547200000001737</v>
      </c>
      <c r="D859" s="306">
        <f t="shared" ca="1" si="385"/>
        <v>-0.55692780825484056</v>
      </c>
      <c r="E859" s="307">
        <f t="shared" ca="1" si="386"/>
        <v>-0.74327168280786537</v>
      </c>
      <c r="F859" s="304">
        <f t="shared" ca="1" si="387"/>
        <v>0.9287741265084728</v>
      </c>
      <c r="G859" s="306">
        <f t="shared" ca="1" si="388"/>
        <v>5.9397147838918603</v>
      </c>
      <c r="H859" s="307">
        <f t="shared" ca="1" si="389"/>
        <v>-96.698936154924723</v>
      </c>
      <c r="I859" s="304">
        <f t="shared" ca="1" si="390"/>
        <v>96.881187364772686</v>
      </c>
      <c r="J859" s="306">
        <f t="shared" ca="1" si="391"/>
        <v>588.9746359926213</v>
      </c>
      <c r="K859" s="307">
        <f t="shared" ca="1" si="392"/>
        <v>-11.948768159599847</v>
      </c>
      <c r="L859" s="304">
        <f t="shared" ca="1" si="377"/>
        <v>589.09582828532461</v>
      </c>
      <c r="M859" s="306">
        <f t="shared" ca="1" si="393"/>
        <v>-1.5094485841291361</v>
      </c>
      <c r="N859" s="304">
        <f t="shared" ca="1" si="394"/>
        <v>-86.48503326259727</v>
      </c>
      <c r="P859" s="310">
        <f t="shared" ca="1" si="395"/>
        <v>23</v>
      </c>
      <c r="Q859" s="304">
        <f t="shared" ca="1" si="396"/>
        <v>0</v>
      </c>
      <c r="R859" s="306">
        <f t="shared" ca="1" si="397"/>
        <v>0</v>
      </c>
      <c r="S859" s="307">
        <f t="shared" ca="1" si="398"/>
        <v>2.5949999999999998</v>
      </c>
      <c r="T859" s="304">
        <f t="shared" ca="1" si="378"/>
        <v>25.456949999999999</v>
      </c>
      <c r="U859" s="311">
        <f t="shared" ca="1" si="379"/>
        <v>0</v>
      </c>
      <c r="V859" s="306">
        <f t="shared" ca="1" si="380"/>
        <v>1.22646459910731</v>
      </c>
      <c r="W859" s="304">
        <f t="shared" ca="1" si="381"/>
        <v>23.572562302559824</v>
      </c>
      <c r="Y859" s="314" t="str">
        <f t="shared" ca="1" si="399"/>
        <v/>
      </c>
      <c r="Z859" s="315" t="str">
        <f t="shared" ca="1" si="400"/>
        <v/>
      </c>
      <c r="AA859" s="316" t="str">
        <f t="shared" ca="1" si="401"/>
        <v/>
      </c>
      <c r="AC859" s="310" t="e">
        <f t="shared" ca="1" si="402"/>
        <v>#N/A</v>
      </c>
      <c r="AD859" s="323" t="e">
        <f t="shared" ca="1" si="403"/>
        <v>#N/A</v>
      </c>
      <c r="AE859" s="324" t="e">
        <f t="shared" ca="1" si="382"/>
        <v>#N/A</v>
      </c>
      <c r="AG859" s="306">
        <f t="shared" ca="1" si="404"/>
        <v>0.70772824277010038</v>
      </c>
      <c r="AH859" s="304">
        <f t="shared" ca="1" si="405"/>
        <v>-9.0838169819399859</v>
      </c>
    </row>
    <row r="860" spans="1:34" x14ac:dyDescent="0.2">
      <c r="A860" s="347">
        <f t="shared" ca="1" si="383"/>
        <v>1E-4</v>
      </c>
      <c r="B860" s="304">
        <f t="shared" ca="1" si="384"/>
        <v>32.547300000001741</v>
      </c>
      <c r="D860" s="306">
        <f t="shared" ca="1" si="385"/>
        <v>-0.55692353173736742</v>
      </c>
      <c r="E860" s="307">
        <f t="shared" ca="1" si="386"/>
        <v>-0.74324932289755452</v>
      </c>
      <c r="F860" s="304">
        <f t="shared" ca="1" si="387"/>
        <v>0.92875366819759897</v>
      </c>
      <c r="G860" s="306">
        <f t="shared" ca="1" si="388"/>
        <v>5.9396590915386867</v>
      </c>
      <c r="H860" s="307">
        <f t="shared" ca="1" si="389"/>
        <v>-96.699010479857009</v>
      </c>
      <c r="I860" s="304">
        <f t="shared" ca="1" si="390"/>
        <v>96.881258135447396</v>
      </c>
      <c r="J860" s="306">
        <f t="shared" ca="1" si="391"/>
        <v>588.9746359926213</v>
      </c>
      <c r="K860" s="307">
        <f t="shared" ca="1" si="392"/>
        <v>-11.958438056931586</v>
      </c>
      <c r="L860" s="304">
        <f t="shared" ca="1" si="377"/>
        <v>589.09602450144087</v>
      </c>
      <c r="M860" s="306">
        <f t="shared" ca="1" si="393"/>
        <v>-1.5094492049343786</v>
      </c>
      <c r="N860" s="304">
        <f t="shared" ca="1" si="394"/>
        <v>-86.485068832117577</v>
      </c>
      <c r="P860" s="310">
        <f t="shared" ca="1" si="395"/>
        <v>23</v>
      </c>
      <c r="Q860" s="304">
        <f t="shared" ca="1" si="396"/>
        <v>0</v>
      </c>
      <c r="R860" s="306">
        <f t="shared" ca="1" si="397"/>
        <v>0</v>
      </c>
      <c r="S860" s="307">
        <f t="shared" ca="1" si="398"/>
        <v>2.5949999999999998</v>
      </c>
      <c r="T860" s="304">
        <f t="shared" ca="1" si="378"/>
        <v>25.456949999999999</v>
      </c>
      <c r="U860" s="311">
        <f t="shared" ca="1" si="379"/>
        <v>0</v>
      </c>
      <c r="V860" s="306">
        <f t="shared" ca="1" si="380"/>
        <v>1.2264657850869827</v>
      </c>
      <c r="W860" s="304">
        <f t="shared" ca="1" si="381"/>
        <v>23.572619536061609</v>
      </c>
      <c r="Y860" s="314" t="str">
        <f t="shared" ca="1" si="399"/>
        <v/>
      </c>
      <c r="Z860" s="315" t="str">
        <f t="shared" ca="1" si="400"/>
        <v/>
      </c>
      <c r="AA860" s="316" t="str">
        <f t="shared" ca="1" si="401"/>
        <v/>
      </c>
      <c r="AC860" s="310" t="e">
        <f t="shared" ca="1" si="402"/>
        <v>#N/A</v>
      </c>
      <c r="AD860" s="323" t="e">
        <f t="shared" ca="1" si="403"/>
        <v>#N/A</v>
      </c>
      <c r="AE860" s="324" t="e">
        <f t="shared" ca="1" si="382"/>
        <v>#N/A</v>
      </c>
      <c r="AG860" s="306">
        <f t="shared" ca="1" si="404"/>
        <v>0.70770656050025593</v>
      </c>
      <c r="AH860" s="304">
        <f t="shared" ca="1" si="405"/>
        <v>-9.0838390375953093</v>
      </c>
    </row>
    <row r="861" spans="1:34" x14ac:dyDescent="0.2">
      <c r="A861" s="347">
        <f t="shared" ca="1" si="383"/>
        <v>1E-4</v>
      </c>
      <c r="B861" s="304">
        <f t="shared" ca="1" si="384"/>
        <v>32.547400000001744</v>
      </c>
      <c r="D861" s="306">
        <f t="shared" ca="1" si="385"/>
        <v>-0.55691925523152208</v>
      </c>
      <c r="E861" s="307">
        <f t="shared" ca="1" si="386"/>
        <v>-0.74322696334812299</v>
      </c>
      <c r="F861" s="304">
        <f t="shared" ca="1" si="387"/>
        <v>0.92873321028985789</v>
      </c>
      <c r="G861" s="306">
        <f t="shared" ca="1" si="388"/>
        <v>5.9396033996131639</v>
      </c>
      <c r="H861" s="307">
        <f t="shared" ca="1" si="389"/>
        <v>-96.699084802553344</v>
      </c>
      <c r="I861" s="304">
        <f t="shared" ca="1" si="390"/>
        <v>96.881328903953943</v>
      </c>
      <c r="J861" s="306">
        <f t="shared" ca="1" si="391"/>
        <v>588.9746359926213</v>
      </c>
      <c r="K861" s="307">
        <f t="shared" ca="1" si="392"/>
        <v>-11.968107961695706</v>
      </c>
      <c r="L861" s="304">
        <f t="shared" ca="1" si="377"/>
        <v>589.09622087637217</v>
      </c>
      <c r="M861" s="306">
        <f t="shared" ca="1" si="393"/>
        <v>-1.5094498257328934</v>
      </c>
      <c r="N861" s="304">
        <f t="shared" ca="1" si="394"/>
        <v>-86.4851044012524</v>
      </c>
      <c r="P861" s="310">
        <f t="shared" ca="1" si="395"/>
        <v>23</v>
      </c>
      <c r="Q861" s="304">
        <f t="shared" ca="1" si="396"/>
        <v>0</v>
      </c>
      <c r="R861" s="306">
        <f t="shared" ca="1" si="397"/>
        <v>0</v>
      </c>
      <c r="S861" s="307">
        <f t="shared" ca="1" si="398"/>
        <v>2.5949999999999998</v>
      </c>
      <c r="T861" s="304">
        <f t="shared" ca="1" si="378"/>
        <v>25.456949999999999</v>
      </c>
      <c r="U861" s="311">
        <f t="shared" ca="1" si="379"/>
        <v>0</v>
      </c>
      <c r="V861" s="306">
        <f t="shared" ca="1" si="380"/>
        <v>1.2264669710687142</v>
      </c>
      <c r="W861" s="304">
        <f t="shared" ca="1" si="381"/>
        <v>23.572676768639624</v>
      </c>
      <c r="Y861" s="314" t="str">
        <f t="shared" ca="1" si="399"/>
        <v/>
      </c>
      <c r="Z861" s="315" t="str">
        <f t="shared" ca="1" si="400"/>
        <v/>
      </c>
      <c r="AA861" s="316" t="str">
        <f t="shared" ca="1" si="401"/>
        <v/>
      </c>
      <c r="AC861" s="310" t="e">
        <f t="shared" ca="1" si="402"/>
        <v>#N/A</v>
      </c>
      <c r="AD861" s="323" t="e">
        <f t="shared" ca="1" si="403"/>
        <v>#N/A</v>
      </c>
      <c r="AE861" s="324" t="e">
        <f t="shared" ca="1" si="382"/>
        <v>#N/A</v>
      </c>
      <c r="AG861" s="306">
        <f t="shared" ca="1" si="404"/>
        <v>0.70768487857857565</v>
      </c>
      <c r="AH861" s="304">
        <f t="shared" ca="1" si="405"/>
        <v>-9.0838610928946473</v>
      </c>
    </row>
    <row r="862" spans="1:34" x14ac:dyDescent="0.2">
      <c r="A862" s="347">
        <f t="shared" ca="1" si="383"/>
        <v>1E-4</v>
      </c>
      <c r="B862" s="304">
        <f t="shared" ca="1" si="384"/>
        <v>32.547500000001747</v>
      </c>
      <c r="D862" s="306">
        <f t="shared" ca="1" si="385"/>
        <v>-0.55691497873730422</v>
      </c>
      <c r="E862" s="307">
        <f t="shared" ca="1" si="386"/>
        <v>-0.74320460415956191</v>
      </c>
      <c r="F862" s="304">
        <f t="shared" ca="1" si="387"/>
        <v>0.92871275278524257</v>
      </c>
      <c r="G862" s="306">
        <f t="shared" ca="1" si="388"/>
        <v>5.9395477081152901</v>
      </c>
      <c r="H862" s="307">
        <f t="shared" ca="1" si="389"/>
        <v>-96.699159123013757</v>
      </c>
      <c r="I862" s="304">
        <f t="shared" ca="1" si="390"/>
        <v>96.881399670292296</v>
      </c>
      <c r="J862" s="306">
        <f t="shared" ca="1" si="391"/>
        <v>588.9746359926213</v>
      </c>
      <c r="K862" s="307">
        <f t="shared" ca="1" si="392"/>
        <v>-11.977777873891984</v>
      </c>
      <c r="L862" s="304">
        <f t="shared" ca="1" si="377"/>
        <v>589.09641741011887</v>
      </c>
      <c r="M862" s="306">
        <f t="shared" ca="1" si="393"/>
        <v>-1.5094504465246805</v>
      </c>
      <c r="N862" s="304">
        <f t="shared" ca="1" si="394"/>
        <v>-86.485139970001754</v>
      </c>
      <c r="P862" s="310">
        <f t="shared" ca="1" si="395"/>
        <v>23</v>
      </c>
      <c r="Q862" s="304">
        <f t="shared" ca="1" si="396"/>
        <v>0</v>
      </c>
      <c r="R862" s="306">
        <f t="shared" ca="1" si="397"/>
        <v>0</v>
      </c>
      <c r="S862" s="307">
        <f t="shared" ca="1" si="398"/>
        <v>2.5949999999999998</v>
      </c>
      <c r="T862" s="304">
        <f t="shared" ca="1" si="378"/>
        <v>25.456949999999999</v>
      </c>
      <c r="U862" s="311">
        <f t="shared" ca="1" si="379"/>
        <v>0</v>
      </c>
      <c r="V862" s="306">
        <f t="shared" ca="1" si="380"/>
        <v>1.2264681570525049</v>
      </c>
      <c r="W862" s="304">
        <f t="shared" ca="1" si="381"/>
        <v>23.57273400029387</v>
      </c>
      <c r="Y862" s="314" t="str">
        <f t="shared" ca="1" si="399"/>
        <v/>
      </c>
      <c r="Z862" s="315" t="str">
        <f t="shared" ca="1" si="400"/>
        <v/>
      </c>
      <c r="AA862" s="316" t="str">
        <f t="shared" ca="1" si="401"/>
        <v/>
      </c>
      <c r="AC862" s="310" t="e">
        <f t="shared" ca="1" si="402"/>
        <v>#N/A</v>
      </c>
      <c r="AD862" s="323" t="e">
        <f t="shared" ca="1" si="403"/>
        <v>#N/A</v>
      </c>
      <c r="AE862" s="324" t="e">
        <f t="shared" ca="1" si="382"/>
        <v>#N/A</v>
      </c>
      <c r="AG862" s="306">
        <f t="shared" ca="1" si="404"/>
        <v>0.70766319700505242</v>
      </c>
      <c r="AH862" s="304">
        <f t="shared" ca="1" si="405"/>
        <v>-9.0838831478380069</v>
      </c>
    </row>
    <row r="863" spans="1:34" x14ac:dyDescent="0.2">
      <c r="A863" s="347">
        <f t="shared" ca="1" si="383"/>
        <v>1E-4</v>
      </c>
      <c r="B863" s="304">
        <f t="shared" ca="1" si="384"/>
        <v>32.547600000001751</v>
      </c>
      <c r="D863" s="306">
        <f t="shared" ca="1" si="385"/>
        <v>-0.55691070225471462</v>
      </c>
      <c r="E863" s="307">
        <f t="shared" ca="1" si="386"/>
        <v>-0.7431822453318766</v>
      </c>
      <c r="F863" s="304">
        <f t="shared" ca="1" si="387"/>
        <v>0.92869229568375822</v>
      </c>
      <c r="G863" s="306">
        <f t="shared" ca="1" si="388"/>
        <v>5.9394920170450645</v>
      </c>
      <c r="H863" s="307">
        <f t="shared" ca="1" si="389"/>
        <v>-96.699233441238292</v>
      </c>
      <c r="I863" s="304">
        <f t="shared" ca="1" si="390"/>
        <v>96.881470434462543</v>
      </c>
      <c r="J863" s="306">
        <f t="shared" ca="1" si="391"/>
        <v>588.9746359926213</v>
      </c>
      <c r="K863" s="307">
        <f t="shared" ca="1" si="392"/>
        <v>-11.987447793520197</v>
      </c>
      <c r="L863" s="304">
        <f t="shared" ca="1" si="377"/>
        <v>589.09661410268109</v>
      </c>
      <c r="M863" s="306">
        <f t="shared" ca="1" si="393"/>
        <v>-1.5094510673097399</v>
      </c>
      <c r="N863" s="304">
        <f t="shared" ca="1" si="394"/>
        <v>-86.485175538365638</v>
      </c>
      <c r="P863" s="310">
        <f t="shared" ca="1" si="395"/>
        <v>23</v>
      </c>
      <c r="Q863" s="304">
        <f t="shared" ca="1" si="396"/>
        <v>0</v>
      </c>
      <c r="R863" s="306">
        <f t="shared" ca="1" si="397"/>
        <v>0</v>
      </c>
      <c r="S863" s="307">
        <f t="shared" ca="1" si="398"/>
        <v>2.5949999999999998</v>
      </c>
      <c r="T863" s="304">
        <f t="shared" ca="1" si="378"/>
        <v>25.456949999999999</v>
      </c>
      <c r="U863" s="311">
        <f t="shared" ca="1" si="379"/>
        <v>0</v>
      </c>
      <c r="V863" s="306">
        <f t="shared" ca="1" si="380"/>
        <v>1.2264693430383542</v>
      </c>
      <c r="W863" s="304">
        <f t="shared" ca="1" si="381"/>
        <v>23.572791231024372</v>
      </c>
      <c r="Y863" s="314" t="str">
        <f t="shared" ca="1" si="399"/>
        <v/>
      </c>
      <c r="Z863" s="315" t="str">
        <f t="shared" ca="1" si="400"/>
        <v/>
      </c>
      <c r="AA863" s="316" t="str">
        <f t="shared" ca="1" si="401"/>
        <v/>
      </c>
      <c r="AC863" s="310" t="e">
        <f t="shared" ca="1" si="402"/>
        <v>#N/A</v>
      </c>
      <c r="AD863" s="323" t="e">
        <f t="shared" ca="1" si="403"/>
        <v>#N/A</v>
      </c>
      <c r="AE863" s="324" t="e">
        <f t="shared" ca="1" si="382"/>
        <v>#N/A</v>
      </c>
      <c r="AG863" s="306">
        <f t="shared" ca="1" si="404"/>
        <v>0.70764151577969336</v>
      </c>
      <c r="AH863" s="304">
        <f t="shared" ca="1" si="405"/>
        <v>-9.0839052024253846</v>
      </c>
    </row>
    <row r="864" spans="1:34" x14ac:dyDescent="0.2">
      <c r="A864" s="347">
        <f t="shared" ca="1" si="383"/>
        <v>1E-4</v>
      </c>
      <c r="B864" s="304">
        <f t="shared" ca="1" si="384"/>
        <v>32.547700000001754</v>
      </c>
      <c r="D864" s="306">
        <f t="shared" ca="1" si="385"/>
        <v>-0.55690642578375504</v>
      </c>
      <c r="E864" s="307">
        <f t="shared" ca="1" si="386"/>
        <v>-0.74315988686505285</v>
      </c>
      <c r="F864" s="304">
        <f t="shared" ca="1" si="387"/>
        <v>0.92867183898539496</v>
      </c>
      <c r="G864" s="306">
        <f t="shared" ca="1" si="388"/>
        <v>5.9394363264024861</v>
      </c>
      <c r="H864" s="307">
        <f t="shared" ca="1" si="389"/>
        <v>-96.699307757226975</v>
      </c>
      <c r="I864" s="304">
        <f t="shared" ca="1" si="390"/>
        <v>96.881541196464696</v>
      </c>
      <c r="J864" s="306">
        <f t="shared" ca="1" si="391"/>
        <v>588.9746359926213</v>
      </c>
      <c r="K864" s="307">
        <f t="shared" ca="1" si="392"/>
        <v>-11.997117720580119</v>
      </c>
      <c r="L864" s="304">
        <f t="shared" ca="1" si="377"/>
        <v>589.09681095405892</v>
      </c>
      <c r="M864" s="306">
        <f t="shared" ca="1" si="393"/>
        <v>-1.5094516880880717</v>
      </c>
      <c r="N864" s="304">
        <f t="shared" ca="1" si="394"/>
        <v>-86.485211106344067</v>
      </c>
      <c r="P864" s="310">
        <f t="shared" ca="1" si="395"/>
        <v>23</v>
      </c>
      <c r="Q864" s="304">
        <f t="shared" ca="1" si="396"/>
        <v>0</v>
      </c>
      <c r="R864" s="306">
        <f t="shared" ca="1" si="397"/>
        <v>0</v>
      </c>
      <c r="S864" s="307">
        <f t="shared" ca="1" si="398"/>
        <v>2.5949999999999998</v>
      </c>
      <c r="T864" s="304">
        <f t="shared" ca="1" si="378"/>
        <v>25.456949999999999</v>
      </c>
      <c r="U864" s="311">
        <f t="shared" ca="1" si="379"/>
        <v>0</v>
      </c>
      <c r="V864" s="306">
        <f t="shared" ca="1" si="380"/>
        <v>1.2264705290262632</v>
      </c>
      <c r="W864" s="304">
        <f t="shared" ca="1" si="381"/>
        <v>23.572848460831146</v>
      </c>
      <c r="Y864" s="314" t="str">
        <f t="shared" ca="1" si="399"/>
        <v/>
      </c>
      <c r="Z864" s="315" t="str">
        <f t="shared" ca="1" si="400"/>
        <v/>
      </c>
      <c r="AA864" s="316" t="str">
        <f t="shared" ca="1" si="401"/>
        <v/>
      </c>
      <c r="AC864" s="310" t="e">
        <f t="shared" ca="1" si="402"/>
        <v>#N/A</v>
      </c>
      <c r="AD864" s="323" t="e">
        <f t="shared" ca="1" si="403"/>
        <v>#N/A</v>
      </c>
      <c r="AE864" s="324" t="e">
        <f t="shared" ca="1" si="382"/>
        <v>#N/A</v>
      </c>
      <c r="AG864" s="306">
        <f t="shared" ca="1" si="404"/>
        <v>0.70761983490248426</v>
      </c>
      <c r="AH864" s="304">
        <f t="shared" ca="1" si="405"/>
        <v>-9.083927256656791</v>
      </c>
    </row>
    <row r="865" spans="1:34" x14ac:dyDescent="0.2">
      <c r="A865" s="347">
        <f t="shared" ca="1" si="383"/>
        <v>1E-4</v>
      </c>
      <c r="B865" s="304">
        <f t="shared" ca="1" si="384"/>
        <v>32.547800000001757</v>
      </c>
      <c r="D865" s="306">
        <f t="shared" ca="1" si="385"/>
        <v>-0.55690214932442517</v>
      </c>
      <c r="E865" s="307">
        <f t="shared" ca="1" si="386"/>
        <v>-0.74313752875908534</v>
      </c>
      <c r="F865" s="304">
        <f t="shared" ca="1" si="387"/>
        <v>0.92865138269014857</v>
      </c>
      <c r="G865" s="306">
        <f t="shared" ca="1" si="388"/>
        <v>5.9393806361875541</v>
      </c>
      <c r="H865" s="307">
        <f t="shared" ca="1" si="389"/>
        <v>-96.699382070979851</v>
      </c>
      <c r="I865" s="304">
        <f t="shared" ca="1" si="390"/>
        <v>96.881611956298798</v>
      </c>
      <c r="J865" s="306">
        <f t="shared" ca="1" si="391"/>
        <v>588.9746359926213</v>
      </c>
      <c r="K865" s="307">
        <f t="shared" ca="1" si="392"/>
        <v>-12.00678765507153</v>
      </c>
      <c r="L865" s="304">
        <f t="shared" ca="1" si="377"/>
        <v>589.09700796425261</v>
      </c>
      <c r="M865" s="306">
        <f t="shared" ca="1" si="393"/>
        <v>-1.5094523088596763</v>
      </c>
      <c r="N865" s="304">
        <f t="shared" ca="1" si="394"/>
        <v>-86.485246673937056</v>
      </c>
      <c r="P865" s="310">
        <f t="shared" ca="1" si="395"/>
        <v>23</v>
      </c>
      <c r="Q865" s="304">
        <f t="shared" ca="1" si="396"/>
        <v>0</v>
      </c>
      <c r="R865" s="306">
        <f t="shared" ca="1" si="397"/>
        <v>0</v>
      </c>
      <c r="S865" s="307">
        <f t="shared" ca="1" si="398"/>
        <v>2.5949999999999998</v>
      </c>
      <c r="T865" s="304">
        <f t="shared" ca="1" si="378"/>
        <v>25.456949999999999</v>
      </c>
      <c r="U865" s="311">
        <f t="shared" ca="1" si="379"/>
        <v>0</v>
      </c>
      <c r="V865" s="306">
        <f t="shared" ca="1" si="380"/>
        <v>1.2264717150162308</v>
      </c>
      <c r="W865" s="304">
        <f t="shared" ca="1" si="381"/>
        <v>23.572905689714194</v>
      </c>
      <c r="Y865" s="314" t="str">
        <f t="shared" ca="1" si="399"/>
        <v/>
      </c>
      <c r="Z865" s="315" t="str">
        <f t="shared" ca="1" si="400"/>
        <v/>
      </c>
      <c r="AA865" s="316" t="str">
        <f t="shared" ca="1" si="401"/>
        <v/>
      </c>
      <c r="AC865" s="310" t="e">
        <f t="shared" ca="1" si="402"/>
        <v>#N/A</v>
      </c>
      <c r="AD865" s="323" t="e">
        <f t="shared" ca="1" si="403"/>
        <v>#N/A</v>
      </c>
      <c r="AE865" s="324" t="e">
        <f t="shared" ca="1" si="382"/>
        <v>#N/A</v>
      </c>
      <c r="AG865" s="306">
        <f t="shared" ca="1" si="404"/>
        <v>0.70759815437341977</v>
      </c>
      <c r="AH865" s="304">
        <f t="shared" ca="1" si="405"/>
        <v>-9.0839493105322351</v>
      </c>
    </row>
    <row r="866" spans="1:34" x14ac:dyDescent="0.2">
      <c r="A866" s="347">
        <f t="shared" ca="1" si="383"/>
        <v>1E-4</v>
      </c>
      <c r="B866" s="304">
        <f t="shared" ca="1" si="384"/>
        <v>32.547900000001761</v>
      </c>
      <c r="D866" s="306">
        <f t="shared" ca="1" si="385"/>
        <v>-0.55689787287672399</v>
      </c>
      <c r="E866" s="307">
        <f t="shared" ca="1" si="386"/>
        <v>-0.74311517101397584</v>
      </c>
      <c r="F866" s="304">
        <f t="shared" ca="1" si="387"/>
        <v>0.9286309267980204</v>
      </c>
      <c r="G866" s="306">
        <f t="shared" ca="1" si="388"/>
        <v>5.9393249464002666</v>
      </c>
      <c r="H866" s="307">
        <f t="shared" ca="1" si="389"/>
        <v>-96.699456382496948</v>
      </c>
      <c r="I866" s="304">
        <f t="shared" ca="1" si="390"/>
        <v>96.881682713964878</v>
      </c>
      <c r="J866" s="306">
        <f t="shared" ca="1" si="391"/>
        <v>588.9746359926213</v>
      </c>
      <c r="K866" s="307">
        <f t="shared" ca="1" si="392"/>
        <v>-12.016457596994204</v>
      </c>
      <c r="L866" s="304">
        <f t="shared" ca="1" si="377"/>
        <v>589.09720513326249</v>
      </c>
      <c r="M866" s="306">
        <f t="shared" ca="1" si="393"/>
        <v>-1.5094529296245536</v>
      </c>
      <c r="N866" s="304">
        <f t="shared" ca="1" si="394"/>
        <v>-86.485282241144589</v>
      </c>
      <c r="P866" s="310">
        <f t="shared" ca="1" si="395"/>
        <v>23</v>
      </c>
      <c r="Q866" s="304">
        <f t="shared" ca="1" si="396"/>
        <v>0</v>
      </c>
      <c r="R866" s="306">
        <f t="shared" ca="1" si="397"/>
        <v>0</v>
      </c>
      <c r="S866" s="307">
        <f t="shared" ca="1" si="398"/>
        <v>2.5949999999999998</v>
      </c>
      <c r="T866" s="304">
        <f t="shared" ca="1" si="378"/>
        <v>25.456949999999999</v>
      </c>
      <c r="U866" s="311">
        <f t="shared" ca="1" si="379"/>
        <v>0</v>
      </c>
      <c r="V866" s="306">
        <f t="shared" ca="1" si="380"/>
        <v>1.2264729010082573</v>
      </c>
      <c r="W866" s="304">
        <f t="shared" ca="1" si="381"/>
        <v>23.572962917673522</v>
      </c>
      <c r="Y866" s="314" t="str">
        <f t="shared" ca="1" si="399"/>
        <v/>
      </c>
      <c r="Z866" s="315" t="str">
        <f t="shared" ca="1" si="400"/>
        <v/>
      </c>
      <c r="AA866" s="316" t="str">
        <f t="shared" ca="1" si="401"/>
        <v/>
      </c>
      <c r="AC866" s="310" t="e">
        <f t="shared" ca="1" si="402"/>
        <v>#N/A</v>
      </c>
      <c r="AD866" s="323" t="e">
        <f t="shared" ca="1" si="403"/>
        <v>#N/A</v>
      </c>
      <c r="AE866" s="324" t="e">
        <f t="shared" ca="1" si="382"/>
        <v>#N/A</v>
      </c>
      <c r="AG866" s="306">
        <f t="shared" ca="1" si="404"/>
        <v>0.70757647419250169</v>
      </c>
      <c r="AH866" s="304">
        <f t="shared" ca="1" si="405"/>
        <v>-9.0839713640517132</v>
      </c>
    </row>
    <row r="867" spans="1:34" x14ac:dyDescent="0.2">
      <c r="A867" s="347">
        <f t="shared" ca="1" si="383"/>
        <v>1E-4</v>
      </c>
      <c r="B867" s="304">
        <f t="shared" ca="1" si="384"/>
        <v>32.548000000001764</v>
      </c>
      <c r="D867" s="306">
        <f t="shared" ca="1" si="385"/>
        <v>-0.55689359644065284</v>
      </c>
      <c r="E867" s="307">
        <f t="shared" ca="1" si="386"/>
        <v>-0.74309281362971902</v>
      </c>
      <c r="F867" s="304">
        <f t="shared" ca="1" si="387"/>
        <v>0.92861047130900753</v>
      </c>
      <c r="G867" s="306">
        <f t="shared" ca="1" si="388"/>
        <v>5.9392692570406229</v>
      </c>
      <c r="H867" s="307">
        <f t="shared" ca="1" si="389"/>
        <v>-96.699530691778307</v>
      </c>
      <c r="I867" s="304">
        <f t="shared" ca="1" si="390"/>
        <v>96.881753469462979</v>
      </c>
      <c r="J867" s="306">
        <f t="shared" ca="1" si="391"/>
        <v>588.9746359926213</v>
      </c>
      <c r="K867" s="307">
        <f t="shared" ca="1" si="392"/>
        <v>-12.026127546347919</v>
      </c>
      <c r="L867" s="304">
        <f t="shared" ca="1" si="377"/>
        <v>589.09740246108856</v>
      </c>
      <c r="M867" s="306">
        <f t="shared" ca="1" si="393"/>
        <v>-1.5094535503827033</v>
      </c>
      <c r="N867" s="304">
        <f t="shared" ca="1" si="394"/>
        <v>-86.485317807966666</v>
      </c>
      <c r="P867" s="310">
        <f t="shared" ca="1" si="395"/>
        <v>23</v>
      </c>
      <c r="Q867" s="304">
        <f t="shared" ca="1" si="396"/>
        <v>0</v>
      </c>
      <c r="R867" s="306">
        <f t="shared" ca="1" si="397"/>
        <v>0</v>
      </c>
      <c r="S867" s="307">
        <f t="shared" ca="1" si="398"/>
        <v>2.5949999999999998</v>
      </c>
      <c r="T867" s="304">
        <f t="shared" ca="1" si="378"/>
        <v>25.456949999999999</v>
      </c>
      <c r="U867" s="311">
        <f t="shared" ca="1" si="379"/>
        <v>0</v>
      </c>
      <c r="V867" s="306">
        <f t="shared" ca="1" si="380"/>
        <v>1.2264740870023429</v>
      </c>
      <c r="W867" s="304">
        <f t="shared" ca="1" si="381"/>
        <v>23.573020144709144</v>
      </c>
      <c r="Y867" s="314" t="str">
        <f t="shared" ca="1" si="399"/>
        <v/>
      </c>
      <c r="Z867" s="315" t="str">
        <f t="shared" ca="1" si="400"/>
        <v/>
      </c>
      <c r="AA867" s="316" t="str">
        <f t="shared" ca="1" si="401"/>
        <v/>
      </c>
      <c r="AC867" s="310" t="e">
        <f t="shared" ca="1" si="402"/>
        <v>#N/A</v>
      </c>
      <c r="AD867" s="323" t="e">
        <f t="shared" ca="1" si="403"/>
        <v>#N/A</v>
      </c>
      <c r="AE867" s="324" t="e">
        <f t="shared" ca="1" si="382"/>
        <v>#N/A</v>
      </c>
      <c r="AG867" s="306">
        <f t="shared" ca="1" si="404"/>
        <v>0.70755479435972468</v>
      </c>
      <c r="AH867" s="304">
        <f t="shared" ca="1" si="405"/>
        <v>-9.0839934172152308</v>
      </c>
    </row>
    <row r="868" spans="1:34" x14ac:dyDescent="0.2">
      <c r="A868" s="347">
        <f t="shared" ca="1" si="383"/>
        <v>1E-4</v>
      </c>
      <c r="B868" s="304">
        <f t="shared" ca="1" si="384"/>
        <v>32.548100000001767</v>
      </c>
      <c r="D868" s="306">
        <f t="shared" ca="1" si="385"/>
        <v>-0.55688932001621516</v>
      </c>
      <c r="E868" s="307">
        <f t="shared" ca="1" si="386"/>
        <v>-0.74307045660631132</v>
      </c>
      <c r="F868" s="304">
        <f t="shared" ca="1" si="387"/>
        <v>0.92859001622310944</v>
      </c>
      <c r="G868" s="306">
        <f t="shared" ca="1" si="388"/>
        <v>5.9392135681086211</v>
      </c>
      <c r="H868" s="307">
        <f t="shared" ca="1" si="389"/>
        <v>-96.699604998823972</v>
      </c>
      <c r="I868" s="304">
        <f t="shared" ca="1" si="390"/>
        <v>96.881824222793142</v>
      </c>
      <c r="J868" s="306">
        <f t="shared" ca="1" si="391"/>
        <v>588.9746359926213</v>
      </c>
      <c r="K868" s="307">
        <f t="shared" ca="1" si="392"/>
        <v>-12.035797503132448</v>
      </c>
      <c r="L868" s="304">
        <f t="shared" ca="1" si="377"/>
        <v>589.09759994773117</v>
      </c>
      <c r="M868" s="306">
        <f t="shared" ca="1" si="393"/>
        <v>-1.5094541711341261</v>
      </c>
      <c r="N868" s="304">
        <f t="shared" ca="1" si="394"/>
        <v>-86.485353374403317</v>
      </c>
      <c r="P868" s="310">
        <f t="shared" ca="1" si="395"/>
        <v>23</v>
      </c>
      <c r="Q868" s="304">
        <f t="shared" ca="1" si="396"/>
        <v>0</v>
      </c>
      <c r="R868" s="306">
        <f t="shared" ca="1" si="397"/>
        <v>0</v>
      </c>
      <c r="S868" s="307">
        <f t="shared" ca="1" si="398"/>
        <v>2.5949999999999998</v>
      </c>
      <c r="T868" s="304">
        <f t="shared" ca="1" si="378"/>
        <v>25.456949999999999</v>
      </c>
      <c r="U868" s="311">
        <f t="shared" ca="1" si="379"/>
        <v>0</v>
      </c>
      <c r="V868" s="306">
        <f t="shared" ca="1" si="380"/>
        <v>1.2264752729984876</v>
      </c>
      <c r="W868" s="304">
        <f t="shared" ca="1" si="381"/>
        <v>23.573077370821093</v>
      </c>
      <c r="Y868" s="314" t="str">
        <f t="shared" ca="1" si="399"/>
        <v/>
      </c>
      <c r="Z868" s="315" t="str">
        <f t="shared" ca="1" si="400"/>
        <v/>
      </c>
      <c r="AA868" s="316" t="str">
        <f t="shared" ca="1" si="401"/>
        <v/>
      </c>
      <c r="AC868" s="310" t="e">
        <f t="shared" ca="1" si="402"/>
        <v>#N/A</v>
      </c>
      <c r="AD868" s="323" t="e">
        <f t="shared" ca="1" si="403"/>
        <v>#N/A</v>
      </c>
      <c r="AE868" s="324" t="e">
        <f t="shared" ca="1" si="382"/>
        <v>#N/A</v>
      </c>
      <c r="AG868" s="306">
        <f t="shared" ca="1" si="404"/>
        <v>0.70753311487508341</v>
      </c>
      <c r="AH868" s="304">
        <f t="shared" ca="1" si="405"/>
        <v>-9.0840154700227931</v>
      </c>
    </row>
    <row r="869" spans="1:34" x14ac:dyDescent="0.2">
      <c r="A869" s="347">
        <f t="shared" ca="1" si="383"/>
        <v>1E-4</v>
      </c>
      <c r="B869" s="304">
        <f t="shared" ca="1" si="384"/>
        <v>32.548200000001771</v>
      </c>
      <c r="D869" s="306">
        <f t="shared" ca="1" si="385"/>
        <v>-0.55688504360340862</v>
      </c>
      <c r="E869" s="307">
        <f t="shared" ca="1" si="386"/>
        <v>-0.74304809994373855</v>
      </c>
      <c r="F869" s="304">
        <f t="shared" ca="1" si="387"/>
        <v>0.92856956154031367</v>
      </c>
      <c r="G869" s="306">
        <f t="shared" ca="1" si="388"/>
        <v>5.9391578796042603</v>
      </c>
      <c r="H869" s="307">
        <f t="shared" ca="1" si="389"/>
        <v>-96.699679303633971</v>
      </c>
      <c r="I869" s="304">
        <f t="shared" ca="1" si="390"/>
        <v>96.881894973955383</v>
      </c>
      <c r="J869" s="306">
        <f t="shared" ca="1" si="391"/>
        <v>588.9746359926213</v>
      </c>
      <c r="K869" s="307">
        <f t="shared" ca="1" si="392"/>
        <v>-12.045467467347571</v>
      </c>
      <c r="L869" s="304">
        <f t="shared" ca="1" si="377"/>
        <v>589.09779759319053</v>
      </c>
      <c r="M869" s="306">
        <f t="shared" ca="1" si="393"/>
        <v>-1.5094547918788219</v>
      </c>
      <c r="N869" s="304">
        <f t="shared" ca="1" si="394"/>
        <v>-86.485388940454541</v>
      </c>
      <c r="P869" s="310">
        <f t="shared" ca="1" si="395"/>
        <v>23</v>
      </c>
      <c r="Q869" s="304">
        <f t="shared" ca="1" si="396"/>
        <v>0</v>
      </c>
      <c r="R869" s="306">
        <f t="shared" ca="1" si="397"/>
        <v>0</v>
      </c>
      <c r="S869" s="307">
        <f t="shared" ca="1" si="398"/>
        <v>2.5949999999999998</v>
      </c>
      <c r="T869" s="304">
        <f t="shared" ca="1" si="378"/>
        <v>25.456949999999999</v>
      </c>
      <c r="U869" s="311">
        <f t="shared" ca="1" si="379"/>
        <v>0</v>
      </c>
      <c r="V869" s="306">
        <f t="shared" ca="1" si="380"/>
        <v>1.226476458996691</v>
      </c>
      <c r="W869" s="304">
        <f t="shared" ca="1" si="381"/>
        <v>23.573134596009357</v>
      </c>
      <c r="Y869" s="314" t="str">
        <f t="shared" ca="1" si="399"/>
        <v/>
      </c>
      <c r="Z869" s="315" t="str">
        <f t="shared" ca="1" si="400"/>
        <v/>
      </c>
      <c r="AA869" s="316" t="str">
        <f t="shared" ca="1" si="401"/>
        <v/>
      </c>
      <c r="AC869" s="310" t="e">
        <f t="shared" ca="1" si="402"/>
        <v>#N/A</v>
      </c>
      <c r="AD869" s="323" t="e">
        <f t="shared" ca="1" si="403"/>
        <v>#N/A</v>
      </c>
      <c r="AE869" s="324" t="e">
        <f t="shared" ca="1" si="382"/>
        <v>#N/A</v>
      </c>
      <c r="AG869" s="306">
        <f t="shared" ca="1" si="404"/>
        <v>0.70751143573856901</v>
      </c>
      <c r="AH869" s="304">
        <f t="shared" ca="1" si="405"/>
        <v>-9.0840375224744108</v>
      </c>
    </row>
    <row r="870" spans="1:34" x14ac:dyDescent="0.2">
      <c r="A870" s="347">
        <f t="shared" ca="1" si="383"/>
        <v>1E-4</v>
      </c>
      <c r="B870" s="304">
        <f t="shared" ca="1" si="384"/>
        <v>32.548300000001774</v>
      </c>
      <c r="D870" s="306">
        <f t="shared" ca="1" si="385"/>
        <v>-0.55688076720223223</v>
      </c>
      <c r="E870" s="307">
        <f t="shared" ca="1" si="386"/>
        <v>-0.74302574364200602</v>
      </c>
      <c r="F870" s="304">
        <f t="shared" ca="1" si="387"/>
        <v>0.92854910726062456</v>
      </c>
      <c r="G870" s="306">
        <f t="shared" ca="1" si="388"/>
        <v>5.9391021915275397</v>
      </c>
      <c r="H870" s="307">
        <f t="shared" ca="1" si="389"/>
        <v>-96.699753606208333</v>
      </c>
      <c r="I870" s="304">
        <f t="shared" ca="1" si="390"/>
        <v>96.88196572294973</v>
      </c>
      <c r="J870" s="306">
        <f t="shared" ca="1" si="391"/>
        <v>588.9746359926213</v>
      </c>
      <c r="K870" s="307">
        <f t="shared" ca="1" si="392"/>
        <v>-12.055137438993063</v>
      </c>
      <c r="L870" s="304">
        <f t="shared" ca="1" si="377"/>
        <v>589.09799539746678</v>
      </c>
      <c r="M870" s="306">
        <f t="shared" ca="1" si="393"/>
        <v>-1.5094554126167905</v>
      </c>
      <c r="N870" s="304">
        <f t="shared" ca="1" si="394"/>
        <v>-86.485424506120324</v>
      </c>
      <c r="P870" s="310">
        <f t="shared" ca="1" si="395"/>
        <v>23</v>
      </c>
      <c r="Q870" s="304">
        <f t="shared" ca="1" si="396"/>
        <v>0</v>
      </c>
      <c r="R870" s="306">
        <f t="shared" ca="1" si="397"/>
        <v>0</v>
      </c>
      <c r="S870" s="307">
        <f t="shared" ca="1" si="398"/>
        <v>2.5949999999999998</v>
      </c>
      <c r="T870" s="304">
        <f t="shared" ca="1" si="378"/>
        <v>25.456949999999999</v>
      </c>
      <c r="U870" s="311">
        <f t="shared" ca="1" si="379"/>
        <v>0</v>
      </c>
      <c r="V870" s="306">
        <f t="shared" ca="1" si="380"/>
        <v>1.2264776449969532</v>
      </c>
      <c r="W870" s="304">
        <f t="shared" ca="1" si="381"/>
        <v>23.573191820273941</v>
      </c>
      <c r="Y870" s="314" t="str">
        <f t="shared" ca="1" si="399"/>
        <v/>
      </c>
      <c r="Z870" s="315" t="str">
        <f t="shared" ca="1" si="400"/>
        <v/>
      </c>
      <c r="AA870" s="316" t="str">
        <f t="shared" ca="1" si="401"/>
        <v/>
      </c>
      <c r="AC870" s="310" t="e">
        <f t="shared" ca="1" si="402"/>
        <v>#N/A</v>
      </c>
      <c r="AD870" s="323" t="e">
        <f t="shared" ca="1" si="403"/>
        <v>#N/A</v>
      </c>
      <c r="AE870" s="324" t="e">
        <f t="shared" ca="1" si="382"/>
        <v>#N/A</v>
      </c>
      <c r="AG870" s="306">
        <f t="shared" ca="1" si="404"/>
        <v>0.70748975695018501</v>
      </c>
      <c r="AH870" s="304">
        <f t="shared" ca="1" si="405"/>
        <v>-9.0840595745700803</v>
      </c>
    </row>
    <row r="871" spans="1:34" x14ac:dyDescent="0.2">
      <c r="A871" s="347">
        <f t="shared" ca="1" si="383"/>
        <v>1E-4</v>
      </c>
      <c r="B871" s="304">
        <f t="shared" ca="1" si="384"/>
        <v>32.548400000001777</v>
      </c>
      <c r="D871" s="306">
        <f t="shared" ca="1" si="385"/>
        <v>-0.5568764908126913</v>
      </c>
      <c r="E871" s="307">
        <f t="shared" ca="1" si="386"/>
        <v>-0.74300338770111196</v>
      </c>
      <c r="F871" s="304">
        <f t="shared" ca="1" si="387"/>
        <v>0.92852865338404422</v>
      </c>
      <c r="G871" s="306">
        <f t="shared" ca="1" si="388"/>
        <v>5.9390465038784583</v>
      </c>
      <c r="H871" s="307">
        <f t="shared" ca="1" si="389"/>
        <v>-96.6998279065471</v>
      </c>
      <c r="I871" s="304">
        <f t="shared" ca="1" si="390"/>
        <v>96.882036469776253</v>
      </c>
      <c r="J871" s="306">
        <f t="shared" ca="1" si="391"/>
        <v>588.9746359926213</v>
      </c>
      <c r="K871" s="307">
        <f t="shared" ca="1" si="392"/>
        <v>-12.0648074180687</v>
      </c>
      <c r="L871" s="304">
        <f t="shared" ca="1" si="377"/>
        <v>589.09819336056012</v>
      </c>
      <c r="M871" s="306">
        <f t="shared" ca="1" si="393"/>
        <v>-1.5094560333480325</v>
      </c>
      <c r="N871" s="304">
        <f t="shared" ca="1" si="394"/>
        <v>-86.485460071400709</v>
      </c>
      <c r="P871" s="310">
        <f t="shared" ca="1" si="395"/>
        <v>23</v>
      </c>
      <c r="Q871" s="304">
        <f t="shared" ca="1" si="396"/>
        <v>0</v>
      </c>
      <c r="R871" s="306">
        <f t="shared" ca="1" si="397"/>
        <v>0</v>
      </c>
      <c r="S871" s="307">
        <f t="shared" ca="1" si="398"/>
        <v>2.5949999999999998</v>
      </c>
      <c r="T871" s="304">
        <f t="shared" ca="1" si="378"/>
        <v>25.456949999999999</v>
      </c>
      <c r="U871" s="311">
        <f t="shared" ca="1" si="379"/>
        <v>0</v>
      </c>
      <c r="V871" s="306">
        <f t="shared" ca="1" si="380"/>
        <v>1.226478830999274</v>
      </c>
      <c r="W871" s="304">
        <f t="shared" ca="1" si="381"/>
        <v>23.573249043614876</v>
      </c>
      <c r="Y871" s="314" t="str">
        <f t="shared" ca="1" si="399"/>
        <v/>
      </c>
      <c r="Z871" s="315" t="str">
        <f t="shared" ca="1" si="400"/>
        <v/>
      </c>
      <c r="AA871" s="316" t="str">
        <f t="shared" ca="1" si="401"/>
        <v/>
      </c>
      <c r="AC871" s="310" t="e">
        <f t="shared" ca="1" si="402"/>
        <v>#N/A</v>
      </c>
      <c r="AD871" s="323" t="e">
        <f t="shared" ca="1" si="403"/>
        <v>#N/A</v>
      </c>
      <c r="AE871" s="324" t="e">
        <f t="shared" ca="1" si="382"/>
        <v>#N/A</v>
      </c>
      <c r="AG871" s="306">
        <f t="shared" ca="1" si="404"/>
        <v>0.70746807850992433</v>
      </c>
      <c r="AH871" s="304">
        <f t="shared" ca="1" si="405"/>
        <v>-9.0840816263098052</v>
      </c>
    </row>
    <row r="872" spans="1:34" x14ac:dyDescent="0.2">
      <c r="A872" s="347">
        <f t="shared" ca="1" si="383"/>
        <v>1E-4</v>
      </c>
      <c r="B872" s="304">
        <f t="shared" ca="1" si="384"/>
        <v>32.548500000001781</v>
      </c>
      <c r="D872" s="306">
        <f t="shared" ca="1" si="385"/>
        <v>-0.55687221443478141</v>
      </c>
      <c r="E872" s="307">
        <f t="shared" ca="1" si="386"/>
        <v>-0.74298103212104394</v>
      </c>
      <c r="F872" s="304">
        <f t="shared" ca="1" si="387"/>
        <v>0.92850819991056022</v>
      </c>
      <c r="G872" s="306">
        <f t="shared" ca="1" si="388"/>
        <v>5.9389908166570144</v>
      </c>
      <c r="H872" s="307">
        <f t="shared" ca="1" si="389"/>
        <v>-96.699902204650314</v>
      </c>
      <c r="I872" s="304">
        <f t="shared" ca="1" si="390"/>
        <v>96.882107214434967</v>
      </c>
      <c r="J872" s="306">
        <f t="shared" ca="1" si="391"/>
        <v>588.9746359926213</v>
      </c>
      <c r="K872" s="307">
        <f t="shared" ca="1" si="392"/>
        <v>-12.07447740457426</v>
      </c>
      <c r="L872" s="304">
        <f t="shared" ca="1" si="377"/>
        <v>589.09839148247067</v>
      </c>
      <c r="M872" s="306">
        <f t="shared" ca="1" si="393"/>
        <v>-1.5094566540725476</v>
      </c>
      <c r="N872" s="304">
        <f t="shared" ca="1" si="394"/>
        <v>-86.485495636295667</v>
      </c>
      <c r="P872" s="310">
        <f t="shared" ca="1" si="395"/>
        <v>23</v>
      </c>
      <c r="Q872" s="304">
        <f t="shared" ca="1" si="396"/>
        <v>0</v>
      </c>
      <c r="R872" s="306">
        <f t="shared" ca="1" si="397"/>
        <v>0</v>
      </c>
      <c r="S872" s="307">
        <f t="shared" ca="1" si="398"/>
        <v>2.5949999999999998</v>
      </c>
      <c r="T872" s="304">
        <f t="shared" ca="1" si="378"/>
        <v>25.456949999999999</v>
      </c>
      <c r="U872" s="311">
        <f t="shared" ca="1" si="379"/>
        <v>0</v>
      </c>
      <c r="V872" s="306">
        <f t="shared" ca="1" si="380"/>
        <v>1.2264800170036538</v>
      </c>
      <c r="W872" s="304">
        <f t="shared" ca="1" si="381"/>
        <v>23.573306266032169</v>
      </c>
      <c r="Y872" s="314" t="str">
        <f t="shared" ca="1" si="399"/>
        <v/>
      </c>
      <c r="Z872" s="315" t="str">
        <f t="shared" ca="1" si="400"/>
        <v/>
      </c>
      <c r="AA872" s="316" t="str">
        <f t="shared" ca="1" si="401"/>
        <v/>
      </c>
      <c r="AC872" s="310" t="e">
        <f t="shared" ca="1" si="402"/>
        <v>#N/A</v>
      </c>
      <c r="AD872" s="323" t="e">
        <f t="shared" ca="1" si="403"/>
        <v>#N/A</v>
      </c>
      <c r="AE872" s="324" t="e">
        <f t="shared" ca="1" si="382"/>
        <v>#N/A</v>
      </c>
      <c r="AG872" s="306">
        <f t="shared" ca="1" si="404"/>
        <v>0.70744640041778339</v>
      </c>
      <c r="AH872" s="304">
        <f t="shared" ca="1" si="405"/>
        <v>-9.0841036776935944</v>
      </c>
    </row>
    <row r="873" spans="1:34" x14ac:dyDescent="0.2">
      <c r="A873" s="347">
        <f t="shared" ca="1" si="383"/>
        <v>1E-4</v>
      </c>
      <c r="B873" s="304">
        <f t="shared" ca="1" si="384"/>
        <v>32.548600000001784</v>
      </c>
      <c r="D873" s="306">
        <f t="shared" ca="1" si="385"/>
        <v>-0.55686793806850621</v>
      </c>
      <c r="E873" s="307">
        <f t="shared" ca="1" si="386"/>
        <v>-0.7429586769017984</v>
      </c>
      <c r="F873" s="304">
        <f t="shared" ca="1" si="387"/>
        <v>0.92848774684017255</v>
      </c>
      <c r="G873" s="306">
        <f t="shared" ca="1" si="388"/>
        <v>5.938935129863208</v>
      </c>
      <c r="H873" s="307">
        <f t="shared" ca="1" si="389"/>
        <v>-96.699976500518005</v>
      </c>
      <c r="I873" s="304">
        <f t="shared" ca="1" si="390"/>
        <v>96.882177956925887</v>
      </c>
      <c r="J873" s="306">
        <f t="shared" ca="1" si="391"/>
        <v>588.9746359926213</v>
      </c>
      <c r="K873" s="307">
        <f t="shared" ca="1" si="392"/>
        <v>-12.084147398509518</v>
      </c>
      <c r="L873" s="304">
        <f t="shared" ca="1" si="377"/>
        <v>589.09858976319879</v>
      </c>
      <c r="M873" s="306">
        <f t="shared" ca="1" si="393"/>
        <v>-1.5094572747903359</v>
      </c>
      <c r="N873" s="304">
        <f t="shared" ca="1" si="394"/>
        <v>-86.485531200805198</v>
      </c>
      <c r="P873" s="310">
        <f t="shared" ca="1" si="395"/>
        <v>23</v>
      </c>
      <c r="Q873" s="304">
        <f t="shared" ca="1" si="396"/>
        <v>0</v>
      </c>
      <c r="R873" s="306">
        <f t="shared" ca="1" si="397"/>
        <v>0</v>
      </c>
      <c r="S873" s="307">
        <f t="shared" ca="1" si="398"/>
        <v>2.5949999999999998</v>
      </c>
      <c r="T873" s="304">
        <f t="shared" ca="1" si="378"/>
        <v>25.456949999999999</v>
      </c>
      <c r="U873" s="311">
        <f t="shared" ca="1" si="379"/>
        <v>0</v>
      </c>
      <c r="V873" s="306">
        <f t="shared" ca="1" si="380"/>
        <v>1.2264812030100924</v>
      </c>
      <c r="W873" s="304">
        <f t="shared" ca="1" si="381"/>
        <v>23.573363487525828</v>
      </c>
      <c r="Y873" s="314" t="str">
        <f t="shared" ca="1" si="399"/>
        <v/>
      </c>
      <c r="Z873" s="315" t="str">
        <f t="shared" ca="1" si="400"/>
        <v/>
      </c>
      <c r="AA873" s="316" t="str">
        <f t="shared" ca="1" si="401"/>
        <v/>
      </c>
      <c r="AC873" s="310" t="e">
        <f t="shared" ca="1" si="402"/>
        <v>#N/A</v>
      </c>
      <c r="AD873" s="323" t="e">
        <f t="shared" ca="1" si="403"/>
        <v>#N/A</v>
      </c>
      <c r="AE873" s="324" t="e">
        <f t="shared" ca="1" si="382"/>
        <v>#N/A</v>
      </c>
      <c r="AG873" s="306">
        <f t="shared" ca="1" si="404"/>
        <v>0.70742472267375511</v>
      </c>
      <c r="AH873" s="304">
        <f t="shared" ca="1" si="405"/>
        <v>-9.0841257287214532</v>
      </c>
    </row>
    <row r="874" spans="1:34" x14ac:dyDescent="0.2">
      <c r="A874" s="347">
        <f t="shared" ca="1" si="383"/>
        <v>1E-4</v>
      </c>
      <c r="B874" s="304">
        <f t="shared" ca="1" si="384"/>
        <v>32.548700000001787</v>
      </c>
      <c r="D874" s="306">
        <f t="shared" ca="1" si="385"/>
        <v>-0.55686366171386659</v>
      </c>
      <c r="E874" s="307">
        <f t="shared" ca="1" si="386"/>
        <v>-0.74293632204337356</v>
      </c>
      <c r="F874" s="304">
        <f t="shared" ca="1" si="387"/>
        <v>0.92846729417288076</v>
      </c>
      <c r="G874" s="306">
        <f t="shared" ca="1" si="388"/>
        <v>5.9388794434970364</v>
      </c>
      <c r="H874" s="307">
        <f t="shared" ca="1" si="389"/>
        <v>-96.700050794150215</v>
      </c>
      <c r="I874" s="304">
        <f t="shared" ca="1" si="390"/>
        <v>96.882248697249096</v>
      </c>
      <c r="J874" s="306">
        <f t="shared" ca="1" si="391"/>
        <v>588.9746359926213</v>
      </c>
      <c r="K874" s="307">
        <f t="shared" ca="1" si="392"/>
        <v>-12.093817399874252</v>
      </c>
      <c r="L874" s="304">
        <f t="shared" ca="1" si="377"/>
        <v>589.09878820274469</v>
      </c>
      <c r="M874" s="306">
        <f t="shared" ca="1" si="393"/>
        <v>-1.5094578955013975</v>
      </c>
      <c r="N874" s="304">
        <f t="shared" ca="1" si="394"/>
        <v>-86.485566764929331</v>
      </c>
      <c r="P874" s="310">
        <f t="shared" ca="1" si="395"/>
        <v>23</v>
      </c>
      <c r="Q874" s="304">
        <f t="shared" ca="1" si="396"/>
        <v>0</v>
      </c>
      <c r="R874" s="306">
        <f t="shared" ca="1" si="397"/>
        <v>0</v>
      </c>
      <c r="S874" s="307">
        <f t="shared" ca="1" si="398"/>
        <v>2.5949999999999998</v>
      </c>
      <c r="T874" s="304">
        <f t="shared" ca="1" si="378"/>
        <v>25.456949999999999</v>
      </c>
      <c r="U874" s="311">
        <f t="shared" ca="1" si="379"/>
        <v>0</v>
      </c>
      <c r="V874" s="306">
        <f t="shared" ca="1" si="380"/>
        <v>1.2264823890185899</v>
      </c>
      <c r="W874" s="304">
        <f t="shared" ca="1" si="381"/>
        <v>23.573420708095867</v>
      </c>
      <c r="Y874" s="314" t="str">
        <f t="shared" ca="1" si="399"/>
        <v/>
      </c>
      <c r="Z874" s="315" t="str">
        <f t="shared" ca="1" si="400"/>
        <v/>
      </c>
      <c r="AA874" s="316" t="str">
        <f t="shared" ca="1" si="401"/>
        <v/>
      </c>
      <c r="AC874" s="310" t="e">
        <f t="shared" ca="1" si="402"/>
        <v>#N/A</v>
      </c>
      <c r="AD874" s="323" t="e">
        <f t="shared" ca="1" si="403"/>
        <v>#N/A</v>
      </c>
      <c r="AE874" s="324" t="e">
        <f t="shared" ca="1" si="382"/>
        <v>#N/A</v>
      </c>
      <c r="AG874" s="306">
        <f t="shared" ca="1" si="404"/>
        <v>0.70740304527783771</v>
      </c>
      <c r="AH874" s="304">
        <f t="shared" ca="1" si="405"/>
        <v>-9.0841477793933834</v>
      </c>
    </row>
    <row r="875" spans="1:34" x14ac:dyDescent="0.2">
      <c r="A875" s="347">
        <f t="shared" ca="1" si="383"/>
        <v>1E-4</v>
      </c>
      <c r="B875" s="304">
        <f t="shared" ca="1" si="384"/>
        <v>32.548800000001791</v>
      </c>
      <c r="D875" s="306">
        <f t="shared" ca="1" si="385"/>
        <v>-0.55685938537086221</v>
      </c>
      <c r="E875" s="307">
        <f t="shared" ca="1" si="386"/>
        <v>-0.74291396754576411</v>
      </c>
      <c r="F875" s="304">
        <f t="shared" ca="1" si="387"/>
        <v>0.92844684190868088</v>
      </c>
      <c r="G875" s="306">
        <f t="shared" ca="1" si="388"/>
        <v>5.9388237575584997</v>
      </c>
      <c r="H875" s="307">
        <f t="shared" ca="1" si="389"/>
        <v>-96.700125085546972</v>
      </c>
      <c r="I875" s="304">
        <f t="shared" ca="1" si="390"/>
        <v>96.882319435404582</v>
      </c>
      <c r="J875" s="306">
        <f t="shared" ca="1" si="391"/>
        <v>588.9746359926213</v>
      </c>
      <c r="K875" s="307">
        <f t="shared" ca="1" si="392"/>
        <v>-12.103487408668236</v>
      </c>
      <c r="L875" s="304">
        <f t="shared" ca="1" si="377"/>
        <v>589.09898680110837</v>
      </c>
      <c r="M875" s="306">
        <f t="shared" ca="1" si="393"/>
        <v>-1.5094585162057328</v>
      </c>
      <c r="N875" s="304">
        <f t="shared" ca="1" si="394"/>
        <v>-86.485602328668065</v>
      </c>
      <c r="P875" s="310">
        <f t="shared" ca="1" si="395"/>
        <v>23</v>
      </c>
      <c r="Q875" s="304">
        <f t="shared" ca="1" si="396"/>
        <v>0</v>
      </c>
      <c r="R875" s="306">
        <f t="shared" ca="1" si="397"/>
        <v>0</v>
      </c>
      <c r="S875" s="307">
        <f t="shared" ca="1" si="398"/>
        <v>2.5949999999999998</v>
      </c>
      <c r="T875" s="304">
        <f t="shared" ca="1" si="378"/>
        <v>25.456949999999999</v>
      </c>
      <c r="U875" s="311">
        <f t="shared" ca="1" si="379"/>
        <v>0</v>
      </c>
      <c r="V875" s="306">
        <f t="shared" ca="1" si="380"/>
        <v>1.2264835750291463</v>
      </c>
      <c r="W875" s="304">
        <f t="shared" ca="1" si="381"/>
        <v>23.573477927742292</v>
      </c>
      <c r="Y875" s="314" t="str">
        <f t="shared" ca="1" si="399"/>
        <v/>
      </c>
      <c r="Z875" s="315" t="str">
        <f t="shared" ca="1" si="400"/>
        <v/>
      </c>
      <c r="AA875" s="316" t="str">
        <f t="shared" ca="1" si="401"/>
        <v/>
      </c>
      <c r="AC875" s="310" t="e">
        <f t="shared" ca="1" si="402"/>
        <v>#N/A</v>
      </c>
      <c r="AD875" s="323" t="e">
        <f t="shared" ca="1" si="403"/>
        <v>#N/A</v>
      </c>
      <c r="AE875" s="324" t="e">
        <f t="shared" ca="1" si="382"/>
        <v>#N/A</v>
      </c>
      <c r="AG875" s="306">
        <f t="shared" ca="1" si="404"/>
        <v>0.70738136823002407</v>
      </c>
      <c r="AH875" s="304">
        <f t="shared" ca="1" si="405"/>
        <v>-9.0841698297093902</v>
      </c>
    </row>
    <row r="876" spans="1:34" x14ac:dyDescent="0.2">
      <c r="A876" s="347">
        <f t="shared" ca="1" si="383"/>
        <v>1E-4</v>
      </c>
      <c r="B876" s="304">
        <f t="shared" ca="1" si="384"/>
        <v>32.548900000001794</v>
      </c>
      <c r="D876" s="306">
        <f t="shared" ca="1" si="385"/>
        <v>-0.55685510903949242</v>
      </c>
      <c r="E876" s="307">
        <f t="shared" ca="1" si="386"/>
        <v>-0.7428916134089647</v>
      </c>
      <c r="F876" s="304">
        <f t="shared" ca="1" si="387"/>
        <v>0.92842639004756844</v>
      </c>
      <c r="G876" s="306">
        <f t="shared" ca="1" si="388"/>
        <v>5.9387680720475959</v>
      </c>
      <c r="H876" s="307">
        <f t="shared" ca="1" si="389"/>
        <v>-96.700199374708319</v>
      </c>
      <c r="I876" s="304">
        <f t="shared" ca="1" si="390"/>
        <v>96.882390171392402</v>
      </c>
      <c r="J876" s="306">
        <f t="shared" ca="1" si="391"/>
        <v>588.9746359926213</v>
      </c>
      <c r="K876" s="307">
        <f t="shared" ca="1" si="392"/>
        <v>-12.113157424891249</v>
      </c>
      <c r="L876" s="304">
        <f t="shared" ca="1" si="377"/>
        <v>589.09918555829029</v>
      </c>
      <c r="M876" s="306">
        <f t="shared" ca="1" si="393"/>
        <v>-1.5094591369033417</v>
      </c>
      <c r="N876" s="304">
        <f t="shared" ca="1" si="394"/>
        <v>-86.485637892021401</v>
      </c>
      <c r="P876" s="310">
        <f t="shared" ca="1" si="395"/>
        <v>23</v>
      </c>
      <c r="Q876" s="304">
        <f t="shared" ca="1" si="396"/>
        <v>0</v>
      </c>
      <c r="R876" s="306">
        <f t="shared" ca="1" si="397"/>
        <v>0</v>
      </c>
      <c r="S876" s="307">
        <f t="shared" ca="1" si="398"/>
        <v>2.5949999999999998</v>
      </c>
      <c r="T876" s="304">
        <f t="shared" ca="1" si="378"/>
        <v>25.456949999999999</v>
      </c>
      <c r="U876" s="311">
        <f t="shared" ca="1" si="379"/>
        <v>0</v>
      </c>
      <c r="V876" s="306">
        <f t="shared" ca="1" si="380"/>
        <v>1.2264847610417611</v>
      </c>
      <c r="W876" s="304">
        <f t="shared" ca="1" si="381"/>
        <v>23.573535146465115</v>
      </c>
      <c r="Y876" s="314" t="str">
        <f t="shared" ca="1" si="399"/>
        <v/>
      </c>
      <c r="Z876" s="315" t="str">
        <f t="shared" ca="1" si="400"/>
        <v/>
      </c>
      <c r="AA876" s="316" t="str">
        <f t="shared" ca="1" si="401"/>
        <v/>
      </c>
      <c r="AC876" s="310" t="e">
        <f t="shared" ca="1" si="402"/>
        <v>#N/A</v>
      </c>
      <c r="AD876" s="323" t="e">
        <f t="shared" ca="1" si="403"/>
        <v>#N/A</v>
      </c>
      <c r="AE876" s="324" t="e">
        <f t="shared" ca="1" si="382"/>
        <v>#N/A</v>
      </c>
      <c r="AG876" s="306">
        <f t="shared" ca="1" si="404"/>
        <v>0.70735969153031419</v>
      </c>
      <c r="AH876" s="304">
        <f t="shared" ca="1" si="405"/>
        <v>-9.0841918796694774</v>
      </c>
    </row>
    <row r="877" spans="1:34" x14ac:dyDescent="0.2">
      <c r="A877" s="347">
        <f t="shared" ca="1" si="383"/>
        <v>1E-4</v>
      </c>
      <c r="B877" s="304">
        <f t="shared" ca="1" si="384"/>
        <v>32.549000000001797</v>
      </c>
      <c r="D877" s="306">
        <f t="shared" ca="1" si="385"/>
        <v>-0.55685083271975844</v>
      </c>
      <c r="E877" s="307">
        <f t="shared" ca="1" si="386"/>
        <v>-0.74286925963297534</v>
      </c>
      <c r="F877" s="304">
        <f t="shared" ca="1" si="387"/>
        <v>0.92840593858954468</v>
      </c>
      <c r="G877" s="306">
        <f t="shared" ca="1" si="388"/>
        <v>5.9387123869643244</v>
      </c>
      <c r="H877" s="307">
        <f t="shared" ca="1" si="389"/>
        <v>-96.700273661634284</v>
      </c>
      <c r="I877" s="304">
        <f t="shared" ca="1" si="390"/>
        <v>96.882460905212582</v>
      </c>
      <c r="J877" s="306">
        <f t="shared" ca="1" si="391"/>
        <v>588.9746359926213</v>
      </c>
      <c r="K877" s="307">
        <f t="shared" ca="1" si="392"/>
        <v>-12.122827448543065</v>
      </c>
      <c r="L877" s="304">
        <f t="shared" ca="1" si="377"/>
        <v>589.09938447429045</v>
      </c>
      <c r="M877" s="306">
        <f t="shared" ca="1" si="393"/>
        <v>-1.5094597575942241</v>
      </c>
      <c r="N877" s="304">
        <f t="shared" ca="1" si="394"/>
        <v>-86.485673454989353</v>
      </c>
      <c r="P877" s="310">
        <f t="shared" ca="1" si="395"/>
        <v>23</v>
      </c>
      <c r="Q877" s="304">
        <f t="shared" ca="1" si="396"/>
        <v>0</v>
      </c>
      <c r="R877" s="306">
        <f t="shared" ca="1" si="397"/>
        <v>0</v>
      </c>
      <c r="S877" s="307">
        <f t="shared" ca="1" si="398"/>
        <v>2.5949999999999998</v>
      </c>
      <c r="T877" s="304">
        <f t="shared" ca="1" si="378"/>
        <v>25.456949999999999</v>
      </c>
      <c r="U877" s="311">
        <f t="shared" ca="1" si="379"/>
        <v>0</v>
      </c>
      <c r="V877" s="306">
        <f t="shared" ca="1" si="380"/>
        <v>1.2264859470564349</v>
      </c>
      <c r="W877" s="304">
        <f t="shared" ca="1" si="381"/>
        <v>23.573592364264357</v>
      </c>
      <c r="Y877" s="314" t="str">
        <f t="shared" ca="1" si="399"/>
        <v/>
      </c>
      <c r="Z877" s="315" t="str">
        <f t="shared" ca="1" si="400"/>
        <v/>
      </c>
      <c r="AA877" s="316" t="str">
        <f t="shared" ca="1" si="401"/>
        <v/>
      </c>
      <c r="AC877" s="310" t="e">
        <f t="shared" ca="1" si="402"/>
        <v>#N/A</v>
      </c>
      <c r="AD877" s="323" t="e">
        <f t="shared" ca="1" si="403"/>
        <v>#N/A</v>
      </c>
      <c r="AE877" s="324" t="e">
        <f t="shared" ca="1" si="382"/>
        <v>#N/A</v>
      </c>
      <c r="AG877" s="306">
        <f t="shared" ca="1" si="404"/>
        <v>0.70733801517870454</v>
      </c>
      <c r="AH877" s="304">
        <f t="shared" ca="1" si="405"/>
        <v>-9.0842139292736483</v>
      </c>
    </row>
    <row r="878" spans="1:34" x14ac:dyDescent="0.2">
      <c r="A878" s="347">
        <f t="shared" ca="1" si="383"/>
        <v>1E-4</v>
      </c>
      <c r="B878" s="304">
        <f t="shared" ca="1" si="384"/>
        <v>32.5491000000018</v>
      </c>
      <c r="D878" s="306">
        <f t="shared" ca="1" si="385"/>
        <v>-0.55684655641166181</v>
      </c>
      <c r="E878" s="307">
        <f t="shared" ca="1" si="386"/>
        <v>-0.74284690621778537</v>
      </c>
      <c r="F878" s="304">
        <f t="shared" ca="1" si="387"/>
        <v>0.92838548753460237</v>
      </c>
      <c r="G878" s="306">
        <f t="shared" ca="1" si="388"/>
        <v>5.9386567023086831</v>
      </c>
      <c r="H878" s="307">
        <f t="shared" ca="1" si="389"/>
        <v>-96.700347946324911</v>
      </c>
      <c r="I878" s="304">
        <f t="shared" ca="1" si="390"/>
        <v>96.882531636865167</v>
      </c>
      <c r="J878" s="306">
        <f t="shared" ca="1" si="391"/>
        <v>588.9746359926213</v>
      </c>
      <c r="K878" s="307">
        <f t="shared" ca="1" si="392"/>
        <v>-12.132497479623463</v>
      </c>
      <c r="L878" s="304">
        <f t="shared" ca="1" si="377"/>
        <v>589.09958354910907</v>
      </c>
      <c r="M878" s="306">
        <f t="shared" ca="1" si="393"/>
        <v>-1.5094603782783804</v>
      </c>
      <c r="N878" s="304">
        <f t="shared" ca="1" si="394"/>
        <v>-86.485709017571921</v>
      </c>
      <c r="P878" s="310">
        <f t="shared" ca="1" si="395"/>
        <v>23</v>
      </c>
      <c r="Q878" s="304">
        <f t="shared" ca="1" si="396"/>
        <v>0</v>
      </c>
      <c r="R878" s="306">
        <f t="shared" ca="1" si="397"/>
        <v>0</v>
      </c>
      <c r="S878" s="307">
        <f t="shared" ca="1" si="398"/>
        <v>2.5949999999999998</v>
      </c>
      <c r="T878" s="304">
        <f t="shared" ca="1" si="378"/>
        <v>25.456949999999999</v>
      </c>
      <c r="U878" s="311">
        <f t="shared" ca="1" si="379"/>
        <v>0</v>
      </c>
      <c r="V878" s="306">
        <f t="shared" ca="1" si="380"/>
        <v>1.226487133073167</v>
      </c>
      <c r="W878" s="304">
        <f t="shared" ca="1" si="381"/>
        <v>23.57364958114001</v>
      </c>
      <c r="Y878" s="314" t="str">
        <f t="shared" ca="1" si="399"/>
        <v/>
      </c>
      <c r="Z878" s="315" t="str">
        <f t="shared" ca="1" si="400"/>
        <v/>
      </c>
      <c r="AA878" s="316" t="str">
        <f t="shared" ca="1" si="401"/>
        <v/>
      </c>
      <c r="AC878" s="310" t="e">
        <f t="shared" ca="1" si="402"/>
        <v>#N/A</v>
      </c>
      <c r="AD878" s="323" t="e">
        <f t="shared" ca="1" si="403"/>
        <v>#N/A</v>
      </c>
      <c r="AE878" s="324" t="e">
        <f t="shared" ca="1" si="382"/>
        <v>#N/A</v>
      </c>
      <c r="AG878" s="306">
        <f t="shared" ca="1" si="404"/>
        <v>0.70731633917518444</v>
      </c>
      <c r="AH878" s="304">
        <f t="shared" ca="1" si="405"/>
        <v>-9.0842359785219102</v>
      </c>
    </row>
    <row r="879" spans="1:34" x14ac:dyDescent="0.2">
      <c r="A879" s="347">
        <f t="shared" ca="1" si="383"/>
        <v>1E-4</v>
      </c>
      <c r="B879" s="304">
        <f t="shared" ca="1" si="384"/>
        <v>32.549200000001804</v>
      </c>
      <c r="D879" s="306">
        <f t="shared" ca="1" si="385"/>
        <v>-0.55684228011520154</v>
      </c>
      <c r="E879" s="307">
        <f t="shared" ca="1" si="386"/>
        <v>-0.7428245531633948</v>
      </c>
      <c r="F879" s="304">
        <f t="shared" ca="1" si="387"/>
        <v>0.9283650368827413</v>
      </c>
      <c r="G879" s="306">
        <f t="shared" ca="1" si="388"/>
        <v>5.9386010180806714</v>
      </c>
      <c r="H879" s="307">
        <f t="shared" ca="1" si="389"/>
        <v>-96.700422228780226</v>
      </c>
      <c r="I879" s="304">
        <f t="shared" ca="1" si="390"/>
        <v>96.882602366350184</v>
      </c>
      <c r="J879" s="306">
        <f t="shared" ca="1" si="391"/>
        <v>588.9746359926213</v>
      </c>
      <c r="K879" s="307">
        <f t="shared" ca="1" si="392"/>
        <v>-12.142167518132219</v>
      </c>
      <c r="L879" s="304">
        <f t="shared" ca="1" si="377"/>
        <v>589.0997827827465</v>
      </c>
      <c r="M879" s="306">
        <f t="shared" ca="1" si="393"/>
        <v>-1.5094609989558105</v>
      </c>
      <c r="N879" s="304">
        <f t="shared" ca="1" si="394"/>
        <v>-86.485744579769104</v>
      </c>
      <c r="P879" s="310">
        <f t="shared" ca="1" si="395"/>
        <v>23</v>
      </c>
      <c r="Q879" s="304">
        <f t="shared" ca="1" si="396"/>
        <v>0</v>
      </c>
      <c r="R879" s="306">
        <f t="shared" ca="1" si="397"/>
        <v>0</v>
      </c>
      <c r="S879" s="307">
        <f t="shared" ca="1" si="398"/>
        <v>2.5949999999999998</v>
      </c>
      <c r="T879" s="304">
        <f t="shared" ca="1" si="378"/>
        <v>25.456949999999999</v>
      </c>
      <c r="U879" s="311">
        <f t="shared" ca="1" si="379"/>
        <v>0</v>
      </c>
      <c r="V879" s="306">
        <f t="shared" ca="1" si="380"/>
        <v>1.2264883190919582</v>
      </c>
      <c r="W879" s="304">
        <f t="shared" ca="1" si="381"/>
        <v>23.573706797092111</v>
      </c>
      <c r="Y879" s="314" t="str">
        <f t="shared" ca="1" si="399"/>
        <v/>
      </c>
      <c r="Z879" s="315" t="str">
        <f t="shared" ca="1" si="400"/>
        <v/>
      </c>
      <c r="AA879" s="316" t="str">
        <f t="shared" ca="1" si="401"/>
        <v/>
      </c>
      <c r="AC879" s="310" t="e">
        <f t="shared" ca="1" si="402"/>
        <v>#N/A</v>
      </c>
      <c r="AD879" s="323" t="e">
        <f t="shared" ca="1" si="403"/>
        <v>#N/A</v>
      </c>
      <c r="AE879" s="324" t="e">
        <f t="shared" ca="1" si="382"/>
        <v>#N/A</v>
      </c>
      <c r="AG879" s="306">
        <f t="shared" ca="1" si="404"/>
        <v>0.70729466351975745</v>
      </c>
      <c r="AH879" s="304">
        <f t="shared" ca="1" si="405"/>
        <v>-9.084258027414263</v>
      </c>
    </row>
    <row r="880" spans="1:34" x14ac:dyDescent="0.2">
      <c r="A880" s="347">
        <f t="shared" ca="1" si="383"/>
        <v>1E-4</v>
      </c>
      <c r="B880" s="304">
        <f t="shared" ca="1" si="384"/>
        <v>32.549300000001807</v>
      </c>
      <c r="D880" s="306">
        <f t="shared" ca="1" si="385"/>
        <v>-0.55683800383037974</v>
      </c>
      <c r="E880" s="307">
        <f t="shared" ca="1" si="386"/>
        <v>-0.7428022004697965</v>
      </c>
      <c r="F880" s="304">
        <f t="shared" ca="1" si="387"/>
        <v>0.92834458663395769</v>
      </c>
      <c r="G880" s="306">
        <f t="shared" ca="1" si="388"/>
        <v>5.9385453342802883</v>
      </c>
      <c r="H880" s="307">
        <f t="shared" ca="1" si="389"/>
        <v>-96.700496509000274</v>
      </c>
      <c r="I880" s="304">
        <f t="shared" ca="1" si="390"/>
        <v>96.882673093667663</v>
      </c>
      <c r="J880" s="306">
        <f t="shared" ca="1" si="391"/>
        <v>588.9746359926213</v>
      </c>
      <c r="K880" s="307">
        <f t="shared" ca="1" si="392"/>
        <v>-12.151837564069108</v>
      </c>
      <c r="L880" s="304">
        <f t="shared" ca="1" si="377"/>
        <v>589.09998217520285</v>
      </c>
      <c r="M880" s="306">
        <f t="shared" ca="1" si="393"/>
        <v>-1.5094616196265145</v>
      </c>
      <c r="N880" s="304">
        <f t="shared" ca="1" si="394"/>
        <v>-86.485780141580904</v>
      </c>
      <c r="P880" s="310">
        <f t="shared" ca="1" si="395"/>
        <v>23</v>
      </c>
      <c r="Q880" s="304">
        <f t="shared" ca="1" si="396"/>
        <v>0</v>
      </c>
      <c r="R880" s="306">
        <f t="shared" ca="1" si="397"/>
        <v>0</v>
      </c>
      <c r="S880" s="307">
        <f t="shared" ca="1" si="398"/>
        <v>2.5949999999999998</v>
      </c>
      <c r="T880" s="304">
        <f t="shared" ca="1" si="378"/>
        <v>25.456949999999999</v>
      </c>
      <c r="U880" s="311">
        <f t="shared" ca="1" si="379"/>
        <v>0</v>
      </c>
      <c r="V880" s="306">
        <f t="shared" ca="1" si="380"/>
        <v>1.2264895051128077</v>
      </c>
      <c r="W880" s="304">
        <f t="shared" ca="1" si="381"/>
        <v>23.573764012120648</v>
      </c>
      <c r="Y880" s="314" t="str">
        <f t="shared" ca="1" si="399"/>
        <v/>
      </c>
      <c r="Z880" s="315" t="str">
        <f t="shared" ca="1" si="400"/>
        <v/>
      </c>
      <c r="AA880" s="316" t="str">
        <f t="shared" ca="1" si="401"/>
        <v/>
      </c>
      <c r="AC880" s="310" t="e">
        <f t="shared" ca="1" si="402"/>
        <v>#N/A</v>
      </c>
      <c r="AD880" s="323" t="e">
        <f t="shared" ca="1" si="403"/>
        <v>#N/A</v>
      </c>
      <c r="AE880" s="324" t="e">
        <f t="shared" ca="1" si="382"/>
        <v>#N/A</v>
      </c>
      <c r="AG880" s="306">
        <f t="shared" ca="1" si="404"/>
        <v>0.70727298821241114</v>
      </c>
      <c r="AH880" s="304">
        <f t="shared" ca="1" si="405"/>
        <v>-9.0842800759507174</v>
      </c>
    </row>
    <row r="881" spans="1:34" x14ac:dyDescent="0.2">
      <c r="A881" s="347">
        <f t="shared" ca="1" si="383"/>
        <v>1E-4</v>
      </c>
      <c r="B881" s="304">
        <f t="shared" ca="1" si="384"/>
        <v>32.54940000000181</v>
      </c>
      <c r="D881" s="306">
        <f t="shared" ca="1" si="385"/>
        <v>-0.55683372755719707</v>
      </c>
      <c r="E881" s="307">
        <f t="shared" ca="1" si="386"/>
        <v>-0.74277984813698872</v>
      </c>
      <c r="F881" s="304">
        <f t="shared" ca="1" si="387"/>
        <v>0.92832413678825076</v>
      </c>
      <c r="G881" s="306">
        <f t="shared" ca="1" si="388"/>
        <v>5.9384896509075329</v>
      </c>
      <c r="H881" s="307">
        <f t="shared" ca="1" si="389"/>
        <v>-96.700570786985082</v>
      </c>
      <c r="I881" s="304">
        <f t="shared" ca="1" si="390"/>
        <v>96.882743818817644</v>
      </c>
      <c r="J881" s="306">
        <f t="shared" ca="1" si="391"/>
        <v>588.9746359926213</v>
      </c>
      <c r="K881" s="307">
        <f t="shared" ca="1" si="392"/>
        <v>-12.161507617433907</v>
      </c>
      <c r="L881" s="304">
        <f t="shared" ca="1" si="377"/>
        <v>589.10018172647824</v>
      </c>
      <c r="M881" s="306">
        <f t="shared" ca="1" si="393"/>
        <v>-1.5094622402904927</v>
      </c>
      <c r="N881" s="304">
        <f t="shared" ca="1" si="394"/>
        <v>-86.485815703007361</v>
      </c>
      <c r="P881" s="310">
        <f t="shared" ca="1" si="395"/>
        <v>23</v>
      </c>
      <c r="Q881" s="304">
        <f t="shared" ca="1" si="396"/>
        <v>0</v>
      </c>
      <c r="R881" s="306">
        <f t="shared" ca="1" si="397"/>
        <v>0</v>
      </c>
      <c r="S881" s="307">
        <f t="shared" ca="1" si="398"/>
        <v>2.5949999999999998</v>
      </c>
      <c r="T881" s="304">
        <f t="shared" ca="1" si="378"/>
        <v>25.456949999999999</v>
      </c>
      <c r="U881" s="311">
        <f t="shared" ca="1" si="379"/>
        <v>0</v>
      </c>
      <c r="V881" s="306">
        <f t="shared" ca="1" si="380"/>
        <v>1.2264906911357158</v>
      </c>
      <c r="W881" s="304">
        <f t="shared" ca="1" si="381"/>
        <v>23.57382122622564</v>
      </c>
      <c r="Y881" s="314" t="str">
        <f t="shared" ca="1" si="399"/>
        <v/>
      </c>
      <c r="Z881" s="315" t="str">
        <f t="shared" ca="1" si="400"/>
        <v/>
      </c>
      <c r="AA881" s="316" t="str">
        <f t="shared" ca="1" si="401"/>
        <v/>
      </c>
      <c r="AC881" s="310" t="e">
        <f t="shared" ca="1" si="402"/>
        <v>#N/A</v>
      </c>
      <c r="AD881" s="323" t="e">
        <f t="shared" ca="1" si="403"/>
        <v>#N/A</v>
      </c>
      <c r="AE881" s="324" t="e">
        <f t="shared" ca="1" si="382"/>
        <v>#N/A</v>
      </c>
      <c r="AG881" s="306">
        <f t="shared" ca="1" si="404"/>
        <v>0.70725131325314905</v>
      </c>
      <c r="AH881" s="304">
        <f t="shared" ca="1" si="405"/>
        <v>-9.0843021241312716</v>
      </c>
    </row>
    <row r="882" spans="1:34" x14ac:dyDescent="0.2">
      <c r="A882" s="347">
        <f t="shared" ca="1" si="383"/>
        <v>1E-4</v>
      </c>
      <c r="B882" s="304">
        <f t="shared" ca="1" si="384"/>
        <v>32.549500000001814</v>
      </c>
      <c r="D882" s="306">
        <f t="shared" ca="1" si="385"/>
        <v>-0.55682945129565109</v>
      </c>
      <c r="E882" s="307">
        <f t="shared" ca="1" si="386"/>
        <v>-0.74275749616496789</v>
      </c>
      <c r="F882" s="304">
        <f t="shared" ca="1" si="387"/>
        <v>0.92830368734561652</v>
      </c>
      <c r="G882" s="306">
        <f t="shared" ca="1" si="388"/>
        <v>5.9384339679624034</v>
      </c>
      <c r="H882" s="307">
        <f t="shared" ca="1" si="389"/>
        <v>-96.700645062734694</v>
      </c>
      <c r="I882" s="304">
        <f t="shared" ca="1" si="390"/>
        <v>96.882814541800158</v>
      </c>
      <c r="J882" s="306">
        <f t="shared" ca="1" si="391"/>
        <v>588.9746359926213</v>
      </c>
      <c r="K882" s="307">
        <f t="shared" ca="1" si="392"/>
        <v>-12.171177678226393</v>
      </c>
      <c r="L882" s="304">
        <f t="shared" ca="1" si="377"/>
        <v>589.10038143657289</v>
      </c>
      <c r="M882" s="306">
        <f t="shared" ca="1" si="393"/>
        <v>-1.5094628609477447</v>
      </c>
      <c r="N882" s="304">
        <f t="shared" ca="1" si="394"/>
        <v>-86.485851264048421</v>
      </c>
      <c r="P882" s="310">
        <f t="shared" ca="1" si="395"/>
        <v>23</v>
      </c>
      <c r="Q882" s="304">
        <f t="shared" ca="1" si="396"/>
        <v>0</v>
      </c>
      <c r="R882" s="306">
        <f t="shared" ca="1" si="397"/>
        <v>0</v>
      </c>
      <c r="S882" s="307">
        <f t="shared" ca="1" si="398"/>
        <v>2.5949999999999998</v>
      </c>
      <c r="T882" s="304">
        <f t="shared" ca="1" si="378"/>
        <v>25.456949999999999</v>
      </c>
      <c r="U882" s="311">
        <f t="shared" ca="1" si="379"/>
        <v>0</v>
      </c>
      <c r="V882" s="306">
        <f t="shared" ca="1" si="380"/>
        <v>1.2264918771606825</v>
      </c>
      <c r="W882" s="304">
        <f t="shared" ca="1" si="381"/>
        <v>23.573878439407096</v>
      </c>
      <c r="Y882" s="314" t="str">
        <f t="shared" ca="1" si="399"/>
        <v/>
      </c>
      <c r="Z882" s="315" t="str">
        <f t="shared" ca="1" si="400"/>
        <v/>
      </c>
      <c r="AA882" s="316" t="str">
        <f t="shared" ca="1" si="401"/>
        <v/>
      </c>
      <c r="AC882" s="310" t="e">
        <f t="shared" ca="1" si="402"/>
        <v>#N/A</v>
      </c>
      <c r="AD882" s="323" t="e">
        <f t="shared" ca="1" si="403"/>
        <v>#N/A</v>
      </c>
      <c r="AE882" s="324" t="e">
        <f t="shared" ca="1" si="382"/>
        <v>#N/A</v>
      </c>
      <c r="AG882" s="306">
        <f t="shared" ca="1" si="404"/>
        <v>0.70722963864196586</v>
      </c>
      <c r="AH882" s="304">
        <f t="shared" ca="1" si="405"/>
        <v>-9.0843241719559309</v>
      </c>
    </row>
    <row r="883" spans="1:34" x14ac:dyDescent="0.2">
      <c r="A883" s="347">
        <f t="shared" ca="1" si="383"/>
        <v>1E-4</v>
      </c>
      <c r="B883" s="304">
        <f t="shared" ca="1" si="384"/>
        <v>32.549600000001817</v>
      </c>
      <c r="D883" s="306">
        <f t="shared" ca="1" si="385"/>
        <v>-0.55682517504574724</v>
      </c>
      <c r="E883" s="307">
        <f t="shared" ca="1" si="386"/>
        <v>-0.74273514455372869</v>
      </c>
      <c r="F883" s="304">
        <f t="shared" ca="1" si="387"/>
        <v>0.92828323830605453</v>
      </c>
      <c r="G883" s="306">
        <f t="shared" ca="1" si="388"/>
        <v>5.938378285444899</v>
      </c>
      <c r="H883" s="307">
        <f t="shared" ca="1" si="389"/>
        <v>-96.700719336249151</v>
      </c>
      <c r="I883" s="304">
        <f t="shared" ca="1" si="390"/>
        <v>96.882885262615261</v>
      </c>
      <c r="J883" s="306">
        <f t="shared" ca="1" si="391"/>
        <v>588.9746359926213</v>
      </c>
      <c r="K883" s="307">
        <f t="shared" ca="1" si="392"/>
        <v>-12.180847746446341</v>
      </c>
      <c r="L883" s="304">
        <f t="shared" ca="1" si="377"/>
        <v>589.10058130548714</v>
      </c>
      <c r="M883" s="306">
        <f t="shared" ca="1" si="393"/>
        <v>-1.5094634815982713</v>
      </c>
      <c r="N883" s="304">
        <f t="shared" ca="1" si="394"/>
        <v>-86.485886824704153</v>
      </c>
      <c r="P883" s="310">
        <f t="shared" ca="1" si="395"/>
        <v>23</v>
      </c>
      <c r="Q883" s="304">
        <f t="shared" ca="1" si="396"/>
        <v>0</v>
      </c>
      <c r="R883" s="306">
        <f t="shared" ca="1" si="397"/>
        <v>0</v>
      </c>
      <c r="S883" s="307">
        <f t="shared" ca="1" si="398"/>
        <v>2.5949999999999998</v>
      </c>
      <c r="T883" s="304">
        <f t="shared" ca="1" si="378"/>
        <v>25.456949999999999</v>
      </c>
      <c r="U883" s="311">
        <f t="shared" ca="1" si="379"/>
        <v>0</v>
      </c>
      <c r="V883" s="306">
        <f t="shared" ca="1" si="380"/>
        <v>1.2264930631877082</v>
      </c>
      <c r="W883" s="304">
        <f t="shared" ca="1" si="381"/>
        <v>23.57393565166505</v>
      </c>
      <c r="Y883" s="314" t="str">
        <f t="shared" ca="1" si="399"/>
        <v/>
      </c>
      <c r="Z883" s="315" t="str">
        <f t="shared" ca="1" si="400"/>
        <v/>
      </c>
      <c r="AA883" s="316" t="str">
        <f t="shared" ca="1" si="401"/>
        <v/>
      </c>
      <c r="AC883" s="310" t="e">
        <f t="shared" ca="1" si="402"/>
        <v>#N/A</v>
      </c>
      <c r="AD883" s="323" t="e">
        <f t="shared" ca="1" si="403"/>
        <v>#N/A</v>
      </c>
      <c r="AE883" s="324" t="e">
        <f t="shared" ca="1" si="382"/>
        <v>#N/A</v>
      </c>
      <c r="AG883" s="306">
        <f t="shared" ca="1" si="404"/>
        <v>0.70720796437885447</v>
      </c>
      <c r="AH883" s="304">
        <f t="shared" ca="1" si="405"/>
        <v>-9.0843462194247007</v>
      </c>
    </row>
    <row r="884" spans="1:34" x14ac:dyDescent="0.2">
      <c r="A884" s="347">
        <f t="shared" ca="1" si="383"/>
        <v>1E-4</v>
      </c>
      <c r="B884" s="304">
        <f t="shared" ca="1" si="384"/>
        <v>32.54970000000182</v>
      </c>
      <c r="D884" s="306">
        <f t="shared" ca="1" si="385"/>
        <v>-0.5568208988074812</v>
      </c>
      <c r="E884" s="307">
        <f t="shared" ca="1" si="386"/>
        <v>-0.7427127933032569</v>
      </c>
      <c r="F884" s="304">
        <f t="shared" ca="1" si="387"/>
        <v>0.92826278966955134</v>
      </c>
      <c r="G884" s="306">
        <f t="shared" ca="1" si="388"/>
        <v>5.9383226033550178</v>
      </c>
      <c r="H884" s="307">
        <f t="shared" ca="1" si="389"/>
        <v>-96.700793607528482</v>
      </c>
      <c r="I884" s="304">
        <f t="shared" ca="1" si="390"/>
        <v>96.882955981262967</v>
      </c>
      <c r="J884" s="306">
        <f t="shared" ca="1" si="391"/>
        <v>588.9746359926213</v>
      </c>
      <c r="K884" s="307">
        <f t="shared" ca="1" si="392"/>
        <v>-12.190517822093531</v>
      </c>
      <c r="L884" s="304">
        <f t="shared" ca="1" si="377"/>
        <v>589.10078133322099</v>
      </c>
      <c r="M884" s="306">
        <f t="shared" ca="1" si="393"/>
        <v>-1.5094641022420718</v>
      </c>
      <c r="N884" s="304">
        <f t="shared" ca="1" si="394"/>
        <v>-86.485922384974501</v>
      </c>
      <c r="P884" s="310">
        <f t="shared" ca="1" si="395"/>
        <v>23</v>
      </c>
      <c r="Q884" s="304">
        <f t="shared" ca="1" si="396"/>
        <v>0</v>
      </c>
      <c r="R884" s="306">
        <f t="shared" ca="1" si="397"/>
        <v>0</v>
      </c>
      <c r="S884" s="307">
        <f t="shared" ca="1" si="398"/>
        <v>2.5949999999999998</v>
      </c>
      <c r="T884" s="304">
        <f t="shared" ca="1" si="378"/>
        <v>25.456949999999999</v>
      </c>
      <c r="U884" s="311">
        <f t="shared" ca="1" si="379"/>
        <v>0</v>
      </c>
      <c r="V884" s="306">
        <f t="shared" ca="1" si="380"/>
        <v>1.2264942492167921</v>
      </c>
      <c r="W884" s="304">
        <f t="shared" ca="1" si="381"/>
        <v>23.573992862999489</v>
      </c>
      <c r="Y884" s="314" t="str">
        <f t="shared" ca="1" si="399"/>
        <v/>
      </c>
      <c r="Z884" s="315" t="str">
        <f t="shared" ca="1" si="400"/>
        <v/>
      </c>
      <c r="AA884" s="316" t="str">
        <f t="shared" ca="1" si="401"/>
        <v/>
      </c>
      <c r="AC884" s="310" t="e">
        <f t="shared" ca="1" si="402"/>
        <v>#N/A</v>
      </c>
      <c r="AD884" s="323" t="e">
        <f t="shared" ca="1" si="403"/>
        <v>#N/A</v>
      </c>
      <c r="AE884" s="324" t="e">
        <f t="shared" ca="1" si="382"/>
        <v>#N/A</v>
      </c>
      <c r="AG884" s="306">
        <f t="shared" ca="1" si="404"/>
        <v>0.70718629046380777</v>
      </c>
      <c r="AH884" s="304">
        <f t="shared" ca="1" si="405"/>
        <v>-9.0843682665375916</v>
      </c>
    </row>
    <row r="885" spans="1:34" x14ac:dyDescent="0.2">
      <c r="A885" s="347">
        <f t="shared" ca="1" si="383"/>
        <v>1E-4</v>
      </c>
      <c r="B885" s="304">
        <f t="shared" ca="1" si="384"/>
        <v>32.549800000001824</v>
      </c>
      <c r="D885" s="306">
        <f t="shared" ca="1" si="385"/>
        <v>-0.55681662258085807</v>
      </c>
      <c r="E885" s="307">
        <f t="shared" ca="1" si="386"/>
        <v>-0.74269044241355786</v>
      </c>
      <c r="F885" s="304">
        <f t="shared" ca="1" si="387"/>
        <v>0.92824234143611439</v>
      </c>
      <c r="G885" s="306">
        <f t="shared" ca="1" si="388"/>
        <v>5.9382669216927599</v>
      </c>
      <c r="H885" s="307">
        <f t="shared" ca="1" si="389"/>
        <v>-96.70086787657273</v>
      </c>
      <c r="I885" s="304">
        <f t="shared" ca="1" si="390"/>
        <v>96.883026697743333</v>
      </c>
      <c r="J885" s="306">
        <f t="shared" ca="1" si="391"/>
        <v>588.9746359926213</v>
      </c>
      <c r="K885" s="307">
        <f t="shared" ca="1" si="392"/>
        <v>-12.200187905167736</v>
      </c>
      <c r="L885" s="304">
        <f t="shared" ca="1" si="377"/>
        <v>589.1009815197749</v>
      </c>
      <c r="M885" s="306">
        <f t="shared" ca="1" si="393"/>
        <v>-1.5094647228791471</v>
      </c>
      <c r="N885" s="304">
        <f t="shared" ca="1" si="394"/>
        <v>-86.485957944859521</v>
      </c>
      <c r="P885" s="310">
        <f t="shared" ca="1" si="395"/>
        <v>23</v>
      </c>
      <c r="Q885" s="304">
        <f t="shared" ca="1" si="396"/>
        <v>0</v>
      </c>
      <c r="R885" s="306">
        <f t="shared" ca="1" si="397"/>
        <v>0</v>
      </c>
      <c r="S885" s="307">
        <f t="shared" ca="1" si="398"/>
        <v>2.5949999999999998</v>
      </c>
      <c r="T885" s="304">
        <f t="shared" ca="1" si="378"/>
        <v>25.456949999999999</v>
      </c>
      <c r="U885" s="311">
        <f t="shared" ca="1" si="379"/>
        <v>0</v>
      </c>
      <c r="V885" s="306">
        <f t="shared" ca="1" si="380"/>
        <v>1.2264954352479343</v>
      </c>
      <c r="W885" s="304">
        <f t="shared" ca="1" si="381"/>
        <v>23.574050073410429</v>
      </c>
      <c r="Y885" s="314" t="str">
        <f t="shared" ca="1" si="399"/>
        <v/>
      </c>
      <c r="Z885" s="315" t="str">
        <f t="shared" ca="1" si="400"/>
        <v/>
      </c>
      <c r="AA885" s="316" t="str">
        <f t="shared" ca="1" si="401"/>
        <v/>
      </c>
      <c r="AC885" s="310" t="e">
        <f t="shared" ca="1" si="402"/>
        <v>#N/A</v>
      </c>
      <c r="AD885" s="323" t="e">
        <f t="shared" ca="1" si="403"/>
        <v>#N/A</v>
      </c>
      <c r="AE885" s="324" t="e">
        <f t="shared" ca="1" si="382"/>
        <v>#N/A</v>
      </c>
      <c r="AG885" s="306">
        <f t="shared" ca="1" si="404"/>
        <v>0.70716461689682575</v>
      </c>
      <c r="AH885" s="304">
        <f t="shared" ca="1" si="405"/>
        <v>-9.0843903132946018</v>
      </c>
    </row>
    <row r="886" spans="1:34" x14ac:dyDescent="0.2">
      <c r="A886" s="347">
        <f t="shared" ca="1" si="383"/>
        <v>1E-4</v>
      </c>
      <c r="B886" s="304">
        <f t="shared" ca="1" si="384"/>
        <v>32.549900000001827</v>
      </c>
      <c r="D886" s="306">
        <f t="shared" ca="1" si="385"/>
        <v>-0.55681234636587318</v>
      </c>
      <c r="E886" s="307">
        <f t="shared" ca="1" si="386"/>
        <v>-0.74266809188462801</v>
      </c>
      <c r="F886" s="304">
        <f t="shared" ca="1" si="387"/>
        <v>0.92822189360573881</v>
      </c>
      <c r="G886" s="306">
        <f t="shared" ca="1" si="388"/>
        <v>5.9382112404581235</v>
      </c>
      <c r="H886" s="307">
        <f t="shared" ca="1" si="389"/>
        <v>-96.700942143381923</v>
      </c>
      <c r="I886" s="304">
        <f t="shared" ca="1" si="390"/>
        <v>96.883097412056358</v>
      </c>
      <c r="J886" s="306">
        <f t="shared" ca="1" si="391"/>
        <v>588.9746359926213</v>
      </c>
      <c r="K886" s="307">
        <f t="shared" ca="1" si="392"/>
        <v>-12.209857995668735</v>
      </c>
      <c r="L886" s="304">
        <f t="shared" ca="1" si="377"/>
        <v>589.10118186514876</v>
      </c>
      <c r="M886" s="306">
        <f t="shared" ca="1" si="393"/>
        <v>-1.5094653435094967</v>
      </c>
      <c r="N886" s="304">
        <f t="shared" ca="1" si="394"/>
        <v>-86.485993504359186</v>
      </c>
      <c r="P886" s="310">
        <f t="shared" ca="1" si="395"/>
        <v>23</v>
      </c>
      <c r="Q886" s="304">
        <f t="shared" ca="1" si="396"/>
        <v>0</v>
      </c>
      <c r="R886" s="306">
        <f t="shared" ca="1" si="397"/>
        <v>0</v>
      </c>
      <c r="S886" s="307">
        <f t="shared" ca="1" si="398"/>
        <v>2.5949999999999998</v>
      </c>
      <c r="T886" s="304">
        <f t="shared" ca="1" si="378"/>
        <v>25.456949999999999</v>
      </c>
      <c r="U886" s="311">
        <f t="shared" ca="1" si="379"/>
        <v>0</v>
      </c>
      <c r="V886" s="306">
        <f t="shared" ca="1" si="380"/>
        <v>1.2264966212811352</v>
      </c>
      <c r="W886" s="304">
        <f t="shared" ca="1" si="381"/>
        <v>23.574107282897881</v>
      </c>
      <c r="Y886" s="314" t="str">
        <f t="shared" ca="1" si="399"/>
        <v/>
      </c>
      <c r="Z886" s="315" t="str">
        <f t="shared" ca="1" si="400"/>
        <v/>
      </c>
      <c r="AA886" s="316" t="str">
        <f t="shared" ca="1" si="401"/>
        <v/>
      </c>
      <c r="AC886" s="310" t="e">
        <f t="shared" ca="1" si="402"/>
        <v>#N/A</v>
      </c>
      <c r="AD886" s="323" t="e">
        <f t="shared" ca="1" si="403"/>
        <v>#N/A</v>
      </c>
      <c r="AE886" s="324" t="e">
        <f t="shared" ca="1" si="382"/>
        <v>#N/A</v>
      </c>
      <c r="AG886" s="306">
        <f t="shared" ca="1" si="404"/>
        <v>0.70714294367790487</v>
      </c>
      <c r="AH886" s="304">
        <f t="shared" ca="1" si="405"/>
        <v>-9.0844123596957349</v>
      </c>
    </row>
    <row r="887" spans="1:34" x14ac:dyDescent="0.2">
      <c r="A887" s="347">
        <f t="shared" ca="1" si="383"/>
        <v>1E-4</v>
      </c>
      <c r="B887" s="304">
        <f t="shared" ca="1" si="384"/>
        <v>32.55000000000183</v>
      </c>
      <c r="D887" s="306">
        <f t="shared" ca="1" si="385"/>
        <v>-0.55680807016253198</v>
      </c>
      <c r="E887" s="307">
        <f t="shared" ca="1" si="386"/>
        <v>-0.74264574171646025</v>
      </c>
      <c r="F887" s="304">
        <f t="shared" ca="1" si="387"/>
        <v>0.92820144617842226</v>
      </c>
      <c r="G887" s="306">
        <f t="shared" ca="1" si="388"/>
        <v>5.9381555596511069</v>
      </c>
      <c r="H887" s="307">
        <f t="shared" ca="1" si="389"/>
        <v>-96.701016407956089</v>
      </c>
      <c r="I887" s="304">
        <f t="shared" ca="1" si="390"/>
        <v>96.883168124202101</v>
      </c>
      <c r="J887" s="306">
        <f t="shared" ca="1" si="391"/>
        <v>588.9746359926213</v>
      </c>
      <c r="K887" s="307">
        <f t="shared" ca="1" si="392"/>
        <v>-12.219528093596301</v>
      </c>
      <c r="L887" s="304">
        <f t="shared" ca="1" si="377"/>
        <v>589.10138236934301</v>
      </c>
      <c r="M887" s="306">
        <f t="shared" ca="1" si="393"/>
        <v>-1.509465964133121</v>
      </c>
      <c r="N887" s="304">
        <f t="shared" ca="1" si="394"/>
        <v>-86.486029063473524</v>
      </c>
      <c r="P887" s="310">
        <f t="shared" ca="1" si="395"/>
        <v>23</v>
      </c>
      <c r="Q887" s="304">
        <f t="shared" ca="1" si="396"/>
        <v>0</v>
      </c>
      <c r="R887" s="306">
        <f t="shared" ca="1" si="397"/>
        <v>0</v>
      </c>
      <c r="S887" s="307">
        <f t="shared" ca="1" si="398"/>
        <v>2.5949999999999998</v>
      </c>
      <c r="T887" s="304">
        <f t="shared" ca="1" si="378"/>
        <v>25.456949999999999</v>
      </c>
      <c r="U887" s="311">
        <f t="shared" ca="1" si="379"/>
        <v>0</v>
      </c>
      <c r="V887" s="306">
        <f t="shared" ca="1" si="380"/>
        <v>1.2264978073163946</v>
      </c>
      <c r="W887" s="304">
        <f t="shared" ca="1" si="381"/>
        <v>23.574164491461861</v>
      </c>
      <c r="Y887" s="314" t="str">
        <f t="shared" ca="1" si="399"/>
        <v/>
      </c>
      <c r="Z887" s="315" t="str">
        <f t="shared" ca="1" si="400"/>
        <v/>
      </c>
      <c r="AA887" s="316" t="str">
        <f t="shared" ca="1" si="401"/>
        <v/>
      </c>
      <c r="AC887" s="310" t="e">
        <f t="shared" ca="1" si="402"/>
        <v>#N/A</v>
      </c>
      <c r="AD887" s="323" t="e">
        <f t="shared" ca="1" si="403"/>
        <v>#N/A</v>
      </c>
      <c r="AE887" s="324" t="e">
        <f t="shared" ca="1" si="382"/>
        <v>#N/A</v>
      </c>
      <c r="AG887" s="306">
        <f t="shared" ca="1" si="404"/>
        <v>0.70712127080703979</v>
      </c>
      <c r="AH887" s="304">
        <f t="shared" ca="1" si="405"/>
        <v>-9.0844344057409963</v>
      </c>
    </row>
    <row r="888" spans="1:34" x14ac:dyDescent="0.2">
      <c r="A888" s="347">
        <f t="shared" ca="1" si="383"/>
        <v>1E-4</v>
      </c>
      <c r="B888" s="304">
        <f t="shared" ca="1" si="384"/>
        <v>32.550100000001834</v>
      </c>
      <c r="D888" s="306">
        <f t="shared" ca="1" si="385"/>
        <v>-0.55680379397083168</v>
      </c>
      <c r="E888" s="307">
        <f t="shared" ca="1" si="386"/>
        <v>-0.74262339190904925</v>
      </c>
      <c r="F888" s="304">
        <f t="shared" ca="1" si="387"/>
        <v>0.92818099915415941</v>
      </c>
      <c r="G888" s="306">
        <f t="shared" ca="1" si="388"/>
        <v>5.9380998792717099</v>
      </c>
      <c r="H888" s="307">
        <f t="shared" ca="1" si="389"/>
        <v>-96.701090670295287</v>
      </c>
      <c r="I888" s="304">
        <f t="shared" ca="1" si="390"/>
        <v>96.883238834180588</v>
      </c>
      <c r="J888" s="306">
        <f t="shared" ca="1" si="391"/>
        <v>588.9746359926213</v>
      </c>
      <c r="K888" s="307">
        <f t="shared" ca="1" si="392"/>
        <v>-12.229198198950213</v>
      </c>
      <c r="L888" s="304">
        <f t="shared" ca="1" si="377"/>
        <v>589.10158303235778</v>
      </c>
      <c r="M888" s="306">
        <f t="shared" ca="1" si="393"/>
        <v>-1.5094665847500197</v>
      </c>
      <c r="N888" s="304">
        <f t="shared" ca="1" si="394"/>
        <v>-86.48606462220252</v>
      </c>
      <c r="P888" s="310">
        <f t="shared" ca="1" si="395"/>
        <v>23</v>
      </c>
      <c r="Q888" s="304">
        <f t="shared" ca="1" si="396"/>
        <v>0</v>
      </c>
      <c r="R888" s="306">
        <f t="shared" ca="1" si="397"/>
        <v>0</v>
      </c>
      <c r="S888" s="307">
        <f t="shared" ca="1" si="398"/>
        <v>2.5949999999999998</v>
      </c>
      <c r="T888" s="304">
        <f t="shared" ca="1" si="378"/>
        <v>25.456949999999999</v>
      </c>
      <c r="U888" s="311">
        <f t="shared" ca="1" si="379"/>
        <v>0</v>
      </c>
      <c r="V888" s="306">
        <f t="shared" ca="1" si="380"/>
        <v>1.2264989933537127</v>
      </c>
      <c r="W888" s="304">
        <f t="shared" ca="1" si="381"/>
        <v>23.574221699102381</v>
      </c>
      <c r="Y888" s="314" t="str">
        <f t="shared" ca="1" si="399"/>
        <v/>
      </c>
      <c r="Z888" s="315" t="str">
        <f t="shared" ca="1" si="400"/>
        <v/>
      </c>
      <c r="AA888" s="316" t="str">
        <f t="shared" ca="1" si="401"/>
        <v/>
      </c>
      <c r="AC888" s="310" t="e">
        <f t="shared" ca="1" si="402"/>
        <v>#N/A</v>
      </c>
      <c r="AD888" s="323" t="e">
        <f t="shared" ca="1" si="403"/>
        <v>#N/A</v>
      </c>
      <c r="AE888" s="324" t="e">
        <f t="shared" ca="1" si="382"/>
        <v>#N/A</v>
      </c>
      <c r="AG888" s="306">
        <f t="shared" ca="1" si="404"/>
        <v>0.70709959828422519</v>
      </c>
      <c r="AH888" s="304">
        <f t="shared" ca="1" si="405"/>
        <v>-9.0844564514303912</v>
      </c>
    </row>
    <row r="889" spans="1:34" x14ac:dyDescent="0.2">
      <c r="A889" s="347">
        <f t="shared" ca="1" si="383"/>
        <v>1E-4</v>
      </c>
      <c r="B889" s="304">
        <f t="shared" ca="1" si="384"/>
        <v>32.550200000001837</v>
      </c>
      <c r="D889" s="306">
        <f t="shared" ca="1" si="385"/>
        <v>-0.55679951779077608</v>
      </c>
      <c r="E889" s="307">
        <f t="shared" ca="1" si="386"/>
        <v>-0.74260104246239145</v>
      </c>
      <c r="F889" s="304">
        <f t="shared" ca="1" si="387"/>
        <v>0.92816055253295016</v>
      </c>
      <c r="G889" s="306">
        <f t="shared" ca="1" si="388"/>
        <v>5.9380441993199309</v>
      </c>
      <c r="H889" s="307">
        <f t="shared" ca="1" si="389"/>
        <v>-96.701164930399528</v>
      </c>
      <c r="I889" s="304">
        <f t="shared" ca="1" si="390"/>
        <v>96.883309541991849</v>
      </c>
      <c r="J889" s="306">
        <f t="shared" ca="1" si="391"/>
        <v>588.9746359926213</v>
      </c>
      <c r="K889" s="307">
        <f t="shared" ca="1" si="392"/>
        <v>-12.238868311730247</v>
      </c>
      <c r="L889" s="304">
        <f t="shared" ca="1" si="377"/>
        <v>589.10178385419329</v>
      </c>
      <c r="M889" s="306">
        <f t="shared" ca="1" si="393"/>
        <v>-1.5094672053601934</v>
      </c>
      <c r="N889" s="304">
        <f t="shared" ca="1" si="394"/>
        <v>-86.486100180546202</v>
      </c>
      <c r="P889" s="310">
        <f t="shared" ca="1" si="395"/>
        <v>23</v>
      </c>
      <c r="Q889" s="304">
        <f t="shared" ca="1" si="396"/>
        <v>0</v>
      </c>
      <c r="R889" s="306">
        <f t="shared" ca="1" si="397"/>
        <v>0</v>
      </c>
      <c r="S889" s="307">
        <f t="shared" ca="1" si="398"/>
        <v>2.5949999999999998</v>
      </c>
      <c r="T889" s="304">
        <f t="shared" ca="1" si="378"/>
        <v>25.456949999999999</v>
      </c>
      <c r="U889" s="311">
        <f t="shared" ca="1" si="379"/>
        <v>0</v>
      </c>
      <c r="V889" s="306">
        <f t="shared" ca="1" si="380"/>
        <v>1.226500179393089</v>
      </c>
      <c r="W889" s="304">
        <f t="shared" ca="1" si="381"/>
        <v>23.574278905819444</v>
      </c>
      <c r="Y889" s="314" t="str">
        <f t="shared" ca="1" si="399"/>
        <v/>
      </c>
      <c r="Z889" s="315" t="str">
        <f t="shared" ca="1" si="400"/>
        <v/>
      </c>
      <c r="AA889" s="316" t="str">
        <f t="shared" ca="1" si="401"/>
        <v/>
      </c>
      <c r="AC889" s="310" t="e">
        <f t="shared" ca="1" si="402"/>
        <v>#N/A</v>
      </c>
      <c r="AD889" s="323" t="e">
        <f t="shared" ca="1" si="403"/>
        <v>#N/A</v>
      </c>
      <c r="AE889" s="324" t="e">
        <f t="shared" ca="1" si="382"/>
        <v>#N/A</v>
      </c>
      <c r="AG889" s="306">
        <f t="shared" ca="1" si="404"/>
        <v>0.70707792610945752</v>
      </c>
      <c r="AH889" s="304">
        <f t="shared" ca="1" si="405"/>
        <v>-9.0844784967639249</v>
      </c>
    </row>
    <row r="890" spans="1:34" x14ac:dyDescent="0.2">
      <c r="A890" s="347">
        <f t="shared" ca="1" si="383"/>
        <v>1E-4</v>
      </c>
      <c r="B890" s="304">
        <f t="shared" ca="1" si="384"/>
        <v>32.55030000000184</v>
      </c>
      <c r="D890" s="306">
        <f t="shared" ca="1" si="385"/>
        <v>-0.55679524162236194</v>
      </c>
      <c r="E890" s="307">
        <f t="shared" ca="1" si="386"/>
        <v>-0.74257869337648685</v>
      </c>
      <c r="F890" s="304">
        <f t="shared" ca="1" si="387"/>
        <v>0.92814010631479271</v>
      </c>
      <c r="G890" s="306">
        <f t="shared" ca="1" si="388"/>
        <v>5.9379885197957689</v>
      </c>
      <c r="H890" s="307">
        <f t="shared" ca="1" si="389"/>
        <v>-96.701239188268872</v>
      </c>
      <c r="I890" s="304">
        <f t="shared" ca="1" si="390"/>
        <v>96.883380247635927</v>
      </c>
      <c r="J890" s="306">
        <f t="shared" ca="1" si="391"/>
        <v>588.9746359926213</v>
      </c>
      <c r="K890" s="307">
        <f t="shared" ca="1" si="392"/>
        <v>-12.248538431936181</v>
      </c>
      <c r="L890" s="304">
        <f t="shared" ca="1" si="377"/>
        <v>589.10198483484965</v>
      </c>
      <c r="M890" s="306">
        <f t="shared" ca="1" si="393"/>
        <v>-1.5094678259636418</v>
      </c>
      <c r="N890" s="304">
        <f t="shared" ca="1" si="394"/>
        <v>-86.486135738504544</v>
      </c>
      <c r="P890" s="310">
        <f t="shared" ca="1" si="395"/>
        <v>23</v>
      </c>
      <c r="Q890" s="304">
        <f t="shared" ca="1" si="396"/>
        <v>0</v>
      </c>
      <c r="R890" s="306">
        <f t="shared" ca="1" si="397"/>
        <v>0</v>
      </c>
      <c r="S890" s="307">
        <f t="shared" ca="1" si="398"/>
        <v>2.5949999999999998</v>
      </c>
      <c r="T890" s="304">
        <f t="shared" ca="1" si="378"/>
        <v>25.456949999999999</v>
      </c>
      <c r="U890" s="311">
        <f t="shared" ca="1" si="379"/>
        <v>0</v>
      </c>
      <c r="V890" s="306">
        <f t="shared" ca="1" si="380"/>
        <v>1.2265013654345236</v>
      </c>
      <c r="W890" s="304">
        <f t="shared" ca="1" si="381"/>
        <v>23.574336111613061</v>
      </c>
      <c r="Y890" s="314" t="str">
        <f t="shared" ca="1" si="399"/>
        <v/>
      </c>
      <c r="Z890" s="315" t="str">
        <f t="shared" ca="1" si="400"/>
        <v/>
      </c>
      <c r="AA890" s="316" t="str">
        <f t="shared" ca="1" si="401"/>
        <v/>
      </c>
      <c r="AC890" s="310" t="e">
        <f t="shared" ca="1" si="402"/>
        <v>#N/A</v>
      </c>
      <c r="AD890" s="323" t="e">
        <f t="shared" ca="1" si="403"/>
        <v>#N/A</v>
      </c>
      <c r="AE890" s="324" t="e">
        <f t="shared" ca="1" si="382"/>
        <v>#N/A</v>
      </c>
      <c r="AG890" s="306">
        <f t="shared" ca="1" si="404"/>
        <v>0.70705625428273677</v>
      </c>
      <c r="AH890" s="304">
        <f t="shared" ca="1" si="405"/>
        <v>-9.0845005417415976</v>
      </c>
    </row>
    <row r="891" spans="1:34" x14ac:dyDescent="0.2">
      <c r="A891" s="347">
        <f t="shared" ca="1" si="383"/>
        <v>1E-4</v>
      </c>
      <c r="B891" s="304">
        <f t="shared" ca="1" si="384"/>
        <v>32.550400000001844</v>
      </c>
      <c r="D891" s="306">
        <f t="shared" ca="1" si="385"/>
        <v>-0.55679096546559292</v>
      </c>
      <c r="E891" s="307">
        <f t="shared" ca="1" si="386"/>
        <v>-0.74255634465132481</v>
      </c>
      <c r="F891" s="304">
        <f t="shared" ca="1" si="387"/>
        <v>0.92811966049968153</v>
      </c>
      <c r="G891" s="306">
        <f t="shared" ca="1" si="388"/>
        <v>5.9379328406992222</v>
      </c>
      <c r="H891" s="307">
        <f t="shared" ca="1" si="389"/>
        <v>-96.701313443903331</v>
      </c>
      <c r="I891" s="304">
        <f t="shared" ca="1" si="390"/>
        <v>96.883450951112877</v>
      </c>
      <c r="J891" s="306">
        <f t="shared" ca="1" si="391"/>
        <v>588.9746359926213</v>
      </c>
      <c r="K891" s="307">
        <f t="shared" ca="1" si="392"/>
        <v>-12.258208559567789</v>
      </c>
      <c r="L891" s="304">
        <f t="shared" ca="1" si="377"/>
        <v>589.10218597432709</v>
      </c>
      <c r="M891" s="306">
        <f t="shared" ca="1" si="393"/>
        <v>-1.5094684465603654</v>
      </c>
      <c r="N891" s="304">
        <f t="shared" ca="1" si="394"/>
        <v>-86.486171296077586</v>
      </c>
      <c r="P891" s="310">
        <f t="shared" ca="1" si="395"/>
        <v>23</v>
      </c>
      <c r="Q891" s="304">
        <f t="shared" ca="1" si="396"/>
        <v>0</v>
      </c>
      <c r="R891" s="306">
        <f t="shared" ca="1" si="397"/>
        <v>0</v>
      </c>
      <c r="S891" s="307">
        <f t="shared" ca="1" si="398"/>
        <v>2.5949999999999998</v>
      </c>
      <c r="T891" s="304">
        <f t="shared" ca="1" si="378"/>
        <v>25.456949999999999</v>
      </c>
      <c r="U891" s="311">
        <f t="shared" ca="1" si="379"/>
        <v>0</v>
      </c>
      <c r="V891" s="306">
        <f t="shared" ca="1" si="380"/>
        <v>1.2265025514780166</v>
      </c>
      <c r="W891" s="304">
        <f t="shared" ca="1" si="381"/>
        <v>23.574393316483256</v>
      </c>
      <c r="Y891" s="314" t="str">
        <f t="shared" ca="1" si="399"/>
        <v/>
      </c>
      <c r="Z891" s="315" t="str">
        <f t="shared" ca="1" si="400"/>
        <v/>
      </c>
      <c r="AA891" s="316" t="str">
        <f t="shared" ca="1" si="401"/>
        <v/>
      </c>
      <c r="AC891" s="310" t="e">
        <f t="shared" ca="1" si="402"/>
        <v>#N/A</v>
      </c>
      <c r="AD891" s="323" t="e">
        <f t="shared" ca="1" si="403"/>
        <v>#N/A</v>
      </c>
      <c r="AE891" s="324" t="e">
        <f t="shared" ca="1" si="382"/>
        <v>#N/A</v>
      </c>
      <c r="AG891" s="306">
        <f t="shared" ca="1" si="404"/>
        <v>0.70703458280405407</v>
      </c>
      <c r="AH891" s="304">
        <f t="shared" ca="1" si="405"/>
        <v>-9.0845225863634163</v>
      </c>
    </row>
    <row r="892" spans="1:34" x14ac:dyDescent="0.2">
      <c r="A892" s="347">
        <f t="shared" ca="1" si="383"/>
        <v>1E-4</v>
      </c>
      <c r="B892" s="304">
        <f t="shared" ca="1" si="384"/>
        <v>32.550500000001847</v>
      </c>
      <c r="D892" s="306">
        <f t="shared" ca="1" si="385"/>
        <v>-0.5567866893204666</v>
      </c>
      <c r="E892" s="307">
        <f t="shared" ca="1" si="386"/>
        <v>-0.74253399628690353</v>
      </c>
      <c r="F892" s="304">
        <f t="shared" ca="1" si="387"/>
        <v>0.92809921508761395</v>
      </c>
      <c r="G892" s="306">
        <f t="shared" ca="1" si="388"/>
        <v>5.9378771620302899</v>
      </c>
      <c r="H892" s="307">
        <f t="shared" ca="1" si="389"/>
        <v>-96.701387697302962</v>
      </c>
      <c r="I892" s="304">
        <f t="shared" ca="1" si="390"/>
        <v>96.883521652422701</v>
      </c>
      <c r="J892" s="306">
        <f t="shared" ca="1" si="391"/>
        <v>588.9746359926213</v>
      </c>
      <c r="K892" s="307">
        <f t="shared" ca="1" si="392"/>
        <v>-12.26787869462485</v>
      </c>
      <c r="L892" s="304">
        <f t="shared" ca="1" si="377"/>
        <v>589.10238727262583</v>
      </c>
      <c r="M892" s="306">
        <f t="shared" ca="1" si="393"/>
        <v>-1.5094690671503639</v>
      </c>
      <c r="N892" s="304">
        <f t="shared" ca="1" si="394"/>
        <v>-86.486206853265301</v>
      </c>
      <c r="P892" s="310">
        <f t="shared" ca="1" si="395"/>
        <v>23</v>
      </c>
      <c r="Q892" s="304">
        <f t="shared" ca="1" si="396"/>
        <v>0</v>
      </c>
      <c r="R892" s="306">
        <f t="shared" ca="1" si="397"/>
        <v>0</v>
      </c>
      <c r="S892" s="307">
        <f t="shared" ca="1" si="398"/>
        <v>2.5949999999999998</v>
      </c>
      <c r="T892" s="304">
        <f t="shared" ca="1" si="378"/>
        <v>25.456949999999999</v>
      </c>
      <c r="U892" s="311">
        <f t="shared" ca="1" si="379"/>
        <v>0</v>
      </c>
      <c r="V892" s="306">
        <f t="shared" ca="1" si="380"/>
        <v>1.2265037375235679</v>
      </c>
      <c r="W892" s="304">
        <f t="shared" ca="1" si="381"/>
        <v>23.574450520430034</v>
      </c>
      <c r="Y892" s="314" t="str">
        <f t="shared" ca="1" si="399"/>
        <v/>
      </c>
      <c r="Z892" s="315" t="str">
        <f t="shared" ca="1" si="400"/>
        <v/>
      </c>
      <c r="AA892" s="316" t="str">
        <f t="shared" ca="1" si="401"/>
        <v/>
      </c>
      <c r="AC892" s="310" t="e">
        <f t="shared" ca="1" si="402"/>
        <v>#N/A</v>
      </c>
      <c r="AD892" s="323" t="e">
        <f t="shared" ca="1" si="403"/>
        <v>#N/A</v>
      </c>
      <c r="AE892" s="324" t="e">
        <f t="shared" ca="1" si="382"/>
        <v>#N/A</v>
      </c>
      <c r="AG892" s="306">
        <f t="shared" ca="1" si="404"/>
        <v>0.70701291167340585</v>
      </c>
      <c r="AH892" s="304">
        <f t="shared" ca="1" si="405"/>
        <v>-9.0845446306293862</v>
      </c>
    </row>
    <row r="893" spans="1:34" x14ac:dyDescent="0.2">
      <c r="A893" s="347">
        <f t="shared" ca="1" si="383"/>
        <v>1E-4</v>
      </c>
      <c r="B893" s="304">
        <f t="shared" ca="1" si="384"/>
        <v>32.55060000000185</v>
      </c>
      <c r="D893" s="306">
        <f t="shared" ca="1" si="385"/>
        <v>-0.55678241318698629</v>
      </c>
      <c r="E893" s="307">
        <f t="shared" ca="1" si="386"/>
        <v>-0.74251164828321592</v>
      </c>
      <c r="F893" s="304">
        <f t="shared" ca="1" si="387"/>
        <v>0.92807877007858663</v>
      </c>
      <c r="G893" s="306">
        <f t="shared" ca="1" si="388"/>
        <v>5.9378214837889711</v>
      </c>
      <c r="H893" s="307">
        <f t="shared" ca="1" si="389"/>
        <v>-96.701461948467795</v>
      </c>
      <c r="I893" s="304">
        <f t="shared" ca="1" si="390"/>
        <v>96.88359235156544</v>
      </c>
      <c r="J893" s="306">
        <f t="shared" ca="1" si="391"/>
        <v>588.9746359926213</v>
      </c>
      <c r="K893" s="307">
        <f t="shared" ca="1" si="392"/>
        <v>-12.277548837107139</v>
      </c>
      <c r="L893" s="304">
        <f t="shared" ca="1" si="377"/>
        <v>589.102588729746</v>
      </c>
      <c r="M893" s="306">
        <f t="shared" ca="1" si="393"/>
        <v>-1.5094696877336373</v>
      </c>
      <c r="N893" s="304">
        <f t="shared" ca="1" si="394"/>
        <v>-86.486242410067703</v>
      </c>
      <c r="P893" s="310">
        <f t="shared" ca="1" si="395"/>
        <v>23</v>
      </c>
      <c r="Q893" s="304">
        <f t="shared" ca="1" si="396"/>
        <v>0</v>
      </c>
      <c r="R893" s="306">
        <f t="shared" ca="1" si="397"/>
        <v>0</v>
      </c>
      <c r="S893" s="307">
        <f t="shared" ca="1" si="398"/>
        <v>2.5949999999999998</v>
      </c>
      <c r="T893" s="304">
        <f t="shared" ca="1" si="378"/>
        <v>25.456949999999999</v>
      </c>
      <c r="U893" s="311">
        <f t="shared" ca="1" si="379"/>
        <v>0</v>
      </c>
      <c r="V893" s="306">
        <f t="shared" ca="1" si="380"/>
        <v>1.226504923571178</v>
      </c>
      <c r="W893" s="304">
        <f t="shared" ca="1" si="381"/>
        <v>23.574507723453408</v>
      </c>
      <c r="Y893" s="314" t="str">
        <f t="shared" ca="1" si="399"/>
        <v/>
      </c>
      <c r="Z893" s="315" t="str">
        <f t="shared" ca="1" si="400"/>
        <v/>
      </c>
      <c r="AA893" s="316" t="str">
        <f t="shared" ca="1" si="401"/>
        <v/>
      </c>
      <c r="AC893" s="310" t="e">
        <f t="shared" ca="1" si="402"/>
        <v>#N/A</v>
      </c>
      <c r="AD893" s="323" t="e">
        <f t="shared" ca="1" si="403"/>
        <v>#N/A</v>
      </c>
      <c r="AE893" s="324" t="e">
        <f t="shared" ca="1" si="382"/>
        <v>#N/A</v>
      </c>
      <c r="AG893" s="306">
        <f t="shared" ca="1" si="404"/>
        <v>0.70699124089078502</v>
      </c>
      <c r="AH893" s="304">
        <f t="shared" ca="1" si="405"/>
        <v>-9.0845666745395128</v>
      </c>
    </row>
    <row r="894" spans="1:34" x14ac:dyDescent="0.2">
      <c r="A894" s="347">
        <f t="shared" ca="1" si="383"/>
        <v>1E-4</v>
      </c>
      <c r="B894" s="304">
        <f t="shared" ca="1" si="384"/>
        <v>32.550700000001854</v>
      </c>
      <c r="D894" s="306">
        <f t="shared" ca="1" si="385"/>
        <v>-0.55677813706515333</v>
      </c>
      <c r="E894" s="307">
        <f t="shared" ca="1" si="386"/>
        <v>-0.74248930064025842</v>
      </c>
      <c r="F894" s="304">
        <f t="shared" ca="1" si="387"/>
        <v>0.92805832547259803</v>
      </c>
      <c r="G894" s="306">
        <f t="shared" ca="1" si="388"/>
        <v>5.9377658059752649</v>
      </c>
      <c r="H894" s="307">
        <f t="shared" ca="1" si="389"/>
        <v>-96.701536197397857</v>
      </c>
      <c r="I894" s="304">
        <f t="shared" ca="1" si="390"/>
        <v>96.883663048541138</v>
      </c>
      <c r="J894" s="306">
        <f t="shared" ca="1" si="391"/>
        <v>588.9746359926213</v>
      </c>
      <c r="K894" s="307">
        <f t="shared" ca="1" si="392"/>
        <v>-12.287218987014432</v>
      </c>
      <c r="L894" s="304">
        <f t="shared" ca="1" si="377"/>
        <v>589.10279034568794</v>
      </c>
      <c r="M894" s="306">
        <f t="shared" ca="1" si="393"/>
        <v>-1.5094703083101861</v>
      </c>
      <c r="N894" s="304">
        <f t="shared" ca="1" si="394"/>
        <v>-86.48627796648482</v>
      </c>
      <c r="P894" s="310">
        <f t="shared" ca="1" si="395"/>
        <v>23</v>
      </c>
      <c r="Q894" s="304">
        <f t="shared" ca="1" si="396"/>
        <v>0</v>
      </c>
      <c r="R894" s="306">
        <f t="shared" ca="1" si="397"/>
        <v>0</v>
      </c>
      <c r="S894" s="307">
        <f t="shared" ca="1" si="398"/>
        <v>2.5949999999999998</v>
      </c>
      <c r="T894" s="304">
        <f t="shared" ca="1" si="378"/>
        <v>25.456949999999999</v>
      </c>
      <c r="U894" s="311">
        <f t="shared" ca="1" si="379"/>
        <v>0</v>
      </c>
      <c r="V894" s="306">
        <f t="shared" ca="1" si="380"/>
        <v>1.2265061096208458</v>
      </c>
      <c r="W894" s="304">
        <f t="shared" ca="1" si="381"/>
        <v>23.574564925553371</v>
      </c>
      <c r="Y894" s="314" t="str">
        <f t="shared" ca="1" si="399"/>
        <v/>
      </c>
      <c r="Z894" s="315" t="str">
        <f t="shared" ca="1" si="400"/>
        <v/>
      </c>
      <c r="AA894" s="316" t="str">
        <f t="shared" ca="1" si="401"/>
        <v/>
      </c>
      <c r="AC894" s="310" t="e">
        <f t="shared" ca="1" si="402"/>
        <v>#N/A</v>
      </c>
      <c r="AD894" s="323" t="e">
        <f t="shared" ca="1" si="403"/>
        <v>#N/A</v>
      </c>
      <c r="AE894" s="324" t="e">
        <f t="shared" ca="1" si="382"/>
        <v>#N/A</v>
      </c>
      <c r="AG894" s="306">
        <f t="shared" ca="1" si="404"/>
        <v>0.70696957045619158</v>
      </c>
      <c r="AH894" s="304">
        <f t="shared" ca="1" si="405"/>
        <v>-9.0845887180937996</v>
      </c>
    </row>
    <row r="895" spans="1:34" x14ac:dyDescent="0.2">
      <c r="A895" s="347">
        <f t="shared" ca="1" si="383"/>
        <v>1E-4</v>
      </c>
      <c r="B895" s="304">
        <f t="shared" ca="1" si="384"/>
        <v>32.550800000001857</v>
      </c>
      <c r="D895" s="306">
        <f t="shared" ca="1" si="385"/>
        <v>-0.55677386095496462</v>
      </c>
      <c r="E895" s="307">
        <f t="shared" ca="1" si="386"/>
        <v>-0.74246695335803281</v>
      </c>
      <c r="F895" s="304">
        <f t="shared" ca="1" si="387"/>
        <v>0.92803788126964815</v>
      </c>
      <c r="G895" s="306">
        <f t="shared" ca="1" si="388"/>
        <v>5.9377101285891696</v>
      </c>
      <c r="H895" s="307">
        <f t="shared" ca="1" si="389"/>
        <v>-96.701610444093191</v>
      </c>
      <c r="I895" s="304">
        <f t="shared" ca="1" si="390"/>
        <v>96.883733743349836</v>
      </c>
      <c r="J895" s="306">
        <f t="shared" ca="1" si="391"/>
        <v>588.9746359926213</v>
      </c>
      <c r="K895" s="307">
        <f t="shared" ca="1" si="392"/>
        <v>-12.296889144346506</v>
      </c>
      <c r="L895" s="304">
        <f t="shared" ca="1" si="377"/>
        <v>589.10299212045174</v>
      </c>
      <c r="M895" s="306">
        <f t="shared" ca="1" si="393"/>
        <v>-1.5094709288800103</v>
      </c>
      <c r="N895" s="304">
        <f t="shared" ca="1" si="394"/>
        <v>-86.486313522516639</v>
      </c>
      <c r="P895" s="310">
        <f t="shared" ca="1" si="395"/>
        <v>23</v>
      </c>
      <c r="Q895" s="304">
        <f t="shared" ca="1" si="396"/>
        <v>0</v>
      </c>
      <c r="R895" s="306">
        <f t="shared" ca="1" si="397"/>
        <v>0</v>
      </c>
      <c r="S895" s="307">
        <f t="shared" ca="1" si="398"/>
        <v>2.5949999999999998</v>
      </c>
      <c r="T895" s="304">
        <f t="shared" ca="1" si="378"/>
        <v>25.456949999999999</v>
      </c>
      <c r="U895" s="311">
        <f t="shared" ca="1" si="379"/>
        <v>0</v>
      </c>
      <c r="V895" s="306">
        <f t="shared" ca="1" si="380"/>
        <v>1.226507295672572</v>
      </c>
      <c r="W895" s="304">
        <f t="shared" ca="1" si="381"/>
        <v>23.574622126729967</v>
      </c>
      <c r="Y895" s="314" t="str">
        <f t="shared" ca="1" si="399"/>
        <v/>
      </c>
      <c r="Z895" s="315" t="str">
        <f t="shared" ca="1" si="400"/>
        <v/>
      </c>
      <c r="AA895" s="316" t="str">
        <f t="shared" ca="1" si="401"/>
        <v/>
      </c>
      <c r="AC895" s="310" t="e">
        <f t="shared" ca="1" si="402"/>
        <v>#N/A</v>
      </c>
      <c r="AD895" s="323" t="e">
        <f t="shared" ca="1" si="403"/>
        <v>#N/A</v>
      </c>
      <c r="AE895" s="324" t="e">
        <f t="shared" ca="1" si="382"/>
        <v>#N/A</v>
      </c>
      <c r="AG895" s="306">
        <f t="shared" ca="1" si="404"/>
        <v>0.70694790036962374</v>
      </c>
      <c r="AH895" s="304">
        <f t="shared" ca="1" si="405"/>
        <v>-9.0846107612922449</v>
      </c>
    </row>
    <row r="896" spans="1:34" x14ac:dyDescent="0.2">
      <c r="A896" s="347">
        <f t="shared" ca="1" si="383"/>
        <v>1E-4</v>
      </c>
      <c r="B896" s="304">
        <f t="shared" ca="1" si="384"/>
        <v>32.55090000000186</v>
      </c>
      <c r="D896" s="306">
        <f t="shared" ca="1" si="385"/>
        <v>-0.55676958485642236</v>
      </c>
      <c r="E896" s="307">
        <f t="shared" ca="1" si="386"/>
        <v>-0.74244460643652488</v>
      </c>
      <c r="F896" s="304">
        <f t="shared" ca="1" si="387"/>
        <v>0.92801743746972731</v>
      </c>
      <c r="G896" s="306">
        <f t="shared" ca="1" si="388"/>
        <v>5.9376544516306842</v>
      </c>
      <c r="H896" s="307">
        <f t="shared" ca="1" si="389"/>
        <v>-96.70168468855384</v>
      </c>
      <c r="I896" s="304">
        <f t="shared" ca="1" si="390"/>
        <v>96.883804435991564</v>
      </c>
      <c r="J896" s="306">
        <f t="shared" ca="1" si="391"/>
        <v>588.9746359926213</v>
      </c>
      <c r="K896" s="307">
        <f t="shared" ca="1" si="392"/>
        <v>-12.30655930910314</v>
      </c>
      <c r="L896" s="304">
        <f t="shared" ca="1" si="377"/>
        <v>589.10319405403777</v>
      </c>
      <c r="M896" s="306">
        <f t="shared" ca="1" si="393"/>
        <v>-1.5094715494431099</v>
      </c>
      <c r="N896" s="304">
        <f t="shared" ca="1" si="394"/>
        <v>-86.486349078163173</v>
      </c>
      <c r="P896" s="310">
        <f t="shared" ca="1" si="395"/>
        <v>23</v>
      </c>
      <c r="Q896" s="304">
        <f t="shared" ca="1" si="396"/>
        <v>0</v>
      </c>
      <c r="R896" s="306">
        <f t="shared" ca="1" si="397"/>
        <v>0</v>
      </c>
      <c r="S896" s="307">
        <f t="shared" ca="1" si="398"/>
        <v>2.5949999999999998</v>
      </c>
      <c r="T896" s="304">
        <f t="shared" ca="1" si="378"/>
        <v>25.456949999999999</v>
      </c>
      <c r="U896" s="311">
        <f t="shared" ca="1" si="379"/>
        <v>0</v>
      </c>
      <c r="V896" s="306">
        <f t="shared" ca="1" si="380"/>
        <v>1.2265084817263565</v>
      </c>
      <c r="W896" s="304">
        <f t="shared" ca="1" si="381"/>
        <v>23.57467932698319</v>
      </c>
      <c r="Y896" s="314" t="str">
        <f t="shared" ca="1" si="399"/>
        <v/>
      </c>
      <c r="Z896" s="315" t="str">
        <f t="shared" ca="1" si="400"/>
        <v/>
      </c>
      <c r="AA896" s="316" t="str">
        <f t="shared" ca="1" si="401"/>
        <v/>
      </c>
      <c r="AC896" s="310" t="e">
        <f t="shared" ca="1" si="402"/>
        <v>#N/A</v>
      </c>
      <c r="AD896" s="323" t="e">
        <f t="shared" ca="1" si="403"/>
        <v>#N/A</v>
      </c>
      <c r="AE896" s="324" t="e">
        <f t="shared" ca="1" si="382"/>
        <v>#N/A</v>
      </c>
      <c r="AG896" s="306">
        <f t="shared" ca="1" si="404"/>
        <v>0.70692623063107085</v>
      </c>
      <c r="AH896" s="304">
        <f t="shared" ca="1" si="405"/>
        <v>-9.0846328041348627</v>
      </c>
    </row>
    <row r="897" spans="1:34" x14ac:dyDescent="0.2">
      <c r="A897" s="347">
        <f t="shared" ca="1" si="383"/>
        <v>1E-4</v>
      </c>
      <c r="B897" s="304">
        <f t="shared" ca="1" si="384"/>
        <v>32.551000000001864</v>
      </c>
      <c r="D897" s="306">
        <f t="shared" ca="1" si="385"/>
        <v>-0.55676530876952757</v>
      </c>
      <c r="E897" s="307">
        <f t="shared" ca="1" si="386"/>
        <v>-0.74242225987573462</v>
      </c>
      <c r="F897" s="304">
        <f t="shared" ca="1" si="387"/>
        <v>0.92799699407283653</v>
      </c>
      <c r="G897" s="306">
        <f t="shared" ca="1" si="388"/>
        <v>5.9375987750998069</v>
      </c>
      <c r="H897" s="307">
        <f t="shared" ca="1" si="389"/>
        <v>-96.701758930779832</v>
      </c>
      <c r="I897" s="304">
        <f t="shared" ca="1" si="390"/>
        <v>96.883875126466336</v>
      </c>
      <c r="J897" s="306">
        <f t="shared" ca="1" si="391"/>
        <v>588.9746359926213</v>
      </c>
      <c r="K897" s="307">
        <f t="shared" ca="1" si="392"/>
        <v>-12.316229481284106</v>
      </c>
      <c r="L897" s="304">
        <f t="shared" ca="1" si="377"/>
        <v>589.1033961464459</v>
      </c>
      <c r="M897" s="306">
        <f t="shared" ca="1" si="393"/>
        <v>-1.5094721699994851</v>
      </c>
      <c r="N897" s="304">
        <f t="shared" ca="1" si="394"/>
        <v>-86.486384633424422</v>
      </c>
      <c r="P897" s="310">
        <f t="shared" ca="1" si="395"/>
        <v>23</v>
      </c>
      <c r="Q897" s="304">
        <f t="shared" ca="1" si="396"/>
        <v>0</v>
      </c>
      <c r="R897" s="306">
        <f t="shared" ca="1" si="397"/>
        <v>0</v>
      </c>
      <c r="S897" s="307">
        <f t="shared" ca="1" si="398"/>
        <v>2.5949999999999998</v>
      </c>
      <c r="T897" s="304">
        <f t="shared" ca="1" si="378"/>
        <v>25.456949999999999</v>
      </c>
      <c r="U897" s="311">
        <f t="shared" ca="1" si="379"/>
        <v>0</v>
      </c>
      <c r="V897" s="306">
        <f t="shared" ca="1" si="380"/>
        <v>1.2265096677821994</v>
      </c>
      <c r="W897" s="304">
        <f t="shared" ca="1" si="381"/>
        <v>23.57473652631305</v>
      </c>
      <c r="Y897" s="314" t="str">
        <f t="shared" ca="1" si="399"/>
        <v/>
      </c>
      <c r="Z897" s="315" t="str">
        <f t="shared" ca="1" si="400"/>
        <v/>
      </c>
      <c r="AA897" s="316" t="str">
        <f t="shared" ca="1" si="401"/>
        <v/>
      </c>
      <c r="AC897" s="310" t="e">
        <f t="shared" ca="1" si="402"/>
        <v>#N/A</v>
      </c>
      <c r="AD897" s="323" t="e">
        <f t="shared" ca="1" si="403"/>
        <v>#N/A</v>
      </c>
      <c r="AE897" s="324" t="e">
        <f t="shared" ca="1" si="382"/>
        <v>#N/A</v>
      </c>
      <c r="AG897" s="306">
        <f t="shared" ca="1" si="404"/>
        <v>0.70690456124052936</v>
      </c>
      <c r="AH897" s="304">
        <f t="shared" ca="1" si="405"/>
        <v>-9.084654846621655</v>
      </c>
    </row>
    <row r="898" spans="1:34" x14ac:dyDescent="0.2">
      <c r="A898" s="347">
        <f t="shared" ca="1" si="383"/>
        <v>1E-4</v>
      </c>
      <c r="B898" s="304">
        <f t="shared" ca="1" si="384"/>
        <v>32.551100000001867</v>
      </c>
      <c r="D898" s="306">
        <f t="shared" ca="1" si="385"/>
        <v>-0.55676103269427935</v>
      </c>
      <c r="E898" s="307">
        <f t="shared" ca="1" si="386"/>
        <v>-0.7423999136756585</v>
      </c>
      <c r="F898" s="304">
        <f t="shared" ca="1" si="387"/>
        <v>0.92797655107897292</v>
      </c>
      <c r="G898" s="306">
        <f t="shared" ca="1" si="388"/>
        <v>5.9375430989965379</v>
      </c>
      <c r="H898" s="307">
        <f t="shared" ca="1" si="389"/>
        <v>-96.701833170771195</v>
      </c>
      <c r="I898" s="304">
        <f t="shared" ca="1" si="390"/>
        <v>96.883945814774208</v>
      </c>
      <c r="J898" s="306">
        <f t="shared" ca="1" si="391"/>
        <v>588.9746359926213</v>
      </c>
      <c r="K898" s="307">
        <f t="shared" ca="1" si="392"/>
        <v>-12.325899660889183</v>
      </c>
      <c r="L898" s="304">
        <f t="shared" ca="1" si="377"/>
        <v>589.10359839767659</v>
      </c>
      <c r="M898" s="306">
        <f t="shared" ca="1" si="393"/>
        <v>-1.5094727905491356</v>
      </c>
      <c r="N898" s="304">
        <f t="shared" ca="1" si="394"/>
        <v>-86.486420188300372</v>
      </c>
      <c r="P898" s="310">
        <f t="shared" ca="1" si="395"/>
        <v>23</v>
      </c>
      <c r="Q898" s="304">
        <f t="shared" ca="1" si="396"/>
        <v>0</v>
      </c>
      <c r="R898" s="306">
        <f t="shared" ca="1" si="397"/>
        <v>0</v>
      </c>
      <c r="S898" s="307">
        <f t="shared" ca="1" si="398"/>
        <v>2.5949999999999998</v>
      </c>
      <c r="T898" s="304">
        <f t="shared" ca="1" si="378"/>
        <v>25.456949999999999</v>
      </c>
      <c r="U898" s="311">
        <f t="shared" ca="1" si="379"/>
        <v>0</v>
      </c>
      <c r="V898" s="306">
        <f t="shared" ca="1" si="380"/>
        <v>1.2265108538401008</v>
      </c>
      <c r="W898" s="304">
        <f t="shared" ca="1" si="381"/>
        <v>23.574793724719562</v>
      </c>
      <c r="Y898" s="314" t="str">
        <f t="shared" ca="1" si="399"/>
        <v/>
      </c>
      <c r="Z898" s="315" t="str">
        <f t="shared" ca="1" si="400"/>
        <v/>
      </c>
      <c r="AA898" s="316" t="str">
        <f t="shared" ca="1" si="401"/>
        <v/>
      </c>
      <c r="AC898" s="310" t="e">
        <f t="shared" ca="1" si="402"/>
        <v>#N/A</v>
      </c>
      <c r="AD898" s="323" t="e">
        <f t="shared" ca="1" si="403"/>
        <v>#N/A</v>
      </c>
      <c r="AE898" s="324" t="e">
        <f t="shared" ca="1" si="382"/>
        <v>#N/A</v>
      </c>
      <c r="AG898" s="306">
        <f t="shared" ca="1" si="404"/>
        <v>0.70688289219800104</v>
      </c>
      <c r="AH898" s="304">
        <f t="shared" ca="1" si="405"/>
        <v>-9.0846768887526217</v>
      </c>
    </row>
    <row r="899" spans="1:34" x14ac:dyDescent="0.2">
      <c r="A899" s="347">
        <f t="shared" ca="1" si="383"/>
        <v>1E-4</v>
      </c>
      <c r="B899" s="304">
        <f t="shared" ca="1" si="384"/>
        <v>32.55120000000187</v>
      </c>
      <c r="D899" s="306">
        <f t="shared" ca="1" si="385"/>
        <v>-0.55675675663068136</v>
      </c>
      <c r="E899" s="307">
        <f t="shared" ca="1" si="386"/>
        <v>-0.74237756783629116</v>
      </c>
      <c r="F899" s="304">
        <f t="shared" ca="1" si="387"/>
        <v>0.9279561084881347</v>
      </c>
      <c r="G899" s="306">
        <f t="shared" ca="1" si="388"/>
        <v>5.9374874233208752</v>
      </c>
      <c r="H899" s="307">
        <f t="shared" ca="1" si="389"/>
        <v>-96.701907408527973</v>
      </c>
      <c r="I899" s="304">
        <f t="shared" ca="1" si="390"/>
        <v>96.884016500915209</v>
      </c>
      <c r="J899" s="306">
        <f t="shared" ca="1" si="391"/>
        <v>588.9746359926213</v>
      </c>
      <c r="K899" s="307">
        <f t="shared" ca="1" si="392"/>
        <v>-12.335569847918148</v>
      </c>
      <c r="L899" s="304">
        <f t="shared" ca="1" si="377"/>
        <v>589.10380080772995</v>
      </c>
      <c r="M899" s="306">
        <f t="shared" ca="1" si="393"/>
        <v>-1.509473411092062</v>
      </c>
      <c r="N899" s="304">
        <f t="shared" ca="1" si="394"/>
        <v>-86.486455742791051</v>
      </c>
      <c r="P899" s="310">
        <f t="shared" ca="1" si="395"/>
        <v>23</v>
      </c>
      <c r="Q899" s="304">
        <f t="shared" ca="1" si="396"/>
        <v>0</v>
      </c>
      <c r="R899" s="306">
        <f t="shared" ca="1" si="397"/>
        <v>0</v>
      </c>
      <c r="S899" s="307">
        <f t="shared" ca="1" si="398"/>
        <v>2.5949999999999998</v>
      </c>
      <c r="T899" s="304">
        <f t="shared" ca="1" si="378"/>
        <v>25.456949999999999</v>
      </c>
      <c r="U899" s="311">
        <f t="shared" ca="1" si="379"/>
        <v>0</v>
      </c>
      <c r="V899" s="306">
        <f t="shared" ca="1" si="380"/>
        <v>1.22651203990006</v>
      </c>
      <c r="W899" s="304">
        <f t="shared" ca="1" si="381"/>
        <v>23.574850922202732</v>
      </c>
      <c r="Y899" s="314" t="str">
        <f t="shared" ca="1" si="399"/>
        <v/>
      </c>
      <c r="Z899" s="315" t="str">
        <f t="shared" ca="1" si="400"/>
        <v/>
      </c>
      <c r="AA899" s="316" t="str">
        <f t="shared" ca="1" si="401"/>
        <v/>
      </c>
      <c r="AC899" s="310" t="e">
        <f t="shared" ca="1" si="402"/>
        <v>#N/A</v>
      </c>
      <c r="AD899" s="323" t="e">
        <f t="shared" ca="1" si="403"/>
        <v>#N/A</v>
      </c>
      <c r="AE899" s="324" t="e">
        <f t="shared" ca="1" si="382"/>
        <v>#N/A</v>
      </c>
      <c r="AG899" s="306">
        <f t="shared" ca="1" si="404"/>
        <v>0.70686122350347702</v>
      </c>
      <c r="AH899" s="304">
        <f t="shared" ca="1" si="405"/>
        <v>-9.0846989305277699</v>
      </c>
    </row>
    <row r="900" spans="1:34" x14ac:dyDescent="0.2">
      <c r="A900" s="347">
        <f t="shared" ca="1" si="383"/>
        <v>1E-4</v>
      </c>
      <c r="B900" s="304">
        <f t="shared" ca="1" si="384"/>
        <v>32.551300000001874</v>
      </c>
      <c r="D900" s="306">
        <f t="shared" ca="1" si="385"/>
        <v>-0.55675248057873095</v>
      </c>
      <c r="E900" s="307">
        <f t="shared" ca="1" si="386"/>
        <v>-0.74235522235763085</v>
      </c>
      <c r="F900" s="304">
        <f t="shared" ca="1" si="387"/>
        <v>0.92793566630031943</v>
      </c>
      <c r="G900" s="306">
        <f t="shared" ca="1" si="388"/>
        <v>5.9374317480728172</v>
      </c>
      <c r="H900" s="307">
        <f t="shared" ca="1" si="389"/>
        <v>-96.701981644050207</v>
      </c>
      <c r="I900" s="304">
        <f t="shared" ca="1" si="390"/>
        <v>96.884087184889381</v>
      </c>
      <c r="J900" s="306">
        <f t="shared" ca="1" si="391"/>
        <v>588.9746359926213</v>
      </c>
      <c r="K900" s="307">
        <f t="shared" ca="1" si="392"/>
        <v>-12.345240042370776</v>
      </c>
      <c r="L900" s="304">
        <f t="shared" ref="L900:L963" ca="1" si="406">SQRT(pos_x^2+pos_z^2)</f>
        <v>589.10400337660622</v>
      </c>
      <c r="M900" s="306">
        <f t="shared" ca="1" si="393"/>
        <v>-1.509474031628264</v>
      </c>
      <c r="N900" s="304">
        <f t="shared" ca="1" si="394"/>
        <v>-86.48649129689646</v>
      </c>
      <c r="P900" s="310">
        <f t="shared" ca="1" si="395"/>
        <v>23</v>
      </c>
      <c r="Q900" s="304">
        <f t="shared" ca="1" si="396"/>
        <v>0</v>
      </c>
      <c r="R900" s="306">
        <f t="shared" ca="1" si="397"/>
        <v>0</v>
      </c>
      <c r="S900" s="307">
        <f t="shared" ca="1" si="398"/>
        <v>2.5949999999999998</v>
      </c>
      <c r="T900" s="304">
        <f t="shared" ref="T900:T963" ca="1" si="407">m*g</f>
        <v>25.456949999999999</v>
      </c>
      <c r="U900" s="311">
        <f t="shared" ref="U900:U963" ca="1" si="408">IF(pos_xz&lt;L_rampe,Poids*COS(Beta),0)</f>
        <v>0</v>
      </c>
      <c r="V900" s="306">
        <f t="shared" ref="V900:V963" ca="1" si="409">Rho_moyen*(20000-Alt_rampe-pos_z)/(20000+Alt_rampe+pos_z)</f>
        <v>1.2265132259620775</v>
      </c>
      <c r="W900" s="304">
        <f t="shared" ref="W900:W963" ca="1" si="410">1/2*Rho*Sref*Cx*vit_xz^2</f>
        <v>23.574908118762572</v>
      </c>
      <c r="Y900" s="314" t="str">
        <f t="shared" ca="1" si="399"/>
        <v/>
      </c>
      <c r="Z900" s="315" t="str">
        <f t="shared" ca="1" si="400"/>
        <v/>
      </c>
      <c r="AA900" s="316" t="str">
        <f t="shared" ca="1" si="401"/>
        <v/>
      </c>
      <c r="AC900" s="310" t="e">
        <f t="shared" ca="1" si="402"/>
        <v>#N/A</v>
      </c>
      <c r="AD900" s="323" t="e">
        <f t="shared" ca="1" si="403"/>
        <v>#N/A</v>
      </c>
      <c r="AE900" s="324" t="e">
        <f t="shared" ref="AE900:AE963" ca="1" si="411">IF(t&lt;T_para, pos_z, NA())</f>
        <v>#N/A</v>
      </c>
      <c r="AG900" s="306">
        <f t="shared" ca="1" si="404"/>
        <v>0.70683955515695374</v>
      </c>
      <c r="AH900" s="304">
        <f t="shared" ca="1" si="405"/>
        <v>-9.0847209719471032</v>
      </c>
    </row>
    <row r="901" spans="1:34" x14ac:dyDescent="0.2">
      <c r="A901" s="347">
        <f t="shared" ref="A901:A964" ca="1" si="412">IF(B900+0.01&lt;=T_ini+ROUNDUP(Temps_fin_propu,0), 0.01, IF(K900&gt;0, 0.1, 0.0001))</f>
        <v>1E-4</v>
      </c>
      <c r="B901" s="304">
        <f t="shared" ref="B901:B964" ca="1" si="413">B900+pas</f>
        <v>32.551400000001877</v>
      </c>
      <c r="D901" s="306">
        <f t="shared" ref="D901:D964" ca="1" si="414">IF(AND(L900&lt;L_rampe,Poussee&lt;Poids*SIN(M900)),0,(-W900+Poussee)/m*COS(M900)-U900/m*SIN(M900))</f>
        <v>-0.55674820453843132</v>
      </c>
      <c r="E901" s="307">
        <f t="shared" ref="E901:E964" ca="1" si="415">IF(AND(L900&lt;L_rampe,Poussee&lt;Poids*SIN(M900)),0,(-W900+Poussee)/m*SIN(M900)+U900/m*COS(M900)-Poids/m)</f>
        <v>-0.74233287723967045</v>
      </c>
      <c r="F901" s="304">
        <f t="shared" ref="F901:F964" ca="1" si="416">SQRT(acc_x^2+acc_z^2)</f>
        <v>0.92791522451552366</v>
      </c>
      <c r="G901" s="306">
        <f t="shared" ref="G901:G964" ca="1" si="417">G900+acc_x*pas</f>
        <v>5.9373760732523637</v>
      </c>
      <c r="H901" s="307">
        <f t="shared" ref="H901:H964" ca="1" si="418">H900+acc_z*pas</f>
        <v>-96.702055877337926</v>
      </c>
      <c r="I901" s="304">
        <f t="shared" ref="I901:I964" ca="1" si="419">SQRT(vit_x^2+vit_z^2)</f>
        <v>96.884157866696739</v>
      </c>
      <c r="J901" s="306">
        <f t="shared" ref="J901:J964" ca="1" si="420">J900+0.5*(vit_x+G900)*pas*(K900&gt;=0)</f>
        <v>588.9746359926213</v>
      </c>
      <c r="K901" s="307">
        <f t="shared" ref="K901:K964" ca="1" si="421">K900+0.5*(vit_z+H900)*pas</f>
        <v>-12.354910244246845</v>
      </c>
      <c r="L901" s="304">
        <f t="shared" ca="1" si="406"/>
        <v>589.1042061043056</v>
      </c>
      <c r="M901" s="306">
        <f t="shared" ref="M901:M964" ca="1" si="422">IF(AND(L900&gt;L_rampe,G901&gt;0),ATAN2(G901,H901),$M$4)</f>
        <v>-1.509474652157742</v>
      </c>
      <c r="N901" s="304">
        <f t="shared" ref="N901:N964" ca="1" si="423">DEGREES(Beta)</f>
        <v>-86.486526850616627</v>
      </c>
      <c r="P901" s="310">
        <f t="shared" ref="P901:P964" ca="1" si="424">MATCH(t-pas/2-T_ini,CdP_t)</f>
        <v>23</v>
      </c>
      <c r="Q901" s="304">
        <f t="shared" ref="Q901:Q964" ca="1" si="425">(INDEX(CdP,2,i_P+1)-INDEX(CdP,2,i_P+0))/(INDEX(CdP,1,i_P+1)-INDEX(CdP,1,i_P+0))*(t-pas/2-T_ini-INDEX(CdP,1,i_P+0))+INDEX(CdP,2,i_P+0)</f>
        <v>0</v>
      </c>
      <c r="R901" s="306">
        <f t="shared" ref="R901:R964" ca="1" si="426">Poussee/(g*ISP)</f>
        <v>0</v>
      </c>
      <c r="S901" s="307">
        <f t="shared" ref="S901:S964" ca="1" si="427">S900-Débit*pas</f>
        <v>2.5949999999999998</v>
      </c>
      <c r="T901" s="304">
        <f t="shared" ca="1" si="407"/>
        <v>25.456949999999999</v>
      </c>
      <c r="U901" s="311">
        <f t="shared" ca="1" si="408"/>
        <v>0</v>
      </c>
      <c r="V901" s="306">
        <f t="shared" ca="1" si="409"/>
        <v>1.2265144120261533</v>
      </c>
      <c r="W901" s="304">
        <f t="shared" ca="1" si="410"/>
        <v>23.574965314399101</v>
      </c>
      <c r="Y901" s="314" t="str">
        <f t="shared" ref="Y901:Y964" ca="1" si="428">IF(AND(pos_z&lt;=0,K900&gt;0),"Impact balistique","") &amp; IF(AND(H902&lt;0,vit_z&gt;=0),"Apogée","") &amp; IF(AND(Poussee=0,Q900&gt;0),"Fin de propulsion","") &amp; IF(AND(L902&gt;L_rampe,pos_xz&lt;=L_rampe),"Sortie de rampe","")</f>
        <v/>
      </c>
      <c r="Z901" s="315" t="str">
        <f t="shared" ref="Z901:Z964" ca="1" si="429">IF(ABS(t-T_para)&lt;pas/2,"Para","")</f>
        <v/>
      </c>
      <c r="AA901" s="316" t="str">
        <f t="shared" ref="AA901:AA964" ca="1" si="430">IF(ABS(t-T_satellite)&lt;pas/2,"Satellite","")</f>
        <v/>
      </c>
      <c r="AC901" s="310" t="e">
        <f t="shared" ref="AC901:AC964" ca="1" si="431">IF(ABS(t-ROUND(t,0))&lt;0.001,t,NA())</f>
        <v>#N/A</v>
      </c>
      <c r="AD901" s="323" t="e">
        <f t="shared" ref="AD901:AD964" ca="1" si="432">IF(ABS(t-ROUND(t,0))&lt;0.001,pos_x,NA())</f>
        <v>#N/A</v>
      </c>
      <c r="AE901" s="324" t="e">
        <f t="shared" ca="1" si="411"/>
        <v>#N/A</v>
      </c>
      <c r="AG901" s="306">
        <f t="shared" ref="AG901:AG964" ca="1" si="433">IF(AND(L900&lt;L_rampe,Poussee&lt;Poids*SIN(M900)),0,(-W900+Poussee)/m-Poids*SIN(M900)/m)</f>
        <v>0.70681788715842764</v>
      </c>
      <c r="AH901" s="304">
        <f t="shared" ref="AH901:AH964" ca="1" si="434">IF(AND(L900&lt;L_rampe,Poussee&lt;Poids*SIN(M900)), g*SIN(M900), (-W900+Poussee)/m)</f>
        <v>-9.084743013010625</v>
      </c>
    </row>
    <row r="902" spans="1:34" x14ac:dyDescent="0.2">
      <c r="A902" s="347">
        <f t="shared" ca="1" si="412"/>
        <v>1E-4</v>
      </c>
      <c r="B902" s="304">
        <f t="shared" ca="1" si="413"/>
        <v>32.55150000000188</v>
      </c>
      <c r="D902" s="306">
        <f t="shared" ca="1" si="414"/>
        <v>-0.55674392850978016</v>
      </c>
      <c r="E902" s="307">
        <f t="shared" ca="1" si="415"/>
        <v>-0.74231053248240286</v>
      </c>
      <c r="F902" s="304">
        <f t="shared" ca="1" si="416"/>
        <v>0.92789478313374063</v>
      </c>
      <c r="G902" s="306">
        <f t="shared" ca="1" si="417"/>
        <v>5.9373203988595131</v>
      </c>
      <c r="H902" s="307">
        <f t="shared" ca="1" si="418"/>
        <v>-96.702130108391174</v>
      </c>
      <c r="I902" s="304">
        <f t="shared" ca="1" si="419"/>
        <v>96.88422854633734</v>
      </c>
      <c r="J902" s="306">
        <f t="shared" ca="1" si="420"/>
        <v>588.9746359926213</v>
      </c>
      <c r="K902" s="307">
        <f t="shared" ca="1" si="421"/>
        <v>-12.364580453546132</v>
      </c>
      <c r="L902" s="304">
        <f t="shared" ca="1" si="406"/>
        <v>589.10440899082812</v>
      </c>
      <c r="M902" s="306">
        <f t="shared" ca="1" si="422"/>
        <v>-1.5094752726804959</v>
      </c>
      <c r="N902" s="304">
        <f t="shared" ca="1" si="423"/>
        <v>-86.48656240395151</v>
      </c>
      <c r="P902" s="310">
        <f t="shared" ca="1" si="424"/>
        <v>23</v>
      </c>
      <c r="Q902" s="304">
        <f t="shared" ca="1" si="425"/>
        <v>0</v>
      </c>
      <c r="R902" s="306">
        <f t="shared" ca="1" si="426"/>
        <v>0</v>
      </c>
      <c r="S902" s="307">
        <f t="shared" ca="1" si="427"/>
        <v>2.5949999999999998</v>
      </c>
      <c r="T902" s="304">
        <f t="shared" ca="1" si="407"/>
        <v>25.456949999999999</v>
      </c>
      <c r="U902" s="311">
        <f t="shared" ca="1" si="408"/>
        <v>0</v>
      </c>
      <c r="V902" s="306">
        <f t="shared" ca="1" si="409"/>
        <v>1.2265155980922866</v>
      </c>
      <c r="W902" s="304">
        <f t="shared" ca="1" si="410"/>
        <v>23.575022509112316</v>
      </c>
      <c r="Y902" s="314" t="str">
        <f t="shared" ca="1" si="428"/>
        <v/>
      </c>
      <c r="Z902" s="315" t="str">
        <f t="shared" ca="1" si="429"/>
        <v/>
      </c>
      <c r="AA902" s="316" t="str">
        <f t="shared" ca="1" si="430"/>
        <v/>
      </c>
      <c r="AC902" s="310" t="e">
        <f t="shared" ca="1" si="431"/>
        <v>#N/A</v>
      </c>
      <c r="AD902" s="323" t="e">
        <f t="shared" ca="1" si="432"/>
        <v>#N/A</v>
      </c>
      <c r="AE902" s="324" t="e">
        <f t="shared" ca="1" si="411"/>
        <v>#N/A</v>
      </c>
      <c r="AG902" s="306">
        <f t="shared" ca="1" si="433"/>
        <v>0.7067962195078934</v>
      </c>
      <c r="AH902" s="304">
        <f t="shared" ca="1" si="434"/>
        <v>-9.0847650537183444</v>
      </c>
    </row>
    <row r="903" spans="1:34" x14ac:dyDescent="0.2">
      <c r="A903" s="347">
        <f t="shared" ca="1" si="412"/>
        <v>1E-4</v>
      </c>
      <c r="B903" s="304">
        <f t="shared" ca="1" si="413"/>
        <v>32.551600000001883</v>
      </c>
      <c r="D903" s="306">
        <f t="shared" ca="1" si="414"/>
        <v>-0.55673965249278046</v>
      </c>
      <c r="E903" s="307">
        <f t="shared" ca="1" si="415"/>
        <v>-0.74228818808583164</v>
      </c>
      <c r="F903" s="304">
        <f t="shared" ca="1" si="416"/>
        <v>0.92787434215497577</v>
      </c>
      <c r="G903" s="306">
        <f t="shared" ca="1" si="417"/>
        <v>5.9372647248942636</v>
      </c>
      <c r="H903" s="307">
        <f t="shared" ca="1" si="418"/>
        <v>-96.702204337209977</v>
      </c>
      <c r="I903" s="304">
        <f t="shared" ca="1" si="419"/>
        <v>96.884299223811212</v>
      </c>
      <c r="J903" s="306">
        <f t="shared" ca="1" si="420"/>
        <v>588.9746359926213</v>
      </c>
      <c r="K903" s="307">
        <f t="shared" ca="1" si="421"/>
        <v>-12.374250670268413</v>
      </c>
      <c r="L903" s="304">
        <f t="shared" ca="1" si="406"/>
        <v>589.10461203617422</v>
      </c>
      <c r="M903" s="306">
        <f t="shared" ca="1" si="422"/>
        <v>-1.5094758931965258</v>
      </c>
      <c r="N903" s="304">
        <f t="shared" ca="1" si="423"/>
        <v>-86.486597956901136</v>
      </c>
      <c r="P903" s="310">
        <f t="shared" ca="1" si="424"/>
        <v>23</v>
      </c>
      <c r="Q903" s="304">
        <f t="shared" ca="1" si="425"/>
        <v>0</v>
      </c>
      <c r="R903" s="306">
        <f t="shared" ca="1" si="426"/>
        <v>0</v>
      </c>
      <c r="S903" s="307">
        <f t="shared" ca="1" si="427"/>
        <v>2.5949999999999998</v>
      </c>
      <c r="T903" s="304">
        <f t="shared" ca="1" si="407"/>
        <v>25.456949999999999</v>
      </c>
      <c r="U903" s="311">
        <f t="shared" ca="1" si="408"/>
        <v>0</v>
      </c>
      <c r="V903" s="306">
        <f t="shared" ca="1" si="409"/>
        <v>1.2265167841604787</v>
      </c>
      <c r="W903" s="304">
        <f t="shared" ca="1" si="410"/>
        <v>23.575079702902251</v>
      </c>
      <c r="Y903" s="314" t="str">
        <f t="shared" ca="1" si="428"/>
        <v/>
      </c>
      <c r="Z903" s="315" t="str">
        <f t="shared" ca="1" si="429"/>
        <v/>
      </c>
      <c r="AA903" s="316" t="str">
        <f t="shared" ca="1" si="430"/>
        <v/>
      </c>
      <c r="AC903" s="310" t="e">
        <f t="shared" ca="1" si="431"/>
        <v>#N/A</v>
      </c>
      <c r="AD903" s="323" t="e">
        <f t="shared" ca="1" si="432"/>
        <v>#N/A</v>
      </c>
      <c r="AE903" s="324" t="e">
        <f t="shared" ca="1" si="411"/>
        <v>#N/A</v>
      </c>
      <c r="AG903" s="306">
        <f t="shared" ca="1" si="433"/>
        <v>0.70677455220535279</v>
      </c>
      <c r="AH903" s="304">
        <f t="shared" ca="1" si="434"/>
        <v>-9.0847870940702578</v>
      </c>
    </row>
    <row r="904" spans="1:34" x14ac:dyDescent="0.2">
      <c r="A904" s="347">
        <f t="shared" ca="1" si="412"/>
        <v>1E-4</v>
      </c>
      <c r="B904" s="304">
        <f t="shared" ca="1" si="413"/>
        <v>32.551700000001887</v>
      </c>
      <c r="D904" s="306">
        <f t="shared" ca="1" si="414"/>
        <v>-0.55673537648743199</v>
      </c>
      <c r="E904" s="307">
        <f t="shared" ca="1" si="415"/>
        <v>-0.74226584404994256</v>
      </c>
      <c r="F904" s="304">
        <f t="shared" ca="1" si="416"/>
        <v>0.92785390157921754</v>
      </c>
      <c r="G904" s="306">
        <f t="shared" ca="1" si="417"/>
        <v>5.9372090513566151</v>
      </c>
      <c r="H904" s="307">
        <f t="shared" ca="1" si="418"/>
        <v>-96.70227856379438</v>
      </c>
      <c r="I904" s="304">
        <f t="shared" ca="1" si="419"/>
        <v>96.884369899118383</v>
      </c>
      <c r="J904" s="306">
        <f t="shared" ca="1" si="420"/>
        <v>588.9746359926213</v>
      </c>
      <c r="K904" s="307">
        <f t="shared" ca="1" si="421"/>
        <v>-12.383920894413464</v>
      </c>
      <c r="L904" s="304">
        <f t="shared" ca="1" si="406"/>
        <v>589.10481524034401</v>
      </c>
      <c r="M904" s="306">
        <f t="shared" ca="1" si="422"/>
        <v>-1.5094765137058319</v>
      </c>
      <c r="N904" s="304">
        <f t="shared" ca="1" si="423"/>
        <v>-86.486633509465534</v>
      </c>
      <c r="P904" s="310">
        <f t="shared" ca="1" si="424"/>
        <v>23</v>
      </c>
      <c r="Q904" s="304">
        <f t="shared" ca="1" si="425"/>
        <v>0</v>
      </c>
      <c r="R904" s="306">
        <f t="shared" ca="1" si="426"/>
        <v>0</v>
      </c>
      <c r="S904" s="307">
        <f t="shared" ca="1" si="427"/>
        <v>2.5949999999999998</v>
      </c>
      <c r="T904" s="304">
        <f t="shared" ca="1" si="407"/>
        <v>25.456949999999999</v>
      </c>
      <c r="U904" s="311">
        <f t="shared" ca="1" si="408"/>
        <v>0</v>
      </c>
      <c r="V904" s="306">
        <f t="shared" ca="1" si="409"/>
        <v>1.2265179702307285</v>
      </c>
      <c r="W904" s="304">
        <f t="shared" ca="1" si="410"/>
        <v>23.575136895768903</v>
      </c>
      <c r="Y904" s="314" t="str">
        <f t="shared" ca="1" si="428"/>
        <v/>
      </c>
      <c r="Z904" s="315" t="str">
        <f t="shared" ca="1" si="429"/>
        <v/>
      </c>
      <c r="AA904" s="316" t="str">
        <f t="shared" ca="1" si="430"/>
        <v/>
      </c>
      <c r="AC904" s="310" t="e">
        <f t="shared" ca="1" si="431"/>
        <v>#N/A</v>
      </c>
      <c r="AD904" s="323" t="e">
        <f t="shared" ca="1" si="432"/>
        <v>#N/A</v>
      </c>
      <c r="AE904" s="324" t="e">
        <f t="shared" ca="1" si="411"/>
        <v>#N/A</v>
      </c>
      <c r="AG904" s="306">
        <f t="shared" ca="1" si="433"/>
        <v>0.70675288525079161</v>
      </c>
      <c r="AH904" s="304">
        <f t="shared" ca="1" si="434"/>
        <v>-9.0848091340663792</v>
      </c>
    </row>
    <row r="905" spans="1:34" x14ac:dyDescent="0.2">
      <c r="A905" s="347">
        <f t="shared" ca="1" si="412"/>
        <v>1E-4</v>
      </c>
      <c r="B905" s="304">
        <f t="shared" ca="1" si="413"/>
        <v>32.55180000000189</v>
      </c>
      <c r="D905" s="306">
        <f t="shared" ca="1" si="414"/>
        <v>-0.55673110049373398</v>
      </c>
      <c r="E905" s="307">
        <f t="shared" ca="1" si="415"/>
        <v>-0.74224350037473741</v>
      </c>
      <c r="F905" s="304">
        <f t="shared" ca="1" si="416"/>
        <v>0.92783346140646761</v>
      </c>
      <c r="G905" s="306">
        <f t="shared" ca="1" si="417"/>
        <v>5.937153378246566</v>
      </c>
      <c r="H905" s="307">
        <f t="shared" ca="1" si="418"/>
        <v>-96.702352788144424</v>
      </c>
      <c r="I905" s="304">
        <f t="shared" ca="1" si="419"/>
        <v>96.88444057225891</v>
      </c>
      <c r="J905" s="306">
        <f t="shared" ca="1" si="420"/>
        <v>588.9746359926213</v>
      </c>
      <c r="K905" s="307">
        <f t="shared" ca="1" si="421"/>
        <v>-12.393591125981061</v>
      </c>
      <c r="L905" s="304">
        <f t="shared" ca="1" si="406"/>
        <v>589.10501860333761</v>
      </c>
      <c r="M905" s="306">
        <f t="shared" ca="1" si="422"/>
        <v>-1.5094771342084141</v>
      </c>
      <c r="N905" s="304">
        <f t="shared" ca="1" si="423"/>
        <v>-86.486669061644676</v>
      </c>
      <c r="P905" s="310">
        <f t="shared" ca="1" si="424"/>
        <v>23</v>
      </c>
      <c r="Q905" s="304">
        <f t="shared" ca="1" si="425"/>
        <v>0</v>
      </c>
      <c r="R905" s="306">
        <f t="shared" ca="1" si="426"/>
        <v>0</v>
      </c>
      <c r="S905" s="307">
        <f t="shared" ca="1" si="427"/>
        <v>2.5949999999999998</v>
      </c>
      <c r="T905" s="304">
        <f t="shared" ca="1" si="407"/>
        <v>25.456949999999999</v>
      </c>
      <c r="U905" s="311">
        <f t="shared" ca="1" si="408"/>
        <v>0</v>
      </c>
      <c r="V905" s="306">
        <f t="shared" ca="1" si="409"/>
        <v>1.2265191563030364</v>
      </c>
      <c r="W905" s="304">
        <f t="shared" ca="1" si="410"/>
        <v>23.575194087712287</v>
      </c>
      <c r="Y905" s="314" t="str">
        <f t="shared" ca="1" si="428"/>
        <v/>
      </c>
      <c r="Z905" s="315" t="str">
        <f t="shared" ca="1" si="429"/>
        <v/>
      </c>
      <c r="AA905" s="316" t="str">
        <f t="shared" ca="1" si="430"/>
        <v/>
      </c>
      <c r="AC905" s="310" t="e">
        <f t="shared" ca="1" si="431"/>
        <v>#N/A</v>
      </c>
      <c r="AD905" s="323" t="e">
        <f t="shared" ca="1" si="432"/>
        <v>#N/A</v>
      </c>
      <c r="AE905" s="324" t="e">
        <f t="shared" ca="1" si="411"/>
        <v>#N/A</v>
      </c>
      <c r="AG905" s="306">
        <f t="shared" ca="1" si="433"/>
        <v>0.70673121864420985</v>
      </c>
      <c r="AH905" s="304">
        <f t="shared" ca="1" si="434"/>
        <v>-9.0848311737067071</v>
      </c>
    </row>
    <row r="906" spans="1:34" x14ac:dyDescent="0.2">
      <c r="A906" s="347">
        <f t="shared" ca="1" si="412"/>
        <v>1E-4</v>
      </c>
      <c r="B906" s="304">
        <f t="shared" ca="1" si="413"/>
        <v>32.551900000001893</v>
      </c>
      <c r="D906" s="306">
        <f t="shared" ca="1" si="414"/>
        <v>-0.55672682451168987</v>
      </c>
      <c r="E906" s="307">
        <f t="shared" ca="1" si="415"/>
        <v>-0.7422211570602073</v>
      </c>
      <c r="F906" s="304">
        <f t="shared" ca="1" si="416"/>
        <v>0.92781302163672119</v>
      </c>
      <c r="G906" s="306">
        <f t="shared" ca="1" si="417"/>
        <v>5.9370977055641152</v>
      </c>
      <c r="H906" s="307">
        <f t="shared" ca="1" si="418"/>
        <v>-96.702427010260124</v>
      </c>
      <c r="I906" s="304">
        <f t="shared" ca="1" si="419"/>
        <v>96.884511243232794</v>
      </c>
      <c r="J906" s="306">
        <f t="shared" ca="1" si="420"/>
        <v>588.9746359926213</v>
      </c>
      <c r="K906" s="307">
        <f t="shared" ca="1" si="421"/>
        <v>-12.403261364970982</v>
      </c>
      <c r="L906" s="304">
        <f t="shared" ca="1" si="406"/>
        <v>589.10522212515525</v>
      </c>
      <c r="M906" s="306">
        <f t="shared" ca="1" si="422"/>
        <v>-1.5094777547042728</v>
      </c>
      <c r="N906" s="304">
        <f t="shared" ca="1" si="423"/>
        <v>-86.486704613438576</v>
      </c>
      <c r="P906" s="310">
        <f t="shared" ca="1" si="424"/>
        <v>23</v>
      </c>
      <c r="Q906" s="304">
        <f t="shared" ca="1" si="425"/>
        <v>0</v>
      </c>
      <c r="R906" s="306">
        <f t="shared" ca="1" si="426"/>
        <v>0</v>
      </c>
      <c r="S906" s="307">
        <f t="shared" ca="1" si="427"/>
        <v>2.5949999999999998</v>
      </c>
      <c r="T906" s="304">
        <f t="shared" ca="1" si="407"/>
        <v>25.456949999999999</v>
      </c>
      <c r="U906" s="311">
        <f t="shared" ca="1" si="408"/>
        <v>0</v>
      </c>
      <c r="V906" s="306">
        <f t="shared" ca="1" si="409"/>
        <v>1.2265203423774027</v>
      </c>
      <c r="W906" s="304">
        <f t="shared" ca="1" si="410"/>
        <v>23.575251278732406</v>
      </c>
      <c r="Y906" s="314" t="str">
        <f t="shared" ca="1" si="428"/>
        <v/>
      </c>
      <c r="Z906" s="315" t="str">
        <f t="shared" ca="1" si="429"/>
        <v/>
      </c>
      <c r="AA906" s="316" t="str">
        <f t="shared" ca="1" si="430"/>
        <v/>
      </c>
      <c r="AC906" s="310" t="e">
        <f t="shared" ca="1" si="431"/>
        <v>#N/A</v>
      </c>
      <c r="AD906" s="323" t="e">
        <f t="shared" ca="1" si="432"/>
        <v>#N/A</v>
      </c>
      <c r="AE906" s="324" t="e">
        <f t="shared" ca="1" si="411"/>
        <v>#N/A</v>
      </c>
      <c r="AG906" s="306">
        <f t="shared" ca="1" si="433"/>
        <v>0.70670955238560573</v>
      </c>
      <c r="AH906" s="304">
        <f t="shared" ca="1" si="434"/>
        <v>-9.0848532129912485</v>
      </c>
    </row>
    <row r="907" spans="1:34" x14ac:dyDescent="0.2">
      <c r="A907" s="347">
        <f t="shared" ca="1" si="412"/>
        <v>1E-4</v>
      </c>
      <c r="B907" s="304">
        <f t="shared" ca="1" si="413"/>
        <v>32.552000000001897</v>
      </c>
      <c r="D907" s="306">
        <f t="shared" ca="1" si="414"/>
        <v>-0.55672254854129666</v>
      </c>
      <c r="E907" s="307">
        <f t="shared" ca="1" si="415"/>
        <v>-0.74219881410635402</v>
      </c>
      <c r="F907" s="304">
        <f t="shared" ca="1" si="416"/>
        <v>0.92779258226997841</v>
      </c>
      <c r="G907" s="306">
        <f t="shared" ca="1" si="417"/>
        <v>5.9370420333092611</v>
      </c>
      <c r="H907" s="307">
        <f t="shared" ca="1" si="418"/>
        <v>-96.702501230141536</v>
      </c>
      <c r="I907" s="304">
        <f t="shared" ca="1" si="419"/>
        <v>96.88458191204009</v>
      </c>
      <c r="J907" s="306">
        <f t="shared" ca="1" si="420"/>
        <v>588.9746359926213</v>
      </c>
      <c r="K907" s="307">
        <f t="shared" ca="1" si="421"/>
        <v>-12.412931611383001</v>
      </c>
      <c r="L907" s="304">
        <f t="shared" ca="1" si="406"/>
        <v>589.10542580579715</v>
      </c>
      <c r="M907" s="306">
        <f t="shared" ca="1" si="422"/>
        <v>-1.5094783751934078</v>
      </c>
      <c r="N907" s="304">
        <f t="shared" ca="1" si="423"/>
        <v>-86.486740164847248</v>
      </c>
      <c r="P907" s="310">
        <f t="shared" ca="1" si="424"/>
        <v>23</v>
      </c>
      <c r="Q907" s="304">
        <f t="shared" ca="1" si="425"/>
        <v>0</v>
      </c>
      <c r="R907" s="306">
        <f t="shared" ca="1" si="426"/>
        <v>0</v>
      </c>
      <c r="S907" s="307">
        <f t="shared" ca="1" si="427"/>
        <v>2.5949999999999998</v>
      </c>
      <c r="T907" s="304">
        <f t="shared" ca="1" si="407"/>
        <v>25.456949999999999</v>
      </c>
      <c r="U907" s="311">
        <f t="shared" ca="1" si="408"/>
        <v>0</v>
      </c>
      <c r="V907" s="306">
        <f t="shared" ca="1" si="409"/>
        <v>1.2265215284538267</v>
      </c>
      <c r="W907" s="304">
        <f t="shared" ca="1" si="410"/>
        <v>23.575308468829281</v>
      </c>
      <c r="Y907" s="314" t="str">
        <f t="shared" ca="1" si="428"/>
        <v/>
      </c>
      <c r="Z907" s="315" t="str">
        <f t="shared" ca="1" si="429"/>
        <v/>
      </c>
      <c r="AA907" s="316" t="str">
        <f t="shared" ca="1" si="430"/>
        <v/>
      </c>
      <c r="AC907" s="310" t="e">
        <f t="shared" ca="1" si="431"/>
        <v>#N/A</v>
      </c>
      <c r="AD907" s="323" t="e">
        <f t="shared" ca="1" si="432"/>
        <v>#N/A</v>
      </c>
      <c r="AE907" s="324" t="e">
        <f t="shared" ca="1" si="411"/>
        <v>#N/A</v>
      </c>
      <c r="AG907" s="306">
        <f t="shared" ca="1" si="433"/>
        <v>0.70668788647497394</v>
      </c>
      <c r="AH907" s="304">
        <f t="shared" ca="1" si="434"/>
        <v>-9.0848752519200033</v>
      </c>
    </row>
    <row r="908" spans="1:34" x14ac:dyDescent="0.2">
      <c r="A908" s="347">
        <f t="shared" ca="1" si="412"/>
        <v>1E-4</v>
      </c>
      <c r="B908" s="304">
        <f t="shared" ca="1" si="413"/>
        <v>32.5521000000019</v>
      </c>
      <c r="D908" s="306">
        <f t="shared" ca="1" si="414"/>
        <v>-0.55671827258255813</v>
      </c>
      <c r="E908" s="307">
        <f t="shared" ca="1" si="415"/>
        <v>-0.7421764715131669</v>
      </c>
      <c r="F908" s="304">
        <f t="shared" ca="1" si="416"/>
        <v>0.92777214330623348</v>
      </c>
      <c r="G908" s="306">
        <f t="shared" ca="1" si="417"/>
        <v>5.9369863614820026</v>
      </c>
      <c r="H908" s="307">
        <f t="shared" ca="1" si="418"/>
        <v>-96.702575447788689</v>
      </c>
      <c r="I908" s="304">
        <f t="shared" ca="1" si="419"/>
        <v>96.884652578680829</v>
      </c>
      <c r="J908" s="306">
        <f t="shared" ca="1" si="420"/>
        <v>588.9746359926213</v>
      </c>
      <c r="K908" s="307">
        <f t="shared" ca="1" si="421"/>
        <v>-12.422601865216897</v>
      </c>
      <c r="L908" s="304">
        <f t="shared" ca="1" si="406"/>
        <v>589.10562964526355</v>
      </c>
      <c r="M908" s="306">
        <f t="shared" ca="1" si="422"/>
        <v>-1.5094789956758194</v>
      </c>
      <c r="N908" s="304">
        <f t="shared" ca="1" si="423"/>
        <v>-86.486775715870692</v>
      </c>
      <c r="P908" s="310">
        <f t="shared" ca="1" si="424"/>
        <v>23</v>
      </c>
      <c r="Q908" s="304">
        <f t="shared" ca="1" si="425"/>
        <v>0</v>
      </c>
      <c r="R908" s="306">
        <f t="shared" ca="1" si="426"/>
        <v>0</v>
      </c>
      <c r="S908" s="307">
        <f t="shared" ca="1" si="427"/>
        <v>2.5949999999999998</v>
      </c>
      <c r="T908" s="304">
        <f t="shared" ca="1" si="407"/>
        <v>25.456949999999999</v>
      </c>
      <c r="U908" s="311">
        <f t="shared" ca="1" si="408"/>
        <v>0</v>
      </c>
      <c r="V908" s="306">
        <f t="shared" ca="1" si="409"/>
        <v>1.2265227145323083</v>
      </c>
      <c r="W908" s="304">
        <f t="shared" ca="1" si="410"/>
        <v>23.575365658002912</v>
      </c>
      <c r="Y908" s="314" t="str">
        <f t="shared" ca="1" si="428"/>
        <v/>
      </c>
      <c r="Z908" s="315" t="str">
        <f t="shared" ca="1" si="429"/>
        <v/>
      </c>
      <c r="AA908" s="316" t="str">
        <f t="shared" ca="1" si="430"/>
        <v/>
      </c>
      <c r="AC908" s="310" t="e">
        <f t="shared" ca="1" si="431"/>
        <v>#N/A</v>
      </c>
      <c r="AD908" s="323" t="e">
        <f t="shared" ca="1" si="432"/>
        <v>#N/A</v>
      </c>
      <c r="AE908" s="324" t="e">
        <f t="shared" ca="1" si="411"/>
        <v>#N/A</v>
      </c>
      <c r="AG908" s="306">
        <f t="shared" ca="1" si="433"/>
        <v>0.70666622091230913</v>
      </c>
      <c r="AH908" s="304">
        <f t="shared" ca="1" si="434"/>
        <v>-9.0848972904929806</v>
      </c>
    </row>
    <row r="909" spans="1:34" x14ac:dyDescent="0.2">
      <c r="A909" s="347">
        <f t="shared" ca="1" si="412"/>
        <v>1E-4</v>
      </c>
      <c r="B909" s="304">
        <f t="shared" ca="1" si="413"/>
        <v>32.552200000001903</v>
      </c>
      <c r="D909" s="306">
        <f t="shared" ca="1" si="414"/>
        <v>-0.55671399663547128</v>
      </c>
      <c r="E909" s="307">
        <f t="shared" ca="1" si="415"/>
        <v>-0.74215412928065128</v>
      </c>
      <c r="F909" s="304">
        <f t="shared" ca="1" si="416"/>
        <v>0.92775170474548907</v>
      </c>
      <c r="G909" s="306">
        <f t="shared" ca="1" si="417"/>
        <v>5.9369306900823391</v>
      </c>
      <c r="H909" s="307">
        <f t="shared" ca="1" si="418"/>
        <v>-96.702649663201612</v>
      </c>
      <c r="I909" s="304">
        <f t="shared" ca="1" si="419"/>
        <v>96.884723243155051</v>
      </c>
      <c r="J909" s="306">
        <f t="shared" ca="1" si="420"/>
        <v>588.9746359926213</v>
      </c>
      <c r="K909" s="307">
        <f t="shared" ca="1" si="421"/>
        <v>-12.432272126472448</v>
      </c>
      <c r="L909" s="304">
        <f t="shared" ca="1" si="406"/>
        <v>589.10583364355455</v>
      </c>
      <c r="M909" s="306">
        <f t="shared" ca="1" si="422"/>
        <v>-1.5094796161515076</v>
      </c>
      <c r="N909" s="304">
        <f t="shared" ca="1" si="423"/>
        <v>-86.486811266508923</v>
      </c>
      <c r="P909" s="310">
        <f t="shared" ca="1" si="424"/>
        <v>23</v>
      </c>
      <c r="Q909" s="304">
        <f t="shared" ca="1" si="425"/>
        <v>0</v>
      </c>
      <c r="R909" s="306">
        <f t="shared" ca="1" si="426"/>
        <v>0</v>
      </c>
      <c r="S909" s="307">
        <f t="shared" ca="1" si="427"/>
        <v>2.5949999999999998</v>
      </c>
      <c r="T909" s="304">
        <f t="shared" ca="1" si="407"/>
        <v>25.456949999999999</v>
      </c>
      <c r="U909" s="311">
        <f t="shared" ca="1" si="408"/>
        <v>0</v>
      </c>
      <c r="V909" s="306">
        <f t="shared" ca="1" si="409"/>
        <v>1.2265239006128485</v>
      </c>
      <c r="W909" s="304">
        <f t="shared" ca="1" si="410"/>
        <v>23.575422846253336</v>
      </c>
      <c r="Y909" s="314" t="str">
        <f t="shared" ca="1" si="428"/>
        <v/>
      </c>
      <c r="Z909" s="315" t="str">
        <f t="shared" ca="1" si="429"/>
        <v/>
      </c>
      <c r="AA909" s="316" t="str">
        <f t="shared" ca="1" si="430"/>
        <v/>
      </c>
      <c r="AC909" s="310" t="e">
        <f t="shared" ca="1" si="431"/>
        <v>#N/A</v>
      </c>
      <c r="AD909" s="323" t="e">
        <f t="shared" ca="1" si="432"/>
        <v>#N/A</v>
      </c>
      <c r="AE909" s="324" t="e">
        <f t="shared" ca="1" si="411"/>
        <v>#N/A</v>
      </c>
      <c r="AG909" s="306">
        <f t="shared" ca="1" si="433"/>
        <v>0.70664455569760953</v>
      </c>
      <c r="AH909" s="304">
        <f t="shared" ca="1" si="434"/>
        <v>-9.0849193287101784</v>
      </c>
    </row>
    <row r="910" spans="1:34" x14ac:dyDescent="0.2">
      <c r="A910" s="347">
        <f t="shared" ca="1" si="412"/>
        <v>1E-4</v>
      </c>
      <c r="B910" s="304">
        <f t="shared" ca="1" si="413"/>
        <v>32.552300000001907</v>
      </c>
      <c r="D910" s="306">
        <f t="shared" ca="1" si="414"/>
        <v>-0.55670972070004032</v>
      </c>
      <c r="E910" s="307">
        <f t="shared" ca="1" si="415"/>
        <v>-0.74213178740878583</v>
      </c>
      <c r="F910" s="304">
        <f t="shared" ca="1" si="416"/>
        <v>0.92773126658773131</v>
      </c>
      <c r="G910" s="306">
        <f t="shared" ca="1" si="417"/>
        <v>5.9368750191102695</v>
      </c>
      <c r="H910" s="307">
        <f t="shared" ca="1" si="418"/>
        <v>-96.702723876380347</v>
      </c>
      <c r="I910" s="304">
        <f t="shared" ca="1" si="419"/>
        <v>96.884793905462772</v>
      </c>
      <c r="J910" s="306">
        <f t="shared" ca="1" si="420"/>
        <v>588.9746359926213</v>
      </c>
      <c r="K910" s="307">
        <f t="shared" ca="1" si="421"/>
        <v>-12.441942395149427</v>
      </c>
      <c r="L910" s="304">
        <f t="shared" ca="1" si="406"/>
        <v>589.10603780067049</v>
      </c>
      <c r="M910" s="306">
        <f t="shared" ca="1" si="422"/>
        <v>-1.5094802366204723</v>
      </c>
      <c r="N910" s="304">
        <f t="shared" ca="1" si="423"/>
        <v>-86.486846816761911</v>
      </c>
      <c r="P910" s="310">
        <f t="shared" ca="1" si="424"/>
        <v>23</v>
      </c>
      <c r="Q910" s="304">
        <f t="shared" ca="1" si="425"/>
        <v>0</v>
      </c>
      <c r="R910" s="306">
        <f t="shared" ca="1" si="426"/>
        <v>0</v>
      </c>
      <c r="S910" s="307">
        <f t="shared" ca="1" si="427"/>
        <v>2.5949999999999998</v>
      </c>
      <c r="T910" s="304">
        <f t="shared" ca="1" si="407"/>
        <v>25.456949999999999</v>
      </c>
      <c r="U910" s="311">
        <f t="shared" ca="1" si="408"/>
        <v>0</v>
      </c>
      <c r="V910" s="306">
        <f t="shared" ca="1" si="409"/>
        <v>1.2265250866954462</v>
      </c>
      <c r="W910" s="304">
        <f t="shared" ca="1" si="410"/>
        <v>23.575480033580526</v>
      </c>
      <c r="Y910" s="314" t="str">
        <f t="shared" ca="1" si="428"/>
        <v/>
      </c>
      <c r="Z910" s="315" t="str">
        <f t="shared" ca="1" si="429"/>
        <v/>
      </c>
      <c r="AA910" s="316" t="str">
        <f t="shared" ca="1" si="430"/>
        <v/>
      </c>
      <c r="AC910" s="310" t="e">
        <f t="shared" ca="1" si="431"/>
        <v>#N/A</v>
      </c>
      <c r="AD910" s="323" t="e">
        <f t="shared" ca="1" si="432"/>
        <v>#N/A</v>
      </c>
      <c r="AE910" s="324" t="e">
        <f t="shared" ca="1" si="411"/>
        <v>#N/A</v>
      </c>
      <c r="AG910" s="306">
        <f t="shared" ca="1" si="433"/>
        <v>0.70662289083086272</v>
      </c>
      <c r="AH910" s="304">
        <f t="shared" ca="1" si="434"/>
        <v>-9.0849413665716146</v>
      </c>
    </row>
    <row r="911" spans="1:34" x14ac:dyDescent="0.2">
      <c r="A911" s="347">
        <f t="shared" ca="1" si="412"/>
        <v>1E-4</v>
      </c>
      <c r="B911" s="304">
        <f t="shared" ca="1" si="413"/>
        <v>32.55240000000191</v>
      </c>
      <c r="D911" s="306">
        <f t="shared" ca="1" si="414"/>
        <v>-0.55670544477626538</v>
      </c>
      <c r="E911" s="307">
        <f t="shared" ca="1" si="415"/>
        <v>-0.74210944589758476</v>
      </c>
      <c r="F911" s="304">
        <f t="shared" ca="1" si="416"/>
        <v>0.92771082883297196</v>
      </c>
      <c r="G911" s="306">
        <f t="shared" ca="1" si="417"/>
        <v>5.9368193485657921</v>
      </c>
      <c r="H911" s="307">
        <f t="shared" ca="1" si="418"/>
        <v>-96.702798087324936</v>
      </c>
      <c r="I911" s="304">
        <f t="shared" ca="1" si="419"/>
        <v>96.884864565604062</v>
      </c>
      <c r="J911" s="306">
        <f t="shared" ca="1" si="420"/>
        <v>588.9746359926213</v>
      </c>
      <c r="K911" s="307">
        <f t="shared" ca="1" si="421"/>
        <v>-12.451612671247613</v>
      </c>
      <c r="L911" s="304">
        <f t="shared" ca="1" si="406"/>
        <v>589.10624211661138</v>
      </c>
      <c r="M911" s="306">
        <f t="shared" ca="1" si="422"/>
        <v>-1.5094808570827141</v>
      </c>
      <c r="N911" s="304">
        <f t="shared" ca="1" si="423"/>
        <v>-86.486882366629715</v>
      </c>
      <c r="P911" s="310">
        <f t="shared" ca="1" si="424"/>
        <v>23</v>
      </c>
      <c r="Q911" s="304">
        <f t="shared" ca="1" si="425"/>
        <v>0</v>
      </c>
      <c r="R911" s="306">
        <f t="shared" ca="1" si="426"/>
        <v>0</v>
      </c>
      <c r="S911" s="307">
        <f t="shared" ca="1" si="427"/>
        <v>2.5949999999999998</v>
      </c>
      <c r="T911" s="304">
        <f t="shared" ca="1" si="407"/>
        <v>25.456949999999999</v>
      </c>
      <c r="U911" s="311">
        <f t="shared" ca="1" si="408"/>
        <v>0</v>
      </c>
      <c r="V911" s="306">
        <f t="shared" ca="1" si="409"/>
        <v>1.2265262727801023</v>
      </c>
      <c r="W911" s="304">
        <f t="shared" ca="1" si="410"/>
        <v>23.57553721998454</v>
      </c>
      <c r="Y911" s="314" t="str">
        <f t="shared" ca="1" si="428"/>
        <v/>
      </c>
      <c r="Z911" s="315" t="str">
        <f t="shared" ca="1" si="429"/>
        <v/>
      </c>
      <c r="AA911" s="316" t="str">
        <f t="shared" ca="1" si="430"/>
        <v/>
      </c>
      <c r="AC911" s="310" t="e">
        <f t="shared" ca="1" si="431"/>
        <v>#N/A</v>
      </c>
      <c r="AD911" s="323" t="e">
        <f t="shared" ca="1" si="432"/>
        <v>#N/A</v>
      </c>
      <c r="AE911" s="324" t="e">
        <f t="shared" ca="1" si="411"/>
        <v>#N/A</v>
      </c>
      <c r="AG911" s="306">
        <f t="shared" ca="1" si="433"/>
        <v>0.70660122631207933</v>
      </c>
      <c r="AH911" s="304">
        <f t="shared" ca="1" si="434"/>
        <v>-9.0849634040772749</v>
      </c>
    </row>
    <row r="912" spans="1:34" x14ac:dyDescent="0.2">
      <c r="A912" s="347">
        <f t="shared" ca="1" si="412"/>
        <v>1E-4</v>
      </c>
      <c r="B912" s="304">
        <f t="shared" ca="1" si="413"/>
        <v>32.552500000001913</v>
      </c>
      <c r="D912" s="306">
        <f t="shared" ca="1" si="414"/>
        <v>-0.55670116886414323</v>
      </c>
      <c r="E912" s="307">
        <f t="shared" ca="1" si="415"/>
        <v>-0.74208710474702499</v>
      </c>
      <c r="F912" s="304">
        <f t="shared" ca="1" si="416"/>
        <v>0.92769039148119103</v>
      </c>
      <c r="G912" s="306">
        <f t="shared" ca="1" si="417"/>
        <v>5.936763678448906</v>
      </c>
      <c r="H912" s="307">
        <f t="shared" ca="1" si="418"/>
        <v>-96.702872296035409</v>
      </c>
      <c r="I912" s="304">
        <f t="shared" ca="1" si="419"/>
        <v>96.884935223578921</v>
      </c>
      <c r="J912" s="306">
        <f t="shared" ca="1" si="420"/>
        <v>588.9746359926213</v>
      </c>
      <c r="K912" s="307">
        <f t="shared" ca="1" si="421"/>
        <v>-12.461282954766782</v>
      </c>
      <c r="L912" s="304">
        <f t="shared" ca="1" si="406"/>
        <v>589.10644659137745</v>
      </c>
      <c r="M912" s="306">
        <f t="shared" ca="1" si="422"/>
        <v>-1.5094814775382324</v>
      </c>
      <c r="N912" s="304">
        <f t="shared" ca="1" si="423"/>
        <v>-86.48691791611229</v>
      </c>
      <c r="P912" s="310">
        <f t="shared" ca="1" si="424"/>
        <v>23</v>
      </c>
      <c r="Q912" s="304">
        <f t="shared" ca="1" si="425"/>
        <v>0</v>
      </c>
      <c r="R912" s="306">
        <f t="shared" ca="1" si="426"/>
        <v>0</v>
      </c>
      <c r="S912" s="307">
        <f t="shared" ca="1" si="427"/>
        <v>2.5949999999999998</v>
      </c>
      <c r="T912" s="304">
        <f t="shared" ca="1" si="407"/>
        <v>25.456949999999999</v>
      </c>
      <c r="U912" s="311">
        <f t="shared" ca="1" si="408"/>
        <v>0</v>
      </c>
      <c r="V912" s="306">
        <f t="shared" ca="1" si="409"/>
        <v>1.226527458866816</v>
      </c>
      <c r="W912" s="304">
        <f t="shared" ca="1" si="410"/>
        <v>23.575594405465349</v>
      </c>
      <c r="Y912" s="314" t="str">
        <f t="shared" ca="1" si="428"/>
        <v/>
      </c>
      <c r="Z912" s="315" t="str">
        <f t="shared" ca="1" si="429"/>
        <v/>
      </c>
      <c r="AA912" s="316" t="str">
        <f t="shared" ca="1" si="430"/>
        <v/>
      </c>
      <c r="AC912" s="310" t="e">
        <f t="shared" ca="1" si="431"/>
        <v>#N/A</v>
      </c>
      <c r="AD912" s="323" t="e">
        <f t="shared" ca="1" si="432"/>
        <v>#N/A</v>
      </c>
      <c r="AE912" s="324" t="e">
        <f t="shared" ca="1" si="411"/>
        <v>#N/A</v>
      </c>
      <c r="AG912" s="306">
        <f t="shared" ca="1" si="433"/>
        <v>0.70657956214123629</v>
      </c>
      <c r="AH912" s="304">
        <f t="shared" ca="1" si="434"/>
        <v>-9.0849854412271842</v>
      </c>
    </row>
    <row r="913" spans="1:34" x14ac:dyDescent="0.2">
      <c r="A913" s="347">
        <f t="shared" ca="1" si="412"/>
        <v>1E-4</v>
      </c>
      <c r="B913" s="304">
        <f t="shared" ca="1" si="413"/>
        <v>32.552600000001917</v>
      </c>
      <c r="D913" s="306">
        <f t="shared" ca="1" si="414"/>
        <v>-0.55669689296368008</v>
      </c>
      <c r="E913" s="307">
        <f t="shared" ca="1" si="415"/>
        <v>-0.74206476395711896</v>
      </c>
      <c r="F913" s="304">
        <f t="shared" ca="1" si="416"/>
        <v>0.92766995453240253</v>
      </c>
      <c r="G913" s="306">
        <f t="shared" ca="1" si="417"/>
        <v>5.9367080087596094</v>
      </c>
      <c r="H913" s="307">
        <f t="shared" ca="1" si="418"/>
        <v>-96.702946502511807</v>
      </c>
      <c r="I913" s="304">
        <f t="shared" ca="1" si="419"/>
        <v>96.885005879387407</v>
      </c>
      <c r="J913" s="306">
        <f t="shared" ca="1" si="420"/>
        <v>588.9746359926213</v>
      </c>
      <c r="K913" s="307">
        <f t="shared" ca="1" si="421"/>
        <v>-12.47095324570671</v>
      </c>
      <c r="L913" s="304">
        <f t="shared" ca="1" si="406"/>
        <v>589.10665122496914</v>
      </c>
      <c r="M913" s="306">
        <f t="shared" ca="1" si="422"/>
        <v>-1.5094820979870278</v>
      </c>
      <c r="N913" s="304">
        <f t="shared" ca="1" si="423"/>
        <v>-86.486953465209666</v>
      </c>
      <c r="P913" s="310">
        <f t="shared" ca="1" si="424"/>
        <v>23</v>
      </c>
      <c r="Q913" s="304">
        <f t="shared" ca="1" si="425"/>
        <v>0</v>
      </c>
      <c r="R913" s="306">
        <f t="shared" ca="1" si="426"/>
        <v>0</v>
      </c>
      <c r="S913" s="307">
        <f t="shared" ca="1" si="427"/>
        <v>2.5949999999999998</v>
      </c>
      <c r="T913" s="304">
        <f t="shared" ca="1" si="407"/>
        <v>25.456949999999999</v>
      </c>
      <c r="U913" s="311">
        <f t="shared" ca="1" si="408"/>
        <v>0</v>
      </c>
      <c r="V913" s="306">
        <f t="shared" ca="1" si="409"/>
        <v>1.2265286449555874</v>
      </c>
      <c r="W913" s="304">
        <f t="shared" ca="1" si="410"/>
        <v>23.575651590022979</v>
      </c>
      <c r="Y913" s="314" t="str">
        <f t="shared" ca="1" si="428"/>
        <v/>
      </c>
      <c r="Z913" s="315" t="str">
        <f t="shared" ca="1" si="429"/>
        <v/>
      </c>
      <c r="AA913" s="316" t="str">
        <f t="shared" ca="1" si="430"/>
        <v/>
      </c>
      <c r="AC913" s="310" t="e">
        <f t="shared" ca="1" si="431"/>
        <v>#N/A</v>
      </c>
      <c r="AD913" s="323" t="e">
        <f t="shared" ca="1" si="432"/>
        <v>#N/A</v>
      </c>
      <c r="AE913" s="324" t="e">
        <f t="shared" ca="1" si="411"/>
        <v>#N/A</v>
      </c>
      <c r="AG913" s="306">
        <f t="shared" ca="1" si="433"/>
        <v>0.70655789831834426</v>
      </c>
      <c r="AH913" s="304">
        <f t="shared" ca="1" si="434"/>
        <v>-9.0850074780213301</v>
      </c>
    </row>
    <row r="914" spans="1:34" x14ac:dyDescent="0.2">
      <c r="A914" s="347">
        <f t="shared" ca="1" si="412"/>
        <v>1E-4</v>
      </c>
      <c r="B914" s="304">
        <f t="shared" ca="1" si="413"/>
        <v>32.55270000000192</v>
      </c>
      <c r="D914" s="306">
        <f t="shared" ca="1" si="414"/>
        <v>-0.55669261707487172</v>
      </c>
      <c r="E914" s="307">
        <f t="shared" ca="1" si="415"/>
        <v>-0.74204242352785421</v>
      </c>
      <c r="F914" s="304">
        <f t="shared" ca="1" si="416"/>
        <v>0.92764951798659456</v>
      </c>
      <c r="G914" s="306">
        <f t="shared" ca="1" si="417"/>
        <v>5.9366523394979023</v>
      </c>
      <c r="H914" s="307">
        <f t="shared" ca="1" si="418"/>
        <v>-96.70302070675416</v>
      </c>
      <c r="I914" s="304">
        <f t="shared" ca="1" si="419"/>
        <v>96.885076533029533</v>
      </c>
      <c r="J914" s="306">
        <f t="shared" ca="1" si="420"/>
        <v>588.9746359926213</v>
      </c>
      <c r="K914" s="307">
        <f t="shared" ca="1" si="421"/>
        <v>-12.480623544067173</v>
      </c>
      <c r="L914" s="304">
        <f t="shared" ca="1" si="406"/>
        <v>589.10685601738624</v>
      </c>
      <c r="M914" s="306">
        <f t="shared" ca="1" si="422"/>
        <v>-1.5094827184291004</v>
      </c>
      <c r="N914" s="304">
        <f t="shared" ca="1" si="423"/>
        <v>-86.486989013921871</v>
      </c>
      <c r="P914" s="310">
        <f t="shared" ca="1" si="424"/>
        <v>23</v>
      </c>
      <c r="Q914" s="304">
        <f t="shared" ca="1" si="425"/>
        <v>0</v>
      </c>
      <c r="R914" s="306">
        <f t="shared" ca="1" si="426"/>
        <v>0</v>
      </c>
      <c r="S914" s="307">
        <f t="shared" ca="1" si="427"/>
        <v>2.5949999999999998</v>
      </c>
      <c r="T914" s="304">
        <f t="shared" ca="1" si="407"/>
        <v>25.456949999999999</v>
      </c>
      <c r="U914" s="311">
        <f t="shared" ca="1" si="408"/>
        <v>0</v>
      </c>
      <c r="V914" s="306">
        <f t="shared" ca="1" si="409"/>
        <v>1.226529831046417</v>
      </c>
      <c r="W914" s="304">
        <f t="shared" ca="1" si="410"/>
        <v>23.575708773657443</v>
      </c>
      <c r="Y914" s="314" t="str">
        <f t="shared" ca="1" si="428"/>
        <v/>
      </c>
      <c r="Z914" s="315" t="str">
        <f t="shared" ca="1" si="429"/>
        <v/>
      </c>
      <c r="AA914" s="316" t="str">
        <f t="shared" ca="1" si="430"/>
        <v/>
      </c>
      <c r="AC914" s="310" t="e">
        <f t="shared" ca="1" si="431"/>
        <v>#N/A</v>
      </c>
      <c r="AD914" s="323" t="e">
        <f t="shared" ca="1" si="432"/>
        <v>#N/A</v>
      </c>
      <c r="AE914" s="324" t="e">
        <f t="shared" ca="1" si="411"/>
        <v>#N/A</v>
      </c>
      <c r="AG914" s="306">
        <f t="shared" ca="1" si="433"/>
        <v>0.70653623484339434</v>
      </c>
      <c r="AH914" s="304">
        <f t="shared" ca="1" si="434"/>
        <v>-9.0850295144597233</v>
      </c>
    </row>
    <row r="915" spans="1:34" x14ac:dyDescent="0.2">
      <c r="A915" s="347">
        <f t="shared" ca="1" si="412"/>
        <v>1E-4</v>
      </c>
      <c r="B915" s="304">
        <f t="shared" ca="1" si="413"/>
        <v>32.552800000001923</v>
      </c>
      <c r="D915" s="306">
        <f t="shared" ca="1" si="414"/>
        <v>-0.55668834119771948</v>
      </c>
      <c r="E915" s="307">
        <f t="shared" ca="1" si="415"/>
        <v>-0.74202008345922721</v>
      </c>
      <c r="F915" s="304">
        <f t="shared" ca="1" si="416"/>
        <v>0.92762908184376525</v>
      </c>
      <c r="G915" s="306">
        <f t="shared" ca="1" si="417"/>
        <v>5.9365966706637829</v>
      </c>
      <c r="H915" s="307">
        <f t="shared" ca="1" si="418"/>
        <v>-96.703094908762509</v>
      </c>
      <c r="I915" s="304">
        <f t="shared" ca="1" si="419"/>
        <v>96.885147184505357</v>
      </c>
      <c r="J915" s="306">
        <f t="shared" ca="1" si="420"/>
        <v>588.9746359926213</v>
      </c>
      <c r="K915" s="307">
        <f t="shared" ca="1" si="421"/>
        <v>-12.49029384984795</v>
      </c>
      <c r="L915" s="304">
        <f t="shared" ca="1" si="406"/>
        <v>589.1070609686293</v>
      </c>
      <c r="M915" s="306">
        <f t="shared" ca="1" si="422"/>
        <v>-1.50948333886445</v>
      </c>
      <c r="N915" s="304">
        <f t="shared" ca="1" si="423"/>
        <v>-86.487024562248848</v>
      </c>
      <c r="P915" s="310">
        <f t="shared" ca="1" si="424"/>
        <v>23</v>
      </c>
      <c r="Q915" s="304">
        <f t="shared" ca="1" si="425"/>
        <v>0</v>
      </c>
      <c r="R915" s="306">
        <f t="shared" ca="1" si="426"/>
        <v>0</v>
      </c>
      <c r="S915" s="307">
        <f t="shared" ca="1" si="427"/>
        <v>2.5949999999999998</v>
      </c>
      <c r="T915" s="304">
        <f t="shared" ca="1" si="407"/>
        <v>25.456949999999999</v>
      </c>
      <c r="U915" s="311">
        <f t="shared" ca="1" si="408"/>
        <v>0</v>
      </c>
      <c r="V915" s="306">
        <f t="shared" ca="1" si="409"/>
        <v>1.2265310171393045</v>
      </c>
      <c r="W915" s="304">
        <f t="shared" ca="1" si="410"/>
        <v>23.575765956368755</v>
      </c>
      <c r="Y915" s="314" t="str">
        <f t="shared" ca="1" si="428"/>
        <v/>
      </c>
      <c r="Z915" s="315" t="str">
        <f t="shared" ca="1" si="429"/>
        <v/>
      </c>
      <c r="AA915" s="316" t="str">
        <f t="shared" ca="1" si="430"/>
        <v/>
      </c>
      <c r="AC915" s="310" t="e">
        <f t="shared" ca="1" si="431"/>
        <v>#N/A</v>
      </c>
      <c r="AD915" s="323" t="e">
        <f t="shared" ca="1" si="432"/>
        <v>#N/A</v>
      </c>
      <c r="AE915" s="324" t="e">
        <f t="shared" ca="1" si="411"/>
        <v>#N/A</v>
      </c>
      <c r="AG915" s="306">
        <f t="shared" ca="1" si="433"/>
        <v>0.70651457171638476</v>
      </c>
      <c r="AH915" s="304">
        <f t="shared" ca="1" si="434"/>
        <v>-9.0850515505423672</v>
      </c>
    </row>
    <row r="916" spans="1:34" x14ac:dyDescent="0.2">
      <c r="A916" s="347">
        <f t="shared" ca="1" si="412"/>
        <v>1E-4</v>
      </c>
      <c r="B916" s="304">
        <f t="shared" ca="1" si="413"/>
        <v>32.552900000001927</v>
      </c>
      <c r="D916" s="306">
        <f t="shared" ca="1" si="414"/>
        <v>-0.55668406533222714</v>
      </c>
      <c r="E916" s="307">
        <f t="shared" ca="1" si="415"/>
        <v>-0.74199774375123084</v>
      </c>
      <c r="F916" s="304">
        <f t="shared" ca="1" si="416"/>
        <v>0.92760864610391192</v>
      </c>
      <c r="G916" s="306">
        <f t="shared" ca="1" si="417"/>
        <v>5.9365410022572496</v>
      </c>
      <c r="H916" s="307">
        <f t="shared" ca="1" si="418"/>
        <v>-96.703169108536883</v>
      </c>
      <c r="I916" s="304">
        <f t="shared" ca="1" si="419"/>
        <v>96.885217833814906</v>
      </c>
      <c r="J916" s="306">
        <f t="shared" ca="1" si="420"/>
        <v>588.9746359926213</v>
      </c>
      <c r="K916" s="307">
        <f t="shared" ca="1" si="421"/>
        <v>-12.499964163048814</v>
      </c>
      <c r="L916" s="304">
        <f t="shared" ca="1" si="406"/>
        <v>589.10726607869833</v>
      </c>
      <c r="M916" s="306">
        <f t="shared" ca="1" si="422"/>
        <v>-1.5094839592930769</v>
      </c>
      <c r="N916" s="304">
        <f t="shared" ca="1" si="423"/>
        <v>-86.487060110190669</v>
      </c>
      <c r="P916" s="310">
        <f t="shared" ca="1" si="424"/>
        <v>23</v>
      </c>
      <c r="Q916" s="304">
        <f t="shared" ca="1" si="425"/>
        <v>0</v>
      </c>
      <c r="R916" s="306">
        <f t="shared" ca="1" si="426"/>
        <v>0</v>
      </c>
      <c r="S916" s="307">
        <f t="shared" ca="1" si="427"/>
        <v>2.5949999999999998</v>
      </c>
      <c r="T916" s="304">
        <f t="shared" ca="1" si="407"/>
        <v>25.456949999999999</v>
      </c>
      <c r="U916" s="311">
        <f t="shared" ca="1" si="408"/>
        <v>0</v>
      </c>
      <c r="V916" s="306">
        <f t="shared" ca="1" si="409"/>
        <v>1.2265322032342496</v>
      </c>
      <c r="W916" s="304">
        <f t="shared" ca="1" si="410"/>
        <v>23.575823138156924</v>
      </c>
      <c r="Y916" s="314" t="str">
        <f t="shared" ca="1" si="428"/>
        <v/>
      </c>
      <c r="Z916" s="315" t="str">
        <f t="shared" ca="1" si="429"/>
        <v/>
      </c>
      <c r="AA916" s="316" t="str">
        <f t="shared" ca="1" si="430"/>
        <v/>
      </c>
      <c r="AC916" s="310" t="e">
        <f t="shared" ca="1" si="431"/>
        <v>#N/A</v>
      </c>
      <c r="AD916" s="323" t="e">
        <f t="shared" ca="1" si="432"/>
        <v>#N/A</v>
      </c>
      <c r="AE916" s="324" t="e">
        <f t="shared" ca="1" si="411"/>
        <v>#N/A</v>
      </c>
      <c r="AG916" s="306">
        <f t="shared" ca="1" si="433"/>
        <v>0.7064929089373031</v>
      </c>
      <c r="AH916" s="304">
        <f t="shared" ca="1" si="434"/>
        <v>-9.0850735862692709</v>
      </c>
    </row>
    <row r="917" spans="1:34" x14ac:dyDescent="0.2">
      <c r="A917" s="347">
        <f t="shared" ca="1" si="412"/>
        <v>1E-4</v>
      </c>
      <c r="B917" s="304">
        <f t="shared" ca="1" si="413"/>
        <v>32.55300000000193</v>
      </c>
      <c r="D917" s="306">
        <f t="shared" ca="1" si="414"/>
        <v>-0.55667978947839158</v>
      </c>
      <c r="E917" s="307">
        <f t="shared" ca="1" si="415"/>
        <v>-0.74197540440386334</v>
      </c>
      <c r="F917" s="304">
        <f t="shared" ca="1" si="416"/>
        <v>0.92758821076703157</v>
      </c>
      <c r="G917" s="306">
        <f t="shared" ca="1" si="417"/>
        <v>5.9364853342783022</v>
      </c>
      <c r="H917" s="307">
        <f t="shared" ca="1" si="418"/>
        <v>-96.703243306077326</v>
      </c>
      <c r="I917" s="304">
        <f t="shared" ca="1" si="419"/>
        <v>96.885288480958195</v>
      </c>
      <c r="J917" s="306">
        <f t="shared" ca="1" si="420"/>
        <v>588.9746359926213</v>
      </c>
      <c r="K917" s="307">
        <f t="shared" ca="1" si="421"/>
        <v>-12.509634483669545</v>
      </c>
      <c r="L917" s="304">
        <f t="shared" ca="1" si="406"/>
        <v>589.10747134759356</v>
      </c>
      <c r="M917" s="306">
        <f t="shared" ca="1" si="422"/>
        <v>-1.509484579714981</v>
      </c>
      <c r="N917" s="304">
        <f t="shared" ca="1" si="423"/>
        <v>-86.48709565774729</v>
      </c>
      <c r="P917" s="310">
        <f t="shared" ca="1" si="424"/>
        <v>23</v>
      </c>
      <c r="Q917" s="304">
        <f t="shared" ca="1" si="425"/>
        <v>0</v>
      </c>
      <c r="R917" s="306">
        <f t="shared" ca="1" si="426"/>
        <v>0</v>
      </c>
      <c r="S917" s="307">
        <f t="shared" ca="1" si="427"/>
        <v>2.5949999999999998</v>
      </c>
      <c r="T917" s="304">
        <f t="shared" ca="1" si="407"/>
        <v>25.456949999999999</v>
      </c>
      <c r="U917" s="311">
        <f t="shared" ca="1" si="408"/>
        <v>0</v>
      </c>
      <c r="V917" s="306">
        <f t="shared" ca="1" si="409"/>
        <v>1.2265333893312524</v>
      </c>
      <c r="W917" s="304">
        <f t="shared" ca="1" si="410"/>
        <v>23.575880319021945</v>
      </c>
      <c r="Y917" s="314" t="str">
        <f t="shared" ca="1" si="428"/>
        <v/>
      </c>
      <c r="Z917" s="315" t="str">
        <f t="shared" ca="1" si="429"/>
        <v/>
      </c>
      <c r="AA917" s="316" t="str">
        <f t="shared" ca="1" si="430"/>
        <v/>
      </c>
      <c r="AC917" s="310" t="e">
        <f t="shared" ca="1" si="431"/>
        <v>#N/A</v>
      </c>
      <c r="AD917" s="323" t="e">
        <f t="shared" ca="1" si="432"/>
        <v>#N/A</v>
      </c>
      <c r="AE917" s="324" t="e">
        <f t="shared" ca="1" si="411"/>
        <v>#N/A</v>
      </c>
      <c r="AG917" s="306">
        <f t="shared" ca="1" si="433"/>
        <v>0.70647124650615467</v>
      </c>
      <c r="AH917" s="304">
        <f t="shared" ca="1" si="434"/>
        <v>-9.0850956216404342</v>
      </c>
    </row>
    <row r="918" spans="1:34" x14ac:dyDescent="0.2">
      <c r="A918" s="347">
        <f t="shared" ca="1" si="412"/>
        <v>1E-4</v>
      </c>
      <c r="B918" s="304">
        <f t="shared" ca="1" si="413"/>
        <v>32.553100000001933</v>
      </c>
      <c r="D918" s="306">
        <f t="shared" ca="1" si="414"/>
        <v>-0.55667551363621603</v>
      </c>
      <c r="E918" s="307">
        <f t="shared" ca="1" si="415"/>
        <v>-0.74195306541712824</v>
      </c>
      <c r="F918" s="304">
        <f t="shared" ca="1" si="416"/>
        <v>0.92756777583312922</v>
      </c>
      <c r="G918" s="306">
        <f t="shared" ca="1" si="417"/>
        <v>5.9364296667269389</v>
      </c>
      <c r="H918" s="307">
        <f t="shared" ca="1" si="418"/>
        <v>-96.703317501383864</v>
      </c>
      <c r="I918" s="304">
        <f t="shared" ca="1" si="419"/>
        <v>96.885359125935281</v>
      </c>
      <c r="J918" s="306">
        <f t="shared" ca="1" si="420"/>
        <v>588.9746359926213</v>
      </c>
      <c r="K918" s="307">
        <f t="shared" ca="1" si="421"/>
        <v>-12.519304811709919</v>
      </c>
      <c r="L918" s="304">
        <f t="shared" ca="1" si="406"/>
        <v>589.10767677531521</v>
      </c>
      <c r="M918" s="306">
        <f t="shared" ca="1" si="422"/>
        <v>-1.5094852001301626</v>
      </c>
      <c r="N918" s="304">
        <f t="shared" ca="1" si="423"/>
        <v>-86.48713120491874</v>
      </c>
      <c r="P918" s="310">
        <f t="shared" ca="1" si="424"/>
        <v>23</v>
      </c>
      <c r="Q918" s="304">
        <f t="shared" ca="1" si="425"/>
        <v>0</v>
      </c>
      <c r="R918" s="306">
        <f t="shared" ca="1" si="426"/>
        <v>0</v>
      </c>
      <c r="S918" s="307">
        <f t="shared" ca="1" si="427"/>
        <v>2.5949999999999998</v>
      </c>
      <c r="T918" s="304">
        <f t="shared" ca="1" si="407"/>
        <v>25.456949999999999</v>
      </c>
      <c r="U918" s="311">
        <f t="shared" ca="1" si="408"/>
        <v>0</v>
      </c>
      <c r="V918" s="306">
        <f t="shared" ca="1" si="409"/>
        <v>1.2265345754303132</v>
      </c>
      <c r="W918" s="304">
        <f t="shared" ca="1" si="410"/>
        <v>23.575937498963857</v>
      </c>
      <c r="Y918" s="314" t="str">
        <f t="shared" ca="1" si="428"/>
        <v/>
      </c>
      <c r="Z918" s="315" t="str">
        <f t="shared" ca="1" si="429"/>
        <v/>
      </c>
      <c r="AA918" s="316" t="str">
        <f t="shared" ca="1" si="430"/>
        <v/>
      </c>
      <c r="AC918" s="310" t="e">
        <f t="shared" ca="1" si="431"/>
        <v>#N/A</v>
      </c>
      <c r="AD918" s="323" t="e">
        <f t="shared" ca="1" si="432"/>
        <v>#N/A</v>
      </c>
      <c r="AE918" s="324" t="e">
        <f t="shared" ca="1" si="411"/>
        <v>#N/A</v>
      </c>
      <c r="AG918" s="306">
        <f t="shared" ca="1" si="433"/>
        <v>0.70644958442293593</v>
      </c>
      <c r="AH918" s="304">
        <f t="shared" ca="1" si="434"/>
        <v>-9.0851176566558554</v>
      </c>
    </row>
    <row r="919" spans="1:34" x14ac:dyDescent="0.2">
      <c r="A919" s="347">
        <f t="shared" ca="1" si="412"/>
        <v>1E-4</v>
      </c>
      <c r="B919" s="304">
        <f t="shared" ca="1" si="413"/>
        <v>32.553200000001937</v>
      </c>
      <c r="D919" s="306">
        <f t="shared" ca="1" si="414"/>
        <v>-0.55667123780569849</v>
      </c>
      <c r="E919" s="307">
        <f t="shared" ca="1" si="415"/>
        <v>-0.74193072679100602</v>
      </c>
      <c r="F919" s="304">
        <f t="shared" ca="1" si="416"/>
        <v>0.92754734130218863</v>
      </c>
      <c r="G919" s="306">
        <f t="shared" ca="1" si="417"/>
        <v>5.9363739996031581</v>
      </c>
      <c r="H919" s="307">
        <f t="shared" ca="1" si="418"/>
        <v>-96.703391694456542</v>
      </c>
      <c r="I919" s="304">
        <f t="shared" ca="1" si="419"/>
        <v>96.885429768746192</v>
      </c>
      <c r="J919" s="306">
        <f t="shared" ca="1" si="420"/>
        <v>588.9746359926213</v>
      </c>
      <c r="K919" s="307">
        <f t="shared" ca="1" si="421"/>
        <v>-12.52897514716971</v>
      </c>
      <c r="L919" s="304">
        <f t="shared" ca="1" si="406"/>
        <v>589.1078823618634</v>
      </c>
      <c r="M919" s="306">
        <f t="shared" ca="1" si="422"/>
        <v>-1.5094858205386217</v>
      </c>
      <c r="N919" s="304">
        <f t="shared" ca="1" si="423"/>
        <v>-86.487166751705018</v>
      </c>
      <c r="P919" s="310">
        <f t="shared" ca="1" si="424"/>
        <v>23</v>
      </c>
      <c r="Q919" s="304">
        <f t="shared" ca="1" si="425"/>
        <v>0</v>
      </c>
      <c r="R919" s="306">
        <f t="shared" ca="1" si="426"/>
        <v>0</v>
      </c>
      <c r="S919" s="307">
        <f t="shared" ca="1" si="427"/>
        <v>2.5949999999999998</v>
      </c>
      <c r="T919" s="304">
        <f t="shared" ca="1" si="407"/>
        <v>25.456949999999999</v>
      </c>
      <c r="U919" s="311">
        <f t="shared" ca="1" si="408"/>
        <v>0</v>
      </c>
      <c r="V919" s="306">
        <f t="shared" ca="1" si="409"/>
        <v>1.2265357615314312</v>
      </c>
      <c r="W919" s="304">
        <f t="shared" ca="1" si="410"/>
        <v>23.575994677982646</v>
      </c>
      <c r="Y919" s="314" t="str">
        <f t="shared" ca="1" si="428"/>
        <v/>
      </c>
      <c r="Z919" s="315" t="str">
        <f t="shared" ca="1" si="429"/>
        <v/>
      </c>
      <c r="AA919" s="316" t="str">
        <f t="shared" ca="1" si="430"/>
        <v/>
      </c>
      <c r="AC919" s="310" t="e">
        <f t="shared" ca="1" si="431"/>
        <v>#N/A</v>
      </c>
      <c r="AD919" s="323" t="e">
        <f t="shared" ca="1" si="432"/>
        <v>#N/A</v>
      </c>
      <c r="AE919" s="324" t="e">
        <f t="shared" ca="1" si="411"/>
        <v>#N/A</v>
      </c>
      <c r="AG919" s="306">
        <f t="shared" ca="1" si="433"/>
        <v>0.70642792268763266</v>
      </c>
      <c r="AH919" s="304">
        <f t="shared" ca="1" si="434"/>
        <v>-9.0851396913155522</v>
      </c>
    </row>
    <row r="920" spans="1:34" x14ac:dyDescent="0.2">
      <c r="A920" s="347">
        <f t="shared" ca="1" si="412"/>
        <v>1E-4</v>
      </c>
      <c r="B920" s="304">
        <f t="shared" ca="1" si="413"/>
        <v>32.55330000000194</v>
      </c>
      <c r="D920" s="306">
        <f t="shared" ca="1" si="414"/>
        <v>-0.55666696198684174</v>
      </c>
      <c r="E920" s="307">
        <f t="shared" ca="1" si="415"/>
        <v>-0.74190838852550378</v>
      </c>
      <c r="F920" s="304">
        <f t="shared" ca="1" si="416"/>
        <v>0.92752690717421771</v>
      </c>
      <c r="G920" s="306">
        <f t="shared" ca="1" si="417"/>
        <v>5.9363183329069598</v>
      </c>
      <c r="H920" s="307">
        <f t="shared" ca="1" si="418"/>
        <v>-96.703465885295401</v>
      </c>
      <c r="I920" s="304">
        <f t="shared" ca="1" si="419"/>
        <v>96.885500409390971</v>
      </c>
      <c r="J920" s="306">
        <f t="shared" ca="1" si="420"/>
        <v>588.9746359926213</v>
      </c>
      <c r="K920" s="307">
        <f t="shared" ca="1" si="421"/>
        <v>-12.538645490048697</v>
      </c>
      <c r="L920" s="304">
        <f t="shared" ca="1" si="406"/>
        <v>589.10808810723847</v>
      </c>
      <c r="M920" s="306">
        <f t="shared" ca="1" si="422"/>
        <v>-1.5094864409403583</v>
      </c>
      <c r="N920" s="304">
        <f t="shared" ca="1" si="423"/>
        <v>-86.487202298106126</v>
      </c>
      <c r="P920" s="310">
        <f t="shared" ca="1" si="424"/>
        <v>23</v>
      </c>
      <c r="Q920" s="304">
        <f t="shared" ca="1" si="425"/>
        <v>0</v>
      </c>
      <c r="R920" s="306">
        <f t="shared" ca="1" si="426"/>
        <v>0</v>
      </c>
      <c r="S920" s="307">
        <f t="shared" ca="1" si="427"/>
        <v>2.5949999999999998</v>
      </c>
      <c r="T920" s="304">
        <f t="shared" ca="1" si="407"/>
        <v>25.456949999999999</v>
      </c>
      <c r="U920" s="311">
        <f t="shared" ca="1" si="408"/>
        <v>0</v>
      </c>
      <c r="V920" s="306">
        <f t="shared" ca="1" si="409"/>
        <v>1.2265369476346071</v>
      </c>
      <c r="W920" s="304">
        <f t="shared" ca="1" si="410"/>
        <v>23.57605185607834</v>
      </c>
      <c r="Y920" s="314" t="str">
        <f t="shared" ca="1" si="428"/>
        <v/>
      </c>
      <c r="Z920" s="315" t="str">
        <f t="shared" ca="1" si="429"/>
        <v/>
      </c>
      <c r="AA920" s="316" t="str">
        <f t="shared" ca="1" si="430"/>
        <v/>
      </c>
      <c r="AC920" s="310" t="e">
        <f t="shared" ca="1" si="431"/>
        <v>#N/A</v>
      </c>
      <c r="AD920" s="323" t="e">
        <f t="shared" ca="1" si="432"/>
        <v>#N/A</v>
      </c>
      <c r="AE920" s="324" t="e">
        <f t="shared" ca="1" si="411"/>
        <v>#N/A</v>
      </c>
      <c r="AG920" s="306">
        <f t="shared" ca="1" si="433"/>
        <v>0.70640626130025019</v>
      </c>
      <c r="AH920" s="304">
        <f t="shared" ca="1" si="434"/>
        <v>-9.0851617256195176</v>
      </c>
    </row>
    <row r="921" spans="1:34" x14ac:dyDescent="0.2">
      <c r="A921" s="347">
        <f t="shared" ca="1" si="412"/>
        <v>1E-4</v>
      </c>
      <c r="B921" s="304">
        <f t="shared" ca="1" si="413"/>
        <v>32.553400000001943</v>
      </c>
      <c r="D921" s="306">
        <f t="shared" ca="1" si="414"/>
        <v>-0.55666268617964543</v>
      </c>
      <c r="E921" s="307">
        <f t="shared" ca="1" si="415"/>
        <v>-0.74188605062061086</v>
      </c>
      <c r="F921" s="304">
        <f t="shared" ca="1" si="416"/>
        <v>0.92750647344920778</v>
      </c>
      <c r="G921" s="306">
        <f t="shared" ca="1" si="417"/>
        <v>5.936262666638342</v>
      </c>
      <c r="H921" s="307">
        <f t="shared" ca="1" si="418"/>
        <v>-96.70354007390047</v>
      </c>
      <c r="I921" s="304">
        <f t="shared" ca="1" si="419"/>
        <v>96.885571047869647</v>
      </c>
      <c r="J921" s="306">
        <f t="shared" ca="1" si="420"/>
        <v>588.9746359926213</v>
      </c>
      <c r="K921" s="307">
        <f t="shared" ca="1" si="421"/>
        <v>-12.548315840346657</v>
      </c>
      <c r="L921" s="304">
        <f t="shared" ca="1" si="406"/>
        <v>589.10829401144053</v>
      </c>
      <c r="M921" s="306">
        <f t="shared" ca="1" si="422"/>
        <v>-1.5094870613353728</v>
      </c>
      <c r="N921" s="304">
        <f t="shared" ca="1" si="423"/>
        <v>-86.487237844122092</v>
      </c>
      <c r="P921" s="310">
        <f t="shared" ca="1" si="424"/>
        <v>23</v>
      </c>
      <c r="Q921" s="304">
        <f t="shared" ca="1" si="425"/>
        <v>0</v>
      </c>
      <c r="R921" s="306">
        <f t="shared" ca="1" si="426"/>
        <v>0</v>
      </c>
      <c r="S921" s="307">
        <f t="shared" ca="1" si="427"/>
        <v>2.5949999999999998</v>
      </c>
      <c r="T921" s="304">
        <f t="shared" ca="1" si="407"/>
        <v>25.456949999999999</v>
      </c>
      <c r="U921" s="311">
        <f t="shared" ca="1" si="408"/>
        <v>0</v>
      </c>
      <c r="V921" s="306">
        <f t="shared" ca="1" si="409"/>
        <v>1.2265381337398413</v>
      </c>
      <c r="W921" s="304">
        <f t="shared" ca="1" si="410"/>
        <v>23.576109033250962</v>
      </c>
      <c r="Y921" s="314" t="str">
        <f t="shared" ca="1" si="428"/>
        <v/>
      </c>
      <c r="Z921" s="315" t="str">
        <f t="shared" ca="1" si="429"/>
        <v/>
      </c>
      <c r="AA921" s="316" t="str">
        <f t="shared" ca="1" si="430"/>
        <v/>
      </c>
      <c r="AC921" s="310" t="e">
        <f t="shared" ca="1" si="431"/>
        <v>#N/A</v>
      </c>
      <c r="AD921" s="323" t="e">
        <f t="shared" ca="1" si="432"/>
        <v>#N/A</v>
      </c>
      <c r="AE921" s="324" t="e">
        <f t="shared" ca="1" si="411"/>
        <v>#N/A</v>
      </c>
      <c r="AG921" s="306">
        <f t="shared" ca="1" si="433"/>
        <v>0.70638460026077965</v>
      </c>
      <c r="AH921" s="304">
        <f t="shared" ca="1" si="434"/>
        <v>-9.0851837595677623</v>
      </c>
    </row>
    <row r="922" spans="1:34" x14ac:dyDescent="0.2">
      <c r="A922" s="347">
        <f t="shared" ca="1" si="412"/>
        <v>1E-4</v>
      </c>
      <c r="B922" s="304">
        <f t="shared" ca="1" si="413"/>
        <v>32.553500000001947</v>
      </c>
      <c r="D922" s="306">
        <f t="shared" ca="1" si="414"/>
        <v>-0.55665841038410935</v>
      </c>
      <c r="E922" s="307">
        <f t="shared" ca="1" si="415"/>
        <v>-0.74186371307631838</v>
      </c>
      <c r="F922" s="304">
        <f t="shared" ca="1" si="416"/>
        <v>0.9274860401271523</v>
      </c>
      <c r="G922" s="306">
        <f t="shared" ca="1" si="417"/>
        <v>5.936207000797304</v>
      </c>
      <c r="H922" s="307">
        <f t="shared" ca="1" si="418"/>
        <v>-96.703614260271777</v>
      </c>
      <c r="I922" s="304">
        <f t="shared" ca="1" si="419"/>
        <v>96.885641684182261</v>
      </c>
      <c r="J922" s="306">
        <f t="shared" ca="1" si="420"/>
        <v>588.9746359926213</v>
      </c>
      <c r="K922" s="307">
        <f t="shared" ca="1" si="421"/>
        <v>-12.557986198063366</v>
      </c>
      <c r="L922" s="304">
        <f t="shared" ca="1" si="406"/>
        <v>589.1085000744697</v>
      </c>
      <c r="M922" s="306">
        <f t="shared" ca="1" si="422"/>
        <v>-1.5094876817236649</v>
      </c>
      <c r="N922" s="304">
        <f t="shared" ca="1" si="423"/>
        <v>-86.487273389752886</v>
      </c>
      <c r="P922" s="310">
        <f t="shared" ca="1" si="424"/>
        <v>23</v>
      </c>
      <c r="Q922" s="304">
        <f t="shared" ca="1" si="425"/>
        <v>0</v>
      </c>
      <c r="R922" s="306">
        <f t="shared" ca="1" si="426"/>
        <v>0</v>
      </c>
      <c r="S922" s="307">
        <f t="shared" ca="1" si="427"/>
        <v>2.5949999999999998</v>
      </c>
      <c r="T922" s="304">
        <f t="shared" ca="1" si="407"/>
        <v>25.456949999999999</v>
      </c>
      <c r="U922" s="311">
        <f t="shared" ca="1" si="408"/>
        <v>0</v>
      </c>
      <c r="V922" s="306">
        <f t="shared" ca="1" si="409"/>
        <v>1.2265393198471324</v>
      </c>
      <c r="W922" s="304">
        <f t="shared" ca="1" si="410"/>
        <v>23.576166209500489</v>
      </c>
      <c r="Y922" s="314" t="str">
        <f t="shared" ca="1" si="428"/>
        <v/>
      </c>
      <c r="Z922" s="315" t="str">
        <f t="shared" ca="1" si="429"/>
        <v/>
      </c>
      <c r="AA922" s="316" t="str">
        <f t="shared" ca="1" si="430"/>
        <v/>
      </c>
      <c r="AC922" s="310" t="e">
        <f t="shared" ca="1" si="431"/>
        <v>#N/A</v>
      </c>
      <c r="AD922" s="323" t="e">
        <f t="shared" ca="1" si="432"/>
        <v>#N/A</v>
      </c>
      <c r="AE922" s="324" t="e">
        <f t="shared" ca="1" si="411"/>
        <v>#N/A</v>
      </c>
      <c r="AG922" s="306">
        <f t="shared" ca="1" si="433"/>
        <v>0.70636293956921214</v>
      </c>
      <c r="AH922" s="304">
        <f t="shared" ca="1" si="434"/>
        <v>-9.085205793160295</v>
      </c>
    </row>
    <row r="923" spans="1:34" x14ac:dyDescent="0.2">
      <c r="A923" s="347">
        <f t="shared" ca="1" si="412"/>
        <v>1E-4</v>
      </c>
      <c r="B923" s="304">
        <f t="shared" ca="1" si="413"/>
        <v>32.55360000000195</v>
      </c>
      <c r="D923" s="306">
        <f t="shared" ca="1" si="414"/>
        <v>-0.55665413460023605</v>
      </c>
      <c r="E923" s="307">
        <f t="shared" ca="1" si="415"/>
        <v>-0.74184137589263699</v>
      </c>
      <c r="F923" s="304">
        <f t="shared" ca="1" si="416"/>
        <v>0.92746560720806159</v>
      </c>
      <c r="G923" s="306">
        <f t="shared" ca="1" si="417"/>
        <v>5.936151335383844</v>
      </c>
      <c r="H923" s="307">
        <f t="shared" ca="1" si="418"/>
        <v>-96.703688444409366</v>
      </c>
      <c r="I923" s="304">
        <f t="shared" ca="1" si="419"/>
        <v>96.885712318328814</v>
      </c>
      <c r="J923" s="306">
        <f t="shared" ca="1" si="420"/>
        <v>588.9746359926213</v>
      </c>
      <c r="K923" s="307">
        <f t="shared" ca="1" si="421"/>
        <v>-12.5676565631986</v>
      </c>
      <c r="L923" s="304">
        <f t="shared" ca="1" si="406"/>
        <v>589.10870629632632</v>
      </c>
      <c r="M923" s="306">
        <f t="shared" ca="1" si="422"/>
        <v>-1.509488302105235</v>
      </c>
      <c r="N923" s="304">
        <f t="shared" ca="1" si="423"/>
        <v>-86.487308934998538</v>
      </c>
      <c r="P923" s="310">
        <f t="shared" ca="1" si="424"/>
        <v>23</v>
      </c>
      <c r="Q923" s="304">
        <f t="shared" ca="1" si="425"/>
        <v>0</v>
      </c>
      <c r="R923" s="306">
        <f t="shared" ca="1" si="426"/>
        <v>0</v>
      </c>
      <c r="S923" s="307">
        <f t="shared" ca="1" si="427"/>
        <v>2.5949999999999998</v>
      </c>
      <c r="T923" s="304">
        <f t="shared" ca="1" si="407"/>
        <v>25.456949999999999</v>
      </c>
      <c r="U923" s="311">
        <f t="shared" ca="1" si="408"/>
        <v>0</v>
      </c>
      <c r="V923" s="306">
        <f t="shared" ca="1" si="409"/>
        <v>1.2265405059564816</v>
      </c>
      <c r="W923" s="304">
        <f t="shared" ca="1" si="410"/>
        <v>23.576223384826957</v>
      </c>
      <c r="Y923" s="314" t="str">
        <f t="shared" ca="1" si="428"/>
        <v/>
      </c>
      <c r="Z923" s="315" t="str">
        <f t="shared" ca="1" si="429"/>
        <v/>
      </c>
      <c r="AA923" s="316" t="str">
        <f t="shared" ca="1" si="430"/>
        <v/>
      </c>
      <c r="AC923" s="310" t="e">
        <f t="shared" ca="1" si="431"/>
        <v>#N/A</v>
      </c>
      <c r="AD923" s="323" t="e">
        <f t="shared" ca="1" si="432"/>
        <v>#N/A</v>
      </c>
      <c r="AE923" s="324" t="e">
        <f t="shared" ca="1" si="411"/>
        <v>#N/A</v>
      </c>
      <c r="AG923" s="306">
        <f t="shared" ca="1" si="433"/>
        <v>0.70634127922555656</v>
      </c>
      <c r="AH923" s="304">
        <f t="shared" ca="1" si="434"/>
        <v>-9.0852278263971069</v>
      </c>
    </row>
    <row r="924" spans="1:34" x14ac:dyDescent="0.2">
      <c r="A924" s="347">
        <f t="shared" ca="1" si="412"/>
        <v>1E-4</v>
      </c>
      <c r="B924" s="304">
        <f t="shared" ca="1" si="413"/>
        <v>32.553700000001953</v>
      </c>
      <c r="D924" s="306">
        <f t="shared" ca="1" si="414"/>
        <v>-0.55664985882802342</v>
      </c>
      <c r="E924" s="307">
        <f t="shared" ca="1" si="415"/>
        <v>-0.74181903906954894</v>
      </c>
      <c r="F924" s="304">
        <f t="shared" ca="1" si="416"/>
        <v>0.92744517469192078</v>
      </c>
      <c r="G924" s="306">
        <f t="shared" ca="1" si="417"/>
        <v>5.936095670397961</v>
      </c>
      <c r="H924" s="307">
        <f t="shared" ca="1" si="418"/>
        <v>-96.703762626313278</v>
      </c>
      <c r="I924" s="304">
        <f t="shared" ca="1" si="419"/>
        <v>96.885782950309391</v>
      </c>
      <c r="J924" s="306">
        <f t="shared" ca="1" si="420"/>
        <v>588.9746359926213</v>
      </c>
      <c r="K924" s="307">
        <f t="shared" ca="1" si="421"/>
        <v>-12.577326935752136</v>
      </c>
      <c r="L924" s="304">
        <f t="shared" ca="1" si="406"/>
        <v>589.10891267701049</v>
      </c>
      <c r="M924" s="306">
        <f t="shared" ca="1" si="422"/>
        <v>-1.5094889224800829</v>
      </c>
      <c r="N924" s="304">
        <f t="shared" ca="1" si="423"/>
        <v>-86.487344479859047</v>
      </c>
      <c r="P924" s="310">
        <f t="shared" ca="1" si="424"/>
        <v>23</v>
      </c>
      <c r="Q924" s="304">
        <f t="shared" ca="1" si="425"/>
        <v>0</v>
      </c>
      <c r="R924" s="306">
        <f t="shared" ca="1" si="426"/>
        <v>0</v>
      </c>
      <c r="S924" s="307">
        <f t="shared" ca="1" si="427"/>
        <v>2.5949999999999998</v>
      </c>
      <c r="T924" s="304">
        <f t="shared" ca="1" si="407"/>
        <v>25.456949999999999</v>
      </c>
      <c r="U924" s="311">
        <f t="shared" ca="1" si="408"/>
        <v>0</v>
      </c>
      <c r="V924" s="306">
        <f t="shared" ca="1" si="409"/>
        <v>1.2265416920678884</v>
      </c>
      <c r="W924" s="304">
        <f t="shared" ca="1" si="410"/>
        <v>23.57628055923038</v>
      </c>
      <c r="Y924" s="314" t="str">
        <f t="shared" ca="1" si="428"/>
        <v/>
      </c>
      <c r="Z924" s="315" t="str">
        <f t="shared" ca="1" si="429"/>
        <v/>
      </c>
      <c r="AA924" s="316" t="str">
        <f t="shared" ca="1" si="430"/>
        <v/>
      </c>
      <c r="AC924" s="310" t="e">
        <f t="shared" ca="1" si="431"/>
        <v>#N/A</v>
      </c>
      <c r="AD924" s="323" t="e">
        <f t="shared" ca="1" si="432"/>
        <v>#N/A</v>
      </c>
      <c r="AE924" s="324" t="e">
        <f t="shared" ca="1" si="411"/>
        <v>#N/A</v>
      </c>
      <c r="AG924" s="306">
        <f t="shared" ca="1" si="433"/>
        <v>0.70631961922979691</v>
      </c>
      <c r="AH924" s="304">
        <f t="shared" ca="1" si="434"/>
        <v>-9.0852498592782123</v>
      </c>
    </row>
    <row r="925" spans="1:34" x14ac:dyDescent="0.2">
      <c r="A925" s="347">
        <f t="shared" ca="1" si="412"/>
        <v>1E-4</v>
      </c>
      <c r="B925" s="304">
        <f t="shared" ca="1" si="413"/>
        <v>32.553800000001957</v>
      </c>
      <c r="D925" s="306">
        <f t="shared" ca="1" si="414"/>
        <v>-0.55664558306747491</v>
      </c>
      <c r="E925" s="307">
        <f t="shared" ca="1" si="415"/>
        <v>-0.74179670260705421</v>
      </c>
      <c r="F925" s="304">
        <f t="shared" ca="1" si="416"/>
        <v>0.92742474257873209</v>
      </c>
      <c r="G925" s="306">
        <f t="shared" ca="1" si="417"/>
        <v>5.9360400058396543</v>
      </c>
      <c r="H925" s="307">
        <f t="shared" ca="1" si="418"/>
        <v>-96.703836805983542</v>
      </c>
      <c r="I925" s="304">
        <f t="shared" ca="1" si="419"/>
        <v>96.885853580123992</v>
      </c>
      <c r="J925" s="306">
        <f t="shared" ca="1" si="420"/>
        <v>588.9746359926213</v>
      </c>
      <c r="K925" s="307">
        <f t="shared" ca="1" si="421"/>
        <v>-12.586997315723751</v>
      </c>
      <c r="L925" s="304">
        <f t="shared" ca="1" si="406"/>
        <v>589.10911921652234</v>
      </c>
      <c r="M925" s="306">
        <f t="shared" ca="1" si="422"/>
        <v>-1.5094895428482091</v>
      </c>
      <c r="N925" s="304">
        <f t="shared" ca="1" si="423"/>
        <v>-86.487380024334428</v>
      </c>
      <c r="P925" s="310">
        <f t="shared" ca="1" si="424"/>
        <v>23</v>
      </c>
      <c r="Q925" s="304">
        <f t="shared" ca="1" si="425"/>
        <v>0</v>
      </c>
      <c r="R925" s="306">
        <f t="shared" ca="1" si="426"/>
        <v>0</v>
      </c>
      <c r="S925" s="307">
        <f t="shared" ca="1" si="427"/>
        <v>2.5949999999999998</v>
      </c>
      <c r="T925" s="304">
        <f t="shared" ca="1" si="407"/>
        <v>25.456949999999999</v>
      </c>
      <c r="U925" s="311">
        <f t="shared" ca="1" si="408"/>
        <v>0</v>
      </c>
      <c r="V925" s="306">
        <f t="shared" ca="1" si="409"/>
        <v>1.2265428781813525</v>
      </c>
      <c r="W925" s="304">
        <f t="shared" ca="1" si="410"/>
        <v>23.576337732710748</v>
      </c>
      <c r="Y925" s="314" t="str">
        <f t="shared" ca="1" si="428"/>
        <v/>
      </c>
      <c r="Z925" s="315" t="str">
        <f t="shared" ca="1" si="429"/>
        <v/>
      </c>
      <c r="AA925" s="316" t="str">
        <f t="shared" ca="1" si="430"/>
        <v/>
      </c>
      <c r="AC925" s="310" t="e">
        <f t="shared" ca="1" si="431"/>
        <v>#N/A</v>
      </c>
      <c r="AD925" s="323" t="e">
        <f t="shared" ca="1" si="432"/>
        <v>#N/A</v>
      </c>
      <c r="AE925" s="324" t="e">
        <f t="shared" ca="1" si="411"/>
        <v>#N/A</v>
      </c>
      <c r="AG925" s="306">
        <f t="shared" ca="1" si="433"/>
        <v>0.70629795958193142</v>
      </c>
      <c r="AH925" s="304">
        <f t="shared" ca="1" si="434"/>
        <v>-9.0852718918036146</v>
      </c>
    </row>
    <row r="926" spans="1:34" x14ac:dyDescent="0.2">
      <c r="A926" s="347">
        <f t="shared" ca="1" si="412"/>
        <v>1E-4</v>
      </c>
      <c r="B926" s="304">
        <f t="shared" ca="1" si="413"/>
        <v>32.55390000000196</v>
      </c>
      <c r="D926" s="306">
        <f t="shared" ca="1" si="414"/>
        <v>-0.55664130731858741</v>
      </c>
      <c r="E926" s="307">
        <f t="shared" ca="1" si="415"/>
        <v>-0.74177436650515105</v>
      </c>
      <c r="F926" s="304">
        <f t="shared" ca="1" si="416"/>
        <v>0.92740431086849284</v>
      </c>
      <c r="G926" s="306">
        <f t="shared" ca="1" si="417"/>
        <v>5.9359843417089229</v>
      </c>
      <c r="H926" s="307">
        <f t="shared" ca="1" si="418"/>
        <v>-96.703910983420187</v>
      </c>
      <c r="I926" s="304">
        <f t="shared" ca="1" si="419"/>
        <v>96.885924207772661</v>
      </c>
      <c r="J926" s="306">
        <f t="shared" ca="1" si="420"/>
        <v>588.9746359926213</v>
      </c>
      <c r="K926" s="307">
        <f t="shared" ca="1" si="421"/>
        <v>-12.596667703113221</v>
      </c>
      <c r="L926" s="304">
        <f t="shared" ca="1" si="406"/>
        <v>589.10932591486232</v>
      </c>
      <c r="M926" s="306">
        <f t="shared" ca="1" si="422"/>
        <v>-1.5094901632096134</v>
      </c>
      <c r="N926" s="304">
        <f t="shared" ca="1" si="423"/>
        <v>-86.487415568424652</v>
      </c>
      <c r="P926" s="310">
        <f t="shared" ca="1" si="424"/>
        <v>23</v>
      </c>
      <c r="Q926" s="304">
        <f t="shared" ca="1" si="425"/>
        <v>0</v>
      </c>
      <c r="R926" s="306">
        <f t="shared" ca="1" si="426"/>
        <v>0</v>
      </c>
      <c r="S926" s="307">
        <f t="shared" ca="1" si="427"/>
        <v>2.5949999999999998</v>
      </c>
      <c r="T926" s="304">
        <f t="shared" ca="1" si="407"/>
        <v>25.456949999999999</v>
      </c>
      <c r="U926" s="311">
        <f t="shared" ca="1" si="408"/>
        <v>0</v>
      </c>
      <c r="V926" s="306">
        <f t="shared" ca="1" si="409"/>
        <v>1.2265440642968746</v>
      </c>
      <c r="W926" s="304">
        <f t="shared" ca="1" si="410"/>
        <v>23.576394905268089</v>
      </c>
      <c r="Y926" s="314" t="str">
        <f t="shared" ca="1" si="428"/>
        <v/>
      </c>
      <c r="Z926" s="315" t="str">
        <f t="shared" ca="1" si="429"/>
        <v/>
      </c>
      <c r="AA926" s="316" t="str">
        <f t="shared" ca="1" si="430"/>
        <v/>
      </c>
      <c r="AC926" s="310" t="e">
        <f t="shared" ca="1" si="431"/>
        <v>#N/A</v>
      </c>
      <c r="AD926" s="323" t="e">
        <f t="shared" ca="1" si="432"/>
        <v>#N/A</v>
      </c>
      <c r="AE926" s="324" t="e">
        <f t="shared" ca="1" si="411"/>
        <v>#N/A</v>
      </c>
      <c r="AG926" s="306">
        <f t="shared" ca="1" si="433"/>
        <v>0.70627630028196364</v>
      </c>
      <c r="AH926" s="304">
        <f t="shared" ca="1" si="434"/>
        <v>-9.0852939239733139</v>
      </c>
    </row>
    <row r="927" spans="1:34" x14ac:dyDescent="0.2">
      <c r="A927" s="347">
        <f t="shared" ca="1" si="412"/>
        <v>1E-4</v>
      </c>
      <c r="B927" s="304">
        <f t="shared" ca="1" si="413"/>
        <v>32.554000000001963</v>
      </c>
      <c r="D927" s="306">
        <f t="shared" ca="1" si="414"/>
        <v>-0.55663703158136479</v>
      </c>
      <c r="E927" s="307">
        <f t="shared" ca="1" si="415"/>
        <v>-0.74175203076382878</v>
      </c>
      <c r="F927" s="304">
        <f t="shared" ca="1" si="416"/>
        <v>0.92738387956119728</v>
      </c>
      <c r="G927" s="306">
        <f t="shared" ca="1" si="417"/>
        <v>5.935928678005765</v>
      </c>
      <c r="H927" s="307">
        <f t="shared" ca="1" si="418"/>
        <v>-96.703985158623269</v>
      </c>
      <c r="I927" s="304">
        <f t="shared" ca="1" si="419"/>
        <v>96.885994833255452</v>
      </c>
      <c r="J927" s="306">
        <f t="shared" ca="1" si="420"/>
        <v>588.9746359926213</v>
      </c>
      <c r="K927" s="307">
        <f t="shared" ca="1" si="421"/>
        <v>-12.606338097920323</v>
      </c>
      <c r="L927" s="304">
        <f t="shared" ca="1" si="406"/>
        <v>589.10953277203032</v>
      </c>
      <c r="M927" s="306">
        <f t="shared" ca="1" si="422"/>
        <v>-1.5094907835642957</v>
      </c>
      <c r="N927" s="304">
        <f t="shared" ca="1" si="423"/>
        <v>-86.487451112129762</v>
      </c>
      <c r="P927" s="310">
        <f t="shared" ca="1" si="424"/>
        <v>23</v>
      </c>
      <c r="Q927" s="304">
        <f t="shared" ca="1" si="425"/>
        <v>0</v>
      </c>
      <c r="R927" s="306">
        <f t="shared" ca="1" si="426"/>
        <v>0</v>
      </c>
      <c r="S927" s="307">
        <f t="shared" ca="1" si="427"/>
        <v>2.5949999999999998</v>
      </c>
      <c r="T927" s="304">
        <f t="shared" ca="1" si="407"/>
        <v>25.456949999999999</v>
      </c>
      <c r="U927" s="311">
        <f t="shared" ca="1" si="408"/>
        <v>0</v>
      </c>
      <c r="V927" s="306">
        <f t="shared" ca="1" si="409"/>
        <v>1.2265452504144541</v>
      </c>
      <c r="W927" s="304">
        <f t="shared" ca="1" si="410"/>
        <v>23.576452076902417</v>
      </c>
      <c r="Y927" s="314" t="str">
        <f t="shared" ca="1" si="428"/>
        <v/>
      </c>
      <c r="Z927" s="315" t="str">
        <f t="shared" ca="1" si="429"/>
        <v/>
      </c>
      <c r="AA927" s="316" t="str">
        <f t="shared" ca="1" si="430"/>
        <v/>
      </c>
      <c r="AC927" s="310" t="e">
        <f t="shared" ca="1" si="431"/>
        <v>#N/A</v>
      </c>
      <c r="AD927" s="323" t="e">
        <f t="shared" ca="1" si="432"/>
        <v>#N/A</v>
      </c>
      <c r="AE927" s="324" t="e">
        <f t="shared" ca="1" si="411"/>
        <v>#N/A</v>
      </c>
      <c r="AG927" s="306">
        <f t="shared" ca="1" si="433"/>
        <v>0.70625464132987936</v>
      </c>
      <c r="AH927" s="304">
        <f t="shared" ca="1" si="434"/>
        <v>-9.0853159557873191</v>
      </c>
    </row>
    <row r="928" spans="1:34" x14ac:dyDescent="0.2">
      <c r="A928" s="347">
        <f t="shared" ca="1" si="412"/>
        <v>1E-4</v>
      </c>
      <c r="B928" s="304">
        <f t="shared" ca="1" si="413"/>
        <v>32.554100000001966</v>
      </c>
      <c r="D928" s="306">
        <f t="shared" ca="1" si="414"/>
        <v>-0.55663275585580818</v>
      </c>
      <c r="E928" s="307">
        <f t="shared" ca="1" si="415"/>
        <v>-0.74172969538308742</v>
      </c>
      <c r="F928" s="304">
        <f t="shared" ca="1" si="416"/>
        <v>0.92736344865684639</v>
      </c>
      <c r="G928" s="306">
        <f t="shared" ca="1" si="417"/>
        <v>5.9358730147301797</v>
      </c>
      <c r="H928" s="307">
        <f t="shared" ca="1" si="418"/>
        <v>-96.704059331592802</v>
      </c>
      <c r="I928" s="304">
        <f t="shared" ca="1" si="419"/>
        <v>96.886065456572354</v>
      </c>
      <c r="J928" s="306">
        <f t="shared" ca="1" si="420"/>
        <v>588.9746359926213</v>
      </c>
      <c r="K928" s="307">
        <f t="shared" ca="1" si="421"/>
        <v>-12.616008500144835</v>
      </c>
      <c r="L928" s="304">
        <f t="shared" ca="1" si="406"/>
        <v>589.10973978802667</v>
      </c>
      <c r="M928" s="306">
        <f t="shared" ca="1" si="422"/>
        <v>-1.5094914039122564</v>
      </c>
      <c r="N928" s="304">
        <f t="shared" ca="1" si="423"/>
        <v>-86.487486655449743</v>
      </c>
      <c r="P928" s="310">
        <f t="shared" ca="1" si="424"/>
        <v>23</v>
      </c>
      <c r="Q928" s="304">
        <f t="shared" ca="1" si="425"/>
        <v>0</v>
      </c>
      <c r="R928" s="306">
        <f t="shared" ca="1" si="426"/>
        <v>0</v>
      </c>
      <c r="S928" s="307">
        <f t="shared" ca="1" si="427"/>
        <v>2.5949999999999998</v>
      </c>
      <c r="T928" s="304">
        <f t="shared" ca="1" si="407"/>
        <v>25.456949999999999</v>
      </c>
      <c r="U928" s="311">
        <f t="shared" ca="1" si="408"/>
        <v>0</v>
      </c>
      <c r="V928" s="306">
        <f t="shared" ca="1" si="409"/>
        <v>1.226546436534091</v>
      </c>
      <c r="W928" s="304">
        <f t="shared" ca="1" si="410"/>
        <v>23.576509247613721</v>
      </c>
      <c r="Y928" s="314" t="str">
        <f t="shared" ca="1" si="428"/>
        <v/>
      </c>
      <c r="Z928" s="315" t="str">
        <f t="shared" ca="1" si="429"/>
        <v/>
      </c>
      <c r="AA928" s="316" t="str">
        <f t="shared" ca="1" si="430"/>
        <v/>
      </c>
      <c r="AC928" s="310" t="e">
        <f t="shared" ca="1" si="431"/>
        <v>#N/A</v>
      </c>
      <c r="AD928" s="323" t="e">
        <f t="shared" ca="1" si="432"/>
        <v>#N/A</v>
      </c>
      <c r="AE928" s="324" t="e">
        <f t="shared" ca="1" si="411"/>
        <v>#N/A</v>
      </c>
      <c r="AG928" s="306">
        <f t="shared" ca="1" si="433"/>
        <v>0.70623298272567681</v>
      </c>
      <c r="AH928" s="304">
        <f t="shared" ca="1" si="434"/>
        <v>-9.0853379872456337</v>
      </c>
    </row>
    <row r="929" spans="1:34" x14ac:dyDescent="0.2">
      <c r="A929" s="347">
        <f t="shared" ca="1" si="412"/>
        <v>1E-4</v>
      </c>
      <c r="B929" s="304">
        <f t="shared" ca="1" si="413"/>
        <v>32.55420000000197</v>
      </c>
      <c r="D929" s="306">
        <f t="shared" ca="1" si="414"/>
        <v>-0.55662848014191479</v>
      </c>
      <c r="E929" s="307">
        <f t="shared" ca="1" si="415"/>
        <v>-0.74170736036292695</v>
      </c>
      <c r="F929" s="304">
        <f t="shared" ca="1" si="416"/>
        <v>0.92734301815543896</v>
      </c>
      <c r="G929" s="306">
        <f t="shared" ca="1" si="417"/>
        <v>5.9358173518821653</v>
      </c>
      <c r="H929" s="307">
        <f t="shared" ca="1" si="418"/>
        <v>-96.704133502328844</v>
      </c>
      <c r="I929" s="304">
        <f t="shared" ca="1" si="419"/>
        <v>96.886136077723449</v>
      </c>
      <c r="J929" s="306">
        <f t="shared" ca="1" si="420"/>
        <v>588.9746359926213</v>
      </c>
      <c r="K929" s="307">
        <f t="shared" ca="1" si="421"/>
        <v>-12.625678909786531</v>
      </c>
      <c r="L929" s="304">
        <f t="shared" ca="1" si="406"/>
        <v>589.10994696285161</v>
      </c>
      <c r="M929" s="306">
        <f t="shared" ca="1" si="422"/>
        <v>-1.5094920242534957</v>
      </c>
      <c r="N929" s="304">
        <f t="shared" ca="1" si="423"/>
        <v>-86.48752219838461</v>
      </c>
      <c r="P929" s="310">
        <f t="shared" ca="1" si="424"/>
        <v>23</v>
      </c>
      <c r="Q929" s="304">
        <f t="shared" ca="1" si="425"/>
        <v>0</v>
      </c>
      <c r="R929" s="306">
        <f t="shared" ca="1" si="426"/>
        <v>0</v>
      </c>
      <c r="S929" s="307">
        <f t="shared" ca="1" si="427"/>
        <v>2.5949999999999998</v>
      </c>
      <c r="T929" s="304">
        <f t="shared" ca="1" si="407"/>
        <v>25.456949999999999</v>
      </c>
      <c r="U929" s="311">
        <f t="shared" ca="1" si="408"/>
        <v>0</v>
      </c>
      <c r="V929" s="306">
        <f t="shared" ca="1" si="409"/>
        <v>1.2265476226557852</v>
      </c>
      <c r="W929" s="304">
        <f t="shared" ca="1" si="410"/>
        <v>23.576566417402034</v>
      </c>
      <c r="Y929" s="314" t="str">
        <f t="shared" ca="1" si="428"/>
        <v/>
      </c>
      <c r="Z929" s="315" t="str">
        <f t="shared" ca="1" si="429"/>
        <v/>
      </c>
      <c r="AA929" s="316" t="str">
        <f t="shared" ca="1" si="430"/>
        <v/>
      </c>
      <c r="AC929" s="310" t="e">
        <f t="shared" ca="1" si="431"/>
        <v>#N/A</v>
      </c>
      <c r="AD929" s="323" t="e">
        <f t="shared" ca="1" si="432"/>
        <v>#N/A</v>
      </c>
      <c r="AE929" s="324" t="e">
        <f t="shared" ca="1" si="411"/>
        <v>#N/A</v>
      </c>
      <c r="AG929" s="306">
        <f t="shared" ca="1" si="433"/>
        <v>0.70621132446935775</v>
      </c>
      <c r="AH929" s="304">
        <f t="shared" ca="1" si="434"/>
        <v>-9.0853600183482559</v>
      </c>
    </row>
    <row r="930" spans="1:34" x14ac:dyDescent="0.2">
      <c r="A930" s="347">
        <f t="shared" ca="1" si="412"/>
        <v>1E-4</v>
      </c>
      <c r="B930" s="304">
        <f t="shared" ca="1" si="413"/>
        <v>32.554300000001973</v>
      </c>
      <c r="D930" s="306">
        <f t="shared" ca="1" si="414"/>
        <v>-0.55662420443968619</v>
      </c>
      <c r="E930" s="307">
        <f t="shared" ca="1" si="415"/>
        <v>-0.74168502570333672</v>
      </c>
      <c r="F930" s="304">
        <f t="shared" ca="1" si="416"/>
        <v>0.92732258805696788</v>
      </c>
      <c r="G930" s="306">
        <f t="shared" ca="1" si="417"/>
        <v>5.9357616894617218</v>
      </c>
      <c r="H930" s="307">
        <f t="shared" ca="1" si="418"/>
        <v>-96.704207670831408</v>
      </c>
      <c r="I930" s="304">
        <f t="shared" ca="1" si="419"/>
        <v>96.88620669670874</v>
      </c>
      <c r="J930" s="306">
        <f t="shared" ca="1" si="420"/>
        <v>588.9746359926213</v>
      </c>
      <c r="K930" s="307">
        <f t="shared" ca="1" si="421"/>
        <v>-12.635349326845189</v>
      </c>
      <c r="L930" s="304">
        <f t="shared" ca="1" si="406"/>
        <v>589.11015429650513</v>
      </c>
      <c r="M930" s="306">
        <f t="shared" ca="1" si="422"/>
        <v>-1.5094926445880135</v>
      </c>
      <c r="N930" s="304">
        <f t="shared" ca="1" si="423"/>
        <v>-86.487557740934363</v>
      </c>
      <c r="P930" s="310">
        <f t="shared" ca="1" si="424"/>
        <v>23</v>
      </c>
      <c r="Q930" s="304">
        <f t="shared" ca="1" si="425"/>
        <v>0</v>
      </c>
      <c r="R930" s="306">
        <f t="shared" ca="1" si="426"/>
        <v>0</v>
      </c>
      <c r="S930" s="307">
        <f t="shared" ca="1" si="427"/>
        <v>2.5949999999999998</v>
      </c>
      <c r="T930" s="304">
        <f t="shared" ca="1" si="407"/>
        <v>25.456949999999999</v>
      </c>
      <c r="U930" s="311">
        <f t="shared" ca="1" si="408"/>
        <v>0</v>
      </c>
      <c r="V930" s="306">
        <f t="shared" ca="1" si="409"/>
        <v>1.2265488087795369</v>
      </c>
      <c r="W930" s="304">
        <f t="shared" ca="1" si="410"/>
        <v>23.57662358626736</v>
      </c>
      <c r="Y930" s="314" t="str">
        <f t="shared" ca="1" si="428"/>
        <v/>
      </c>
      <c r="Z930" s="315" t="str">
        <f t="shared" ca="1" si="429"/>
        <v/>
      </c>
      <c r="AA930" s="316" t="str">
        <f t="shared" ca="1" si="430"/>
        <v/>
      </c>
      <c r="AC930" s="310" t="e">
        <f t="shared" ca="1" si="431"/>
        <v>#N/A</v>
      </c>
      <c r="AD930" s="323" t="e">
        <f t="shared" ca="1" si="432"/>
        <v>#N/A</v>
      </c>
      <c r="AE930" s="324" t="e">
        <f t="shared" ca="1" si="411"/>
        <v>#N/A</v>
      </c>
      <c r="AG930" s="306">
        <f t="shared" ca="1" si="433"/>
        <v>0.70618966656091509</v>
      </c>
      <c r="AH930" s="304">
        <f t="shared" ca="1" si="434"/>
        <v>-9.0853820490951964</v>
      </c>
    </row>
    <row r="931" spans="1:34" x14ac:dyDescent="0.2">
      <c r="A931" s="347">
        <f t="shared" ca="1" si="412"/>
        <v>1E-4</v>
      </c>
      <c r="B931" s="304">
        <f t="shared" ca="1" si="413"/>
        <v>32.554400000001976</v>
      </c>
      <c r="D931" s="306">
        <f t="shared" ca="1" si="414"/>
        <v>-0.5566199287491238</v>
      </c>
      <c r="E931" s="307">
        <f t="shared" ca="1" si="415"/>
        <v>-0.7416626914043114</v>
      </c>
      <c r="F931" s="304">
        <f t="shared" ca="1" si="416"/>
        <v>0.92730215836142993</v>
      </c>
      <c r="G931" s="306">
        <f t="shared" ca="1" si="417"/>
        <v>5.9357060274688465</v>
      </c>
      <c r="H931" s="307">
        <f t="shared" ca="1" si="418"/>
        <v>-96.704281837100552</v>
      </c>
      <c r="I931" s="304">
        <f t="shared" ca="1" si="419"/>
        <v>96.886277313528282</v>
      </c>
      <c r="J931" s="306">
        <f t="shared" ca="1" si="420"/>
        <v>588.9746359926213</v>
      </c>
      <c r="K931" s="307">
        <f t="shared" ca="1" si="421"/>
        <v>-12.645019751320586</v>
      </c>
      <c r="L931" s="304">
        <f t="shared" ca="1" si="406"/>
        <v>589.11036178898769</v>
      </c>
      <c r="M931" s="306">
        <f t="shared" ca="1" si="422"/>
        <v>-1.5094932649158097</v>
      </c>
      <c r="N931" s="304">
        <f t="shared" ca="1" si="423"/>
        <v>-86.487593283099002</v>
      </c>
      <c r="P931" s="310">
        <f t="shared" ca="1" si="424"/>
        <v>23</v>
      </c>
      <c r="Q931" s="304">
        <f t="shared" ca="1" si="425"/>
        <v>0</v>
      </c>
      <c r="R931" s="306">
        <f t="shared" ca="1" si="426"/>
        <v>0</v>
      </c>
      <c r="S931" s="307">
        <f t="shared" ca="1" si="427"/>
        <v>2.5949999999999998</v>
      </c>
      <c r="T931" s="304">
        <f t="shared" ca="1" si="407"/>
        <v>25.456949999999999</v>
      </c>
      <c r="U931" s="311">
        <f t="shared" ca="1" si="408"/>
        <v>0</v>
      </c>
      <c r="V931" s="306">
        <f t="shared" ca="1" si="409"/>
        <v>1.2265499949053467</v>
      </c>
      <c r="W931" s="304">
        <f t="shared" ca="1" si="410"/>
        <v>23.576680754209725</v>
      </c>
      <c r="Y931" s="314" t="str">
        <f t="shared" ca="1" si="428"/>
        <v/>
      </c>
      <c r="Z931" s="315" t="str">
        <f t="shared" ca="1" si="429"/>
        <v/>
      </c>
      <c r="AA931" s="316" t="str">
        <f t="shared" ca="1" si="430"/>
        <v/>
      </c>
      <c r="AC931" s="310" t="e">
        <f t="shared" ca="1" si="431"/>
        <v>#N/A</v>
      </c>
      <c r="AD931" s="323" t="e">
        <f t="shared" ca="1" si="432"/>
        <v>#N/A</v>
      </c>
      <c r="AE931" s="324" t="e">
        <f t="shared" ca="1" si="411"/>
        <v>#N/A</v>
      </c>
      <c r="AG931" s="306">
        <f t="shared" ca="1" si="433"/>
        <v>0.70616800900034171</v>
      </c>
      <c r="AH931" s="304">
        <f t="shared" ca="1" si="434"/>
        <v>-9.0854040794864588</v>
      </c>
    </row>
    <row r="932" spans="1:34" x14ac:dyDescent="0.2">
      <c r="A932" s="347">
        <f t="shared" ca="1" si="412"/>
        <v>1E-4</v>
      </c>
      <c r="B932" s="304">
        <f t="shared" ca="1" si="413"/>
        <v>32.55450000000198</v>
      </c>
      <c r="D932" s="306">
        <f t="shared" ca="1" si="414"/>
        <v>-0.55661565307022942</v>
      </c>
      <c r="E932" s="307">
        <f t="shared" ca="1" si="415"/>
        <v>-0.74164035746584211</v>
      </c>
      <c r="F932" s="304">
        <f t="shared" ca="1" si="416"/>
        <v>0.92728172906881978</v>
      </c>
      <c r="G932" s="306">
        <f t="shared" ca="1" si="417"/>
        <v>5.9356503659035393</v>
      </c>
      <c r="H932" s="307">
        <f t="shared" ca="1" si="418"/>
        <v>-96.704356001136304</v>
      </c>
      <c r="I932" s="304">
        <f t="shared" ca="1" si="419"/>
        <v>96.886347928182104</v>
      </c>
      <c r="J932" s="306">
        <f t="shared" ca="1" si="420"/>
        <v>588.9746359926213</v>
      </c>
      <c r="K932" s="307">
        <f t="shared" ca="1" si="421"/>
        <v>-12.654690183212498</v>
      </c>
      <c r="L932" s="304">
        <f t="shared" ca="1" si="406"/>
        <v>589.1105694402994</v>
      </c>
      <c r="M932" s="306">
        <f t="shared" ca="1" si="422"/>
        <v>-1.5094938852368847</v>
      </c>
      <c r="N932" s="304">
        <f t="shared" ca="1" si="423"/>
        <v>-86.487628824878541</v>
      </c>
      <c r="P932" s="310">
        <f t="shared" ca="1" si="424"/>
        <v>23</v>
      </c>
      <c r="Q932" s="304">
        <f t="shared" ca="1" si="425"/>
        <v>0</v>
      </c>
      <c r="R932" s="306">
        <f t="shared" ca="1" si="426"/>
        <v>0</v>
      </c>
      <c r="S932" s="307">
        <f t="shared" ca="1" si="427"/>
        <v>2.5949999999999998</v>
      </c>
      <c r="T932" s="304">
        <f t="shared" ca="1" si="407"/>
        <v>25.456949999999999</v>
      </c>
      <c r="U932" s="311">
        <f t="shared" ca="1" si="408"/>
        <v>0</v>
      </c>
      <c r="V932" s="306">
        <f t="shared" ca="1" si="409"/>
        <v>1.226551181033213</v>
      </c>
      <c r="W932" s="304">
        <f t="shared" ca="1" si="410"/>
        <v>23.57673792122911</v>
      </c>
      <c r="Y932" s="314" t="str">
        <f t="shared" ca="1" si="428"/>
        <v/>
      </c>
      <c r="Z932" s="315" t="str">
        <f t="shared" ca="1" si="429"/>
        <v/>
      </c>
      <c r="AA932" s="316" t="str">
        <f t="shared" ca="1" si="430"/>
        <v/>
      </c>
      <c r="AC932" s="310" t="e">
        <f t="shared" ca="1" si="431"/>
        <v>#N/A</v>
      </c>
      <c r="AD932" s="323" t="e">
        <f t="shared" ca="1" si="432"/>
        <v>#N/A</v>
      </c>
      <c r="AE932" s="324" t="e">
        <f t="shared" ca="1" si="411"/>
        <v>#N/A</v>
      </c>
      <c r="AG932" s="306">
        <f t="shared" ca="1" si="433"/>
        <v>0.70614635178762875</v>
      </c>
      <c r="AH932" s="304">
        <f t="shared" ca="1" si="434"/>
        <v>-9.0854261095220537</v>
      </c>
    </row>
    <row r="933" spans="1:34" x14ac:dyDescent="0.2">
      <c r="A933" s="347">
        <f t="shared" ca="1" si="412"/>
        <v>1E-4</v>
      </c>
      <c r="B933" s="304">
        <f t="shared" ca="1" si="413"/>
        <v>32.554600000001983</v>
      </c>
      <c r="D933" s="306">
        <f t="shared" ca="1" si="414"/>
        <v>-0.55661137740300148</v>
      </c>
      <c r="E933" s="307">
        <f t="shared" ca="1" si="415"/>
        <v>-0.74161802388793951</v>
      </c>
      <c r="F933" s="304">
        <f t="shared" ca="1" si="416"/>
        <v>0.92726130017914532</v>
      </c>
      <c r="G933" s="306">
        <f t="shared" ca="1" si="417"/>
        <v>5.9355947047657986</v>
      </c>
      <c r="H933" s="307">
        <f t="shared" ca="1" si="418"/>
        <v>-96.704430162938692</v>
      </c>
      <c r="I933" s="304">
        <f t="shared" ca="1" si="419"/>
        <v>96.886418540670235</v>
      </c>
      <c r="J933" s="306">
        <f t="shared" ca="1" si="420"/>
        <v>588.9746359926213</v>
      </c>
      <c r="K933" s="307">
        <f t="shared" ca="1" si="421"/>
        <v>-12.664360622520702</v>
      </c>
      <c r="L933" s="304">
        <f t="shared" ca="1" si="406"/>
        <v>589.11077725044038</v>
      </c>
      <c r="M933" s="306">
        <f t="shared" ca="1" si="422"/>
        <v>-1.5094945055512385</v>
      </c>
      <c r="N933" s="304">
        <f t="shared" ca="1" si="423"/>
        <v>-86.48766436627298</v>
      </c>
      <c r="P933" s="310">
        <f t="shared" ca="1" si="424"/>
        <v>23</v>
      </c>
      <c r="Q933" s="304">
        <f t="shared" ca="1" si="425"/>
        <v>0</v>
      </c>
      <c r="R933" s="306">
        <f t="shared" ca="1" si="426"/>
        <v>0</v>
      </c>
      <c r="S933" s="307">
        <f t="shared" ca="1" si="427"/>
        <v>2.5949999999999998</v>
      </c>
      <c r="T933" s="304">
        <f t="shared" ca="1" si="407"/>
        <v>25.456949999999999</v>
      </c>
      <c r="U933" s="311">
        <f t="shared" ca="1" si="408"/>
        <v>0</v>
      </c>
      <c r="V933" s="306">
        <f t="shared" ca="1" si="409"/>
        <v>1.2265523671631378</v>
      </c>
      <c r="W933" s="304">
        <f t="shared" ca="1" si="410"/>
        <v>23.576795087325561</v>
      </c>
      <c r="Y933" s="314" t="str">
        <f t="shared" ca="1" si="428"/>
        <v/>
      </c>
      <c r="Z933" s="315" t="str">
        <f t="shared" ca="1" si="429"/>
        <v/>
      </c>
      <c r="AA933" s="316" t="str">
        <f t="shared" ca="1" si="430"/>
        <v/>
      </c>
      <c r="AC933" s="310" t="e">
        <f t="shared" ca="1" si="431"/>
        <v>#N/A</v>
      </c>
      <c r="AD933" s="323" t="e">
        <f t="shared" ca="1" si="432"/>
        <v>#N/A</v>
      </c>
      <c r="AE933" s="324" t="e">
        <f t="shared" ca="1" si="411"/>
        <v>#N/A</v>
      </c>
      <c r="AG933" s="306">
        <f t="shared" ca="1" si="433"/>
        <v>0.70612469492278507</v>
      </c>
      <c r="AH933" s="304">
        <f t="shared" ca="1" si="434"/>
        <v>-9.0854481392019704</v>
      </c>
    </row>
    <row r="934" spans="1:34" x14ac:dyDescent="0.2">
      <c r="A934" s="347">
        <f t="shared" ca="1" si="412"/>
        <v>1E-4</v>
      </c>
      <c r="B934" s="304">
        <f t="shared" ca="1" si="413"/>
        <v>32.554700000001986</v>
      </c>
      <c r="D934" s="306">
        <f t="shared" ca="1" si="414"/>
        <v>-0.55660710174744021</v>
      </c>
      <c r="E934" s="307">
        <f t="shared" ca="1" si="415"/>
        <v>-0.74159569067058406</v>
      </c>
      <c r="F934" s="304">
        <f t="shared" ca="1" si="416"/>
        <v>0.92724087169239144</v>
      </c>
      <c r="G934" s="306">
        <f t="shared" ca="1" si="417"/>
        <v>5.9355390440556235</v>
      </c>
      <c r="H934" s="307">
        <f t="shared" ca="1" si="418"/>
        <v>-96.704504322507759</v>
      </c>
      <c r="I934" s="304">
        <f t="shared" ca="1" si="419"/>
        <v>96.88648915099273</v>
      </c>
      <c r="J934" s="306">
        <f t="shared" ca="1" si="420"/>
        <v>588.9746359926213</v>
      </c>
      <c r="K934" s="307">
        <f t="shared" ca="1" si="421"/>
        <v>-12.674031069244974</v>
      </c>
      <c r="L934" s="304">
        <f t="shared" ca="1" si="406"/>
        <v>589.11098521941085</v>
      </c>
      <c r="M934" s="306">
        <f t="shared" ca="1" si="422"/>
        <v>-1.5094951258588711</v>
      </c>
      <c r="N934" s="304">
        <f t="shared" ca="1" si="423"/>
        <v>-86.487699907282334</v>
      </c>
      <c r="P934" s="310">
        <f t="shared" ca="1" si="424"/>
        <v>23</v>
      </c>
      <c r="Q934" s="304">
        <f t="shared" ca="1" si="425"/>
        <v>0</v>
      </c>
      <c r="R934" s="306">
        <f t="shared" ca="1" si="426"/>
        <v>0</v>
      </c>
      <c r="S934" s="307">
        <f t="shared" ca="1" si="427"/>
        <v>2.5949999999999998</v>
      </c>
      <c r="T934" s="304">
        <f t="shared" ca="1" si="407"/>
        <v>25.456949999999999</v>
      </c>
      <c r="U934" s="311">
        <f t="shared" ca="1" si="408"/>
        <v>0</v>
      </c>
      <c r="V934" s="306">
        <f t="shared" ca="1" si="409"/>
        <v>1.2265535532951188</v>
      </c>
      <c r="W934" s="304">
        <f t="shared" ca="1" si="410"/>
        <v>23.576852252499059</v>
      </c>
      <c r="Y934" s="314" t="str">
        <f t="shared" ca="1" si="428"/>
        <v/>
      </c>
      <c r="Z934" s="315" t="str">
        <f t="shared" ca="1" si="429"/>
        <v/>
      </c>
      <c r="AA934" s="316" t="str">
        <f t="shared" ca="1" si="430"/>
        <v/>
      </c>
      <c r="AC934" s="310" t="e">
        <f t="shared" ca="1" si="431"/>
        <v>#N/A</v>
      </c>
      <c r="AD934" s="323" t="e">
        <f t="shared" ca="1" si="432"/>
        <v>#N/A</v>
      </c>
      <c r="AE934" s="324" t="e">
        <f t="shared" ca="1" si="411"/>
        <v>#N/A</v>
      </c>
      <c r="AG934" s="306">
        <f t="shared" ca="1" si="433"/>
        <v>0.70610303840579469</v>
      </c>
      <c r="AH934" s="304">
        <f t="shared" ca="1" si="434"/>
        <v>-9.0854701685262285</v>
      </c>
    </row>
    <row r="935" spans="1:34" x14ac:dyDescent="0.2">
      <c r="A935" s="347">
        <f t="shared" ca="1" si="412"/>
        <v>1E-4</v>
      </c>
      <c r="B935" s="304">
        <f t="shared" ca="1" si="413"/>
        <v>32.55480000000199</v>
      </c>
      <c r="D935" s="306">
        <f t="shared" ca="1" si="414"/>
        <v>-0.55660282610354828</v>
      </c>
      <c r="E935" s="307">
        <f t="shared" ca="1" si="415"/>
        <v>-0.74157335781378286</v>
      </c>
      <c r="F935" s="304">
        <f t="shared" ca="1" si="416"/>
        <v>0.92722044360856581</v>
      </c>
      <c r="G935" s="306">
        <f t="shared" ca="1" si="417"/>
        <v>5.935483383773013</v>
      </c>
      <c r="H935" s="307">
        <f t="shared" ca="1" si="418"/>
        <v>-96.704578479843534</v>
      </c>
      <c r="I935" s="304">
        <f t="shared" ca="1" si="419"/>
        <v>96.886559759149577</v>
      </c>
      <c r="J935" s="306">
        <f t="shared" ca="1" si="420"/>
        <v>588.9746359926213</v>
      </c>
      <c r="K935" s="307">
        <f t="shared" ca="1" si="421"/>
        <v>-12.683701523385091</v>
      </c>
      <c r="L935" s="304">
        <f t="shared" ca="1" si="406"/>
        <v>589.11119334721104</v>
      </c>
      <c r="M935" s="306">
        <f t="shared" ca="1" si="422"/>
        <v>-1.5094957461597829</v>
      </c>
      <c r="N935" s="304">
        <f t="shared" ca="1" si="423"/>
        <v>-86.487735447906601</v>
      </c>
      <c r="P935" s="310">
        <f t="shared" ca="1" si="424"/>
        <v>23</v>
      </c>
      <c r="Q935" s="304">
        <f t="shared" ca="1" si="425"/>
        <v>0</v>
      </c>
      <c r="R935" s="306">
        <f t="shared" ca="1" si="426"/>
        <v>0</v>
      </c>
      <c r="S935" s="307">
        <f t="shared" ca="1" si="427"/>
        <v>2.5949999999999998</v>
      </c>
      <c r="T935" s="304">
        <f t="shared" ca="1" si="407"/>
        <v>25.456949999999999</v>
      </c>
      <c r="U935" s="311">
        <f t="shared" ca="1" si="408"/>
        <v>0</v>
      </c>
      <c r="V935" s="306">
        <f t="shared" ca="1" si="409"/>
        <v>1.2265547394291583</v>
      </c>
      <c r="W935" s="304">
        <f t="shared" ca="1" si="410"/>
        <v>23.576909416749633</v>
      </c>
      <c r="Y935" s="314" t="str">
        <f t="shared" ca="1" si="428"/>
        <v/>
      </c>
      <c r="Z935" s="315" t="str">
        <f t="shared" ca="1" si="429"/>
        <v/>
      </c>
      <c r="AA935" s="316" t="str">
        <f t="shared" ca="1" si="430"/>
        <v/>
      </c>
      <c r="AC935" s="310" t="e">
        <f t="shared" ca="1" si="431"/>
        <v>#N/A</v>
      </c>
      <c r="AD935" s="323" t="e">
        <f t="shared" ca="1" si="432"/>
        <v>#N/A</v>
      </c>
      <c r="AE935" s="324" t="e">
        <f t="shared" ca="1" si="411"/>
        <v>#N/A</v>
      </c>
      <c r="AG935" s="306">
        <f t="shared" ca="1" si="433"/>
        <v>0.70608138223666117</v>
      </c>
      <c r="AH935" s="304">
        <f t="shared" ca="1" si="434"/>
        <v>-9.0854921974948208</v>
      </c>
    </row>
    <row r="936" spans="1:34" x14ac:dyDescent="0.2">
      <c r="A936" s="347">
        <f t="shared" ca="1" si="412"/>
        <v>1E-4</v>
      </c>
      <c r="B936" s="304">
        <f t="shared" ca="1" si="413"/>
        <v>32.554900000001993</v>
      </c>
      <c r="D936" s="306">
        <f t="shared" ca="1" si="414"/>
        <v>-0.55659855047132356</v>
      </c>
      <c r="E936" s="307">
        <f t="shared" ca="1" si="415"/>
        <v>-0.74155102531752171</v>
      </c>
      <c r="F936" s="304">
        <f t="shared" ca="1" si="416"/>
        <v>0.92720001592765644</v>
      </c>
      <c r="G936" s="306">
        <f t="shared" ca="1" si="417"/>
        <v>5.9354277239179662</v>
      </c>
      <c r="H936" s="307">
        <f t="shared" ca="1" si="418"/>
        <v>-96.704652634946072</v>
      </c>
      <c r="I936" s="304">
        <f t="shared" ca="1" si="419"/>
        <v>96.88663036514086</v>
      </c>
      <c r="J936" s="306">
        <f t="shared" ca="1" si="420"/>
        <v>588.9746359926213</v>
      </c>
      <c r="K936" s="307">
        <f t="shared" ca="1" si="421"/>
        <v>-12.69337198494083</v>
      </c>
      <c r="L936" s="304">
        <f t="shared" ca="1" si="406"/>
        <v>589.11140163384107</v>
      </c>
      <c r="M936" s="306">
        <f t="shared" ca="1" si="422"/>
        <v>-1.5094963664539736</v>
      </c>
      <c r="N936" s="304">
        <f t="shared" ca="1" si="423"/>
        <v>-86.487770988145783</v>
      </c>
      <c r="P936" s="310">
        <f t="shared" ca="1" si="424"/>
        <v>23</v>
      </c>
      <c r="Q936" s="304">
        <f t="shared" ca="1" si="425"/>
        <v>0</v>
      </c>
      <c r="R936" s="306">
        <f t="shared" ca="1" si="426"/>
        <v>0</v>
      </c>
      <c r="S936" s="307">
        <f t="shared" ca="1" si="427"/>
        <v>2.5949999999999998</v>
      </c>
      <c r="T936" s="304">
        <f t="shared" ca="1" si="407"/>
        <v>25.456949999999999</v>
      </c>
      <c r="U936" s="311">
        <f t="shared" ca="1" si="408"/>
        <v>0</v>
      </c>
      <c r="V936" s="306">
        <f t="shared" ca="1" si="409"/>
        <v>1.2265559255652543</v>
      </c>
      <c r="W936" s="304">
        <f t="shared" ca="1" si="410"/>
        <v>23.576966580077286</v>
      </c>
      <c r="Y936" s="314" t="str">
        <f t="shared" ca="1" si="428"/>
        <v/>
      </c>
      <c r="Z936" s="315" t="str">
        <f t="shared" ca="1" si="429"/>
        <v/>
      </c>
      <c r="AA936" s="316" t="str">
        <f t="shared" ca="1" si="430"/>
        <v/>
      </c>
      <c r="AC936" s="310" t="e">
        <f t="shared" ca="1" si="431"/>
        <v>#N/A</v>
      </c>
      <c r="AD936" s="323" t="e">
        <f t="shared" ca="1" si="432"/>
        <v>#N/A</v>
      </c>
      <c r="AE936" s="324" t="e">
        <f t="shared" ca="1" si="411"/>
        <v>#N/A</v>
      </c>
      <c r="AG936" s="306">
        <f t="shared" ca="1" si="433"/>
        <v>0.70605972641537385</v>
      </c>
      <c r="AH936" s="304">
        <f t="shared" ca="1" si="434"/>
        <v>-9.0855142261077599</v>
      </c>
    </row>
    <row r="937" spans="1:34" x14ac:dyDescent="0.2">
      <c r="A937" s="347">
        <f t="shared" ca="1" si="412"/>
        <v>1E-4</v>
      </c>
      <c r="B937" s="304">
        <f t="shared" ca="1" si="413"/>
        <v>32.555000000001996</v>
      </c>
      <c r="D937" s="306">
        <f t="shared" ca="1" si="414"/>
        <v>-0.55659427485076918</v>
      </c>
      <c r="E937" s="307">
        <f t="shared" ca="1" si="415"/>
        <v>-0.74152869318180414</v>
      </c>
      <c r="F937" s="304">
        <f t="shared" ca="1" si="416"/>
        <v>0.9271795886496681</v>
      </c>
      <c r="G937" s="306">
        <f t="shared" ca="1" si="417"/>
        <v>5.9353720644904815</v>
      </c>
      <c r="H937" s="307">
        <f t="shared" ca="1" si="418"/>
        <v>-96.704726787815389</v>
      </c>
      <c r="I937" s="304">
        <f t="shared" ca="1" si="419"/>
        <v>96.886700968966608</v>
      </c>
      <c r="J937" s="306">
        <f t="shared" ca="1" si="420"/>
        <v>588.9746359926213</v>
      </c>
      <c r="K937" s="307">
        <f t="shared" ca="1" si="421"/>
        <v>-12.703042453911968</v>
      </c>
      <c r="L937" s="304">
        <f t="shared" ca="1" si="406"/>
        <v>589.11161007930116</v>
      </c>
      <c r="M937" s="306">
        <f t="shared" ca="1" si="422"/>
        <v>-1.5094969867414434</v>
      </c>
      <c r="N937" s="304">
        <f t="shared" ca="1" si="423"/>
        <v>-86.487806527999894</v>
      </c>
      <c r="P937" s="310">
        <f t="shared" ca="1" si="424"/>
        <v>23</v>
      </c>
      <c r="Q937" s="304">
        <f t="shared" ca="1" si="425"/>
        <v>0</v>
      </c>
      <c r="R937" s="306">
        <f t="shared" ca="1" si="426"/>
        <v>0</v>
      </c>
      <c r="S937" s="307">
        <f t="shared" ca="1" si="427"/>
        <v>2.5949999999999998</v>
      </c>
      <c r="T937" s="304">
        <f t="shared" ca="1" si="407"/>
        <v>25.456949999999999</v>
      </c>
      <c r="U937" s="311">
        <f t="shared" ca="1" si="408"/>
        <v>0</v>
      </c>
      <c r="V937" s="306">
        <f t="shared" ca="1" si="409"/>
        <v>1.226557111703408</v>
      </c>
      <c r="W937" s="304">
        <f t="shared" ca="1" si="410"/>
        <v>23.577023742482041</v>
      </c>
      <c r="Y937" s="314" t="str">
        <f t="shared" ca="1" si="428"/>
        <v/>
      </c>
      <c r="Z937" s="315" t="str">
        <f t="shared" ca="1" si="429"/>
        <v/>
      </c>
      <c r="AA937" s="316" t="str">
        <f t="shared" ca="1" si="430"/>
        <v/>
      </c>
      <c r="AC937" s="310" t="e">
        <f t="shared" ca="1" si="431"/>
        <v>#N/A</v>
      </c>
      <c r="AD937" s="323" t="e">
        <f t="shared" ca="1" si="432"/>
        <v>#N/A</v>
      </c>
      <c r="AE937" s="324" t="e">
        <f t="shared" ca="1" si="411"/>
        <v>#N/A</v>
      </c>
      <c r="AG937" s="306">
        <f t="shared" ca="1" si="433"/>
        <v>0.70603807094193627</v>
      </c>
      <c r="AH937" s="304">
        <f t="shared" ca="1" si="434"/>
        <v>-9.085536254365044</v>
      </c>
    </row>
    <row r="938" spans="1:34" x14ac:dyDescent="0.2">
      <c r="A938" s="347">
        <f t="shared" ca="1" si="412"/>
        <v>1E-4</v>
      </c>
      <c r="B938" s="304">
        <f t="shared" ca="1" si="413"/>
        <v>32.555100000002</v>
      </c>
      <c r="D938" s="306">
        <f t="shared" ca="1" si="414"/>
        <v>-0.55658999924188479</v>
      </c>
      <c r="E938" s="307">
        <f t="shared" ca="1" si="415"/>
        <v>-0.74150636140661774</v>
      </c>
      <c r="F938" s="304">
        <f t="shared" ca="1" si="416"/>
        <v>0.92715916177459134</v>
      </c>
      <c r="G938" s="306">
        <f t="shared" ca="1" si="417"/>
        <v>5.9353164054905569</v>
      </c>
      <c r="H938" s="307">
        <f t="shared" ca="1" si="418"/>
        <v>-96.704800938451527</v>
      </c>
      <c r="I938" s="304">
        <f t="shared" ca="1" si="419"/>
        <v>96.88677157062682</v>
      </c>
      <c r="J938" s="306">
        <f t="shared" ca="1" si="420"/>
        <v>588.9746359926213</v>
      </c>
      <c r="K938" s="307">
        <f t="shared" ca="1" si="421"/>
        <v>-12.712712930298281</v>
      </c>
      <c r="L938" s="304">
        <f t="shared" ca="1" si="406"/>
        <v>589.11181868359165</v>
      </c>
      <c r="M938" s="306">
        <f t="shared" ca="1" si="422"/>
        <v>-1.5094976070221926</v>
      </c>
      <c r="N938" s="304">
        <f t="shared" ca="1" si="423"/>
        <v>-86.487842067468932</v>
      </c>
      <c r="P938" s="310">
        <f t="shared" ca="1" si="424"/>
        <v>23</v>
      </c>
      <c r="Q938" s="304">
        <f t="shared" ca="1" si="425"/>
        <v>0</v>
      </c>
      <c r="R938" s="306">
        <f t="shared" ca="1" si="426"/>
        <v>0</v>
      </c>
      <c r="S938" s="307">
        <f t="shared" ca="1" si="427"/>
        <v>2.5949999999999998</v>
      </c>
      <c r="T938" s="304">
        <f t="shared" ca="1" si="407"/>
        <v>25.456949999999999</v>
      </c>
      <c r="U938" s="311">
        <f t="shared" ca="1" si="408"/>
        <v>0</v>
      </c>
      <c r="V938" s="306">
        <f t="shared" ca="1" si="409"/>
        <v>1.2265582978436187</v>
      </c>
      <c r="W938" s="304">
        <f t="shared" ca="1" si="410"/>
        <v>23.577080903963886</v>
      </c>
      <c r="Y938" s="314" t="str">
        <f t="shared" ca="1" si="428"/>
        <v/>
      </c>
      <c r="Z938" s="315" t="str">
        <f t="shared" ca="1" si="429"/>
        <v/>
      </c>
      <c r="AA938" s="316" t="str">
        <f t="shared" ca="1" si="430"/>
        <v/>
      </c>
      <c r="AC938" s="310" t="e">
        <f t="shared" ca="1" si="431"/>
        <v>#N/A</v>
      </c>
      <c r="AD938" s="323" t="e">
        <f t="shared" ca="1" si="432"/>
        <v>#N/A</v>
      </c>
      <c r="AE938" s="324" t="e">
        <f t="shared" ca="1" si="411"/>
        <v>#N/A</v>
      </c>
      <c r="AG938" s="306">
        <f t="shared" ca="1" si="433"/>
        <v>0.70601641581633601</v>
      </c>
      <c r="AH938" s="304">
        <f t="shared" ca="1" si="434"/>
        <v>-9.0855582822666836</v>
      </c>
    </row>
    <row r="939" spans="1:34" x14ac:dyDescent="0.2">
      <c r="A939" s="347">
        <f t="shared" ca="1" si="412"/>
        <v>1E-4</v>
      </c>
      <c r="B939" s="304">
        <f t="shared" ca="1" si="413"/>
        <v>32.555200000002003</v>
      </c>
      <c r="D939" s="306">
        <f t="shared" ca="1" si="414"/>
        <v>-0.55658572364466918</v>
      </c>
      <c r="E939" s="307">
        <f t="shared" ca="1" si="415"/>
        <v>-0.74148402999196961</v>
      </c>
      <c r="F939" s="304">
        <f t="shared" ca="1" si="416"/>
        <v>0.92713873530243152</v>
      </c>
      <c r="G939" s="306">
        <f t="shared" ca="1" si="417"/>
        <v>5.9352607469181926</v>
      </c>
      <c r="H939" s="307">
        <f t="shared" ca="1" si="418"/>
        <v>-96.704875086854528</v>
      </c>
      <c r="I939" s="304">
        <f t="shared" ca="1" si="419"/>
        <v>96.886842170121568</v>
      </c>
      <c r="J939" s="306">
        <f t="shared" ca="1" si="420"/>
        <v>588.9746359926213</v>
      </c>
      <c r="K939" s="307">
        <f t="shared" ca="1" si="421"/>
        <v>-12.722383414099546</v>
      </c>
      <c r="L939" s="304">
        <f t="shared" ca="1" si="406"/>
        <v>589.11202744671243</v>
      </c>
      <c r="M939" s="306">
        <f t="shared" ca="1" si="422"/>
        <v>-1.509498227296221</v>
      </c>
      <c r="N939" s="304">
        <f t="shared" ca="1" si="423"/>
        <v>-86.4878776065529</v>
      </c>
      <c r="P939" s="310">
        <f t="shared" ca="1" si="424"/>
        <v>23</v>
      </c>
      <c r="Q939" s="304">
        <f t="shared" ca="1" si="425"/>
        <v>0</v>
      </c>
      <c r="R939" s="306">
        <f t="shared" ca="1" si="426"/>
        <v>0</v>
      </c>
      <c r="S939" s="307">
        <f t="shared" ca="1" si="427"/>
        <v>2.5949999999999998</v>
      </c>
      <c r="T939" s="304">
        <f t="shared" ca="1" si="407"/>
        <v>25.456949999999999</v>
      </c>
      <c r="U939" s="311">
        <f t="shared" ca="1" si="408"/>
        <v>0</v>
      </c>
      <c r="V939" s="306">
        <f t="shared" ca="1" si="409"/>
        <v>1.2265594839858873</v>
      </c>
      <c r="W939" s="304">
        <f t="shared" ca="1" si="410"/>
        <v>23.577138064522867</v>
      </c>
      <c r="Y939" s="314" t="str">
        <f t="shared" ca="1" si="428"/>
        <v/>
      </c>
      <c r="Z939" s="315" t="str">
        <f t="shared" ca="1" si="429"/>
        <v/>
      </c>
      <c r="AA939" s="316" t="str">
        <f t="shared" ca="1" si="430"/>
        <v/>
      </c>
      <c r="AC939" s="310" t="e">
        <f t="shared" ca="1" si="431"/>
        <v>#N/A</v>
      </c>
      <c r="AD939" s="323" t="e">
        <f t="shared" ca="1" si="432"/>
        <v>#N/A</v>
      </c>
      <c r="AE939" s="324" t="e">
        <f t="shared" ca="1" si="411"/>
        <v>#N/A</v>
      </c>
      <c r="AG939" s="306">
        <f t="shared" ca="1" si="433"/>
        <v>0.70599476103858017</v>
      </c>
      <c r="AH939" s="304">
        <f t="shared" ca="1" si="434"/>
        <v>-9.0855803098126735</v>
      </c>
    </row>
    <row r="940" spans="1:34" x14ac:dyDescent="0.2">
      <c r="A940" s="347">
        <f t="shared" ca="1" si="412"/>
        <v>1E-4</v>
      </c>
      <c r="B940" s="304">
        <f t="shared" ca="1" si="413"/>
        <v>32.555300000002006</v>
      </c>
      <c r="D940" s="306">
        <f t="shared" ca="1" si="414"/>
        <v>-0.55658144805912657</v>
      </c>
      <c r="E940" s="307">
        <f t="shared" ca="1" si="415"/>
        <v>-0.7414616989378402</v>
      </c>
      <c r="F940" s="304">
        <f t="shared" ca="1" si="416"/>
        <v>0.92711830923317584</v>
      </c>
      <c r="G940" s="306">
        <f t="shared" ca="1" si="417"/>
        <v>5.9352050887733867</v>
      </c>
      <c r="H940" s="307">
        <f t="shared" ca="1" si="418"/>
        <v>-96.704949233024422</v>
      </c>
      <c r="I940" s="304">
        <f t="shared" ca="1" si="419"/>
        <v>96.886912767450852</v>
      </c>
      <c r="J940" s="306">
        <f t="shared" ca="1" si="420"/>
        <v>588.9746359926213</v>
      </c>
      <c r="K940" s="307">
        <f t="shared" ca="1" si="421"/>
        <v>-12.73205390531554</v>
      </c>
      <c r="L940" s="304">
        <f t="shared" ca="1" si="406"/>
        <v>589.11223636866396</v>
      </c>
      <c r="M940" s="306">
        <f t="shared" ca="1" si="422"/>
        <v>-1.5094988475635289</v>
      </c>
      <c r="N940" s="304">
        <f t="shared" ca="1" si="423"/>
        <v>-86.487913145251824</v>
      </c>
      <c r="P940" s="310">
        <f t="shared" ca="1" si="424"/>
        <v>23</v>
      </c>
      <c r="Q940" s="304">
        <f t="shared" ca="1" si="425"/>
        <v>0</v>
      </c>
      <c r="R940" s="306">
        <f t="shared" ca="1" si="426"/>
        <v>0</v>
      </c>
      <c r="S940" s="307">
        <f t="shared" ca="1" si="427"/>
        <v>2.5949999999999998</v>
      </c>
      <c r="T940" s="304">
        <f t="shared" ca="1" si="407"/>
        <v>25.456949999999999</v>
      </c>
      <c r="U940" s="311">
        <f t="shared" ca="1" si="408"/>
        <v>0</v>
      </c>
      <c r="V940" s="306">
        <f t="shared" ca="1" si="409"/>
        <v>1.2265606701302123</v>
      </c>
      <c r="W940" s="304">
        <f t="shared" ca="1" si="410"/>
        <v>23.577195224158949</v>
      </c>
      <c r="Y940" s="314" t="str">
        <f t="shared" ca="1" si="428"/>
        <v/>
      </c>
      <c r="Z940" s="315" t="str">
        <f t="shared" ca="1" si="429"/>
        <v/>
      </c>
      <c r="AA940" s="316" t="str">
        <f t="shared" ca="1" si="430"/>
        <v/>
      </c>
      <c r="AC940" s="310" t="e">
        <f t="shared" ca="1" si="431"/>
        <v>#N/A</v>
      </c>
      <c r="AD940" s="323" t="e">
        <f t="shared" ca="1" si="432"/>
        <v>#N/A</v>
      </c>
      <c r="AE940" s="324" t="e">
        <f t="shared" ca="1" si="411"/>
        <v>#N/A</v>
      </c>
      <c r="AG940" s="306">
        <f t="shared" ca="1" si="433"/>
        <v>0.70597310660864743</v>
      </c>
      <c r="AH940" s="304">
        <f t="shared" ca="1" si="434"/>
        <v>-9.0856023370030332</v>
      </c>
    </row>
    <row r="941" spans="1:34" x14ac:dyDescent="0.2">
      <c r="A941" s="347">
        <f t="shared" ca="1" si="412"/>
        <v>1E-4</v>
      </c>
      <c r="B941" s="304">
        <f t="shared" ca="1" si="413"/>
        <v>32.55540000000201</v>
      </c>
      <c r="D941" s="306">
        <f t="shared" ca="1" si="414"/>
        <v>-0.55657717248525329</v>
      </c>
      <c r="E941" s="307">
        <f t="shared" ca="1" si="415"/>
        <v>-0.74143936824424372</v>
      </c>
      <c r="F941" s="304">
        <f t="shared" ca="1" si="416"/>
        <v>0.92709788356683387</v>
      </c>
      <c r="G941" s="306">
        <f t="shared" ca="1" si="417"/>
        <v>5.9351494310561383</v>
      </c>
      <c r="H941" s="307">
        <f t="shared" ca="1" si="418"/>
        <v>-96.70502337696125</v>
      </c>
      <c r="I941" s="304">
        <f t="shared" ca="1" si="419"/>
        <v>96.886983362614757</v>
      </c>
      <c r="J941" s="306">
        <f t="shared" ca="1" si="420"/>
        <v>588.9746359926213</v>
      </c>
      <c r="K941" s="307">
        <f t="shared" ca="1" si="421"/>
        <v>-12.741724403946039</v>
      </c>
      <c r="L941" s="304">
        <f t="shared" ca="1" si="406"/>
        <v>589.11244544944634</v>
      </c>
      <c r="M941" s="306">
        <f t="shared" ca="1" si="422"/>
        <v>-1.5094994678241163</v>
      </c>
      <c r="N941" s="304">
        <f t="shared" ca="1" si="423"/>
        <v>-86.487948683565676</v>
      </c>
      <c r="P941" s="310">
        <f t="shared" ca="1" si="424"/>
        <v>23</v>
      </c>
      <c r="Q941" s="304">
        <f t="shared" ca="1" si="425"/>
        <v>0</v>
      </c>
      <c r="R941" s="306">
        <f t="shared" ca="1" si="426"/>
        <v>0</v>
      </c>
      <c r="S941" s="307">
        <f t="shared" ca="1" si="427"/>
        <v>2.5949999999999998</v>
      </c>
      <c r="T941" s="304">
        <f t="shared" ca="1" si="407"/>
        <v>25.456949999999999</v>
      </c>
      <c r="U941" s="311">
        <f t="shared" ca="1" si="408"/>
        <v>0</v>
      </c>
      <c r="V941" s="306">
        <f t="shared" ca="1" si="409"/>
        <v>1.2265618562765952</v>
      </c>
      <c r="W941" s="304">
        <f t="shared" ca="1" si="410"/>
        <v>23.577252382872196</v>
      </c>
      <c r="Y941" s="314" t="str">
        <f t="shared" ca="1" si="428"/>
        <v/>
      </c>
      <c r="Z941" s="315" t="str">
        <f t="shared" ca="1" si="429"/>
        <v/>
      </c>
      <c r="AA941" s="316" t="str">
        <f t="shared" ca="1" si="430"/>
        <v/>
      </c>
      <c r="AC941" s="310" t="e">
        <f t="shared" ca="1" si="431"/>
        <v>#N/A</v>
      </c>
      <c r="AD941" s="323" t="e">
        <f t="shared" ca="1" si="432"/>
        <v>#N/A</v>
      </c>
      <c r="AE941" s="324" t="e">
        <f t="shared" ca="1" si="411"/>
        <v>#N/A</v>
      </c>
      <c r="AG941" s="306">
        <f t="shared" ca="1" si="433"/>
        <v>0.70595145252655556</v>
      </c>
      <c r="AH941" s="304">
        <f t="shared" ca="1" si="434"/>
        <v>-9.0856243638377467</v>
      </c>
    </row>
    <row r="942" spans="1:34" x14ac:dyDescent="0.2">
      <c r="A942" s="347">
        <f t="shared" ca="1" si="412"/>
        <v>1E-4</v>
      </c>
      <c r="B942" s="304">
        <f t="shared" ca="1" si="413"/>
        <v>32.555500000002013</v>
      </c>
      <c r="D942" s="306">
        <f t="shared" ca="1" si="414"/>
        <v>-0.55657289692305378</v>
      </c>
      <c r="E942" s="307">
        <f t="shared" ca="1" si="415"/>
        <v>-0.74141703791115532</v>
      </c>
      <c r="F942" s="304">
        <f t="shared" ca="1" si="416"/>
        <v>0.92707745830338895</v>
      </c>
      <c r="G942" s="306">
        <f t="shared" ca="1" si="417"/>
        <v>5.9350937737664458</v>
      </c>
      <c r="H942" s="307">
        <f t="shared" ca="1" si="418"/>
        <v>-96.705097518665042</v>
      </c>
      <c r="I942" s="304">
        <f t="shared" ca="1" si="419"/>
        <v>96.887053955613268</v>
      </c>
      <c r="J942" s="306">
        <f t="shared" ca="1" si="420"/>
        <v>588.9746359926213</v>
      </c>
      <c r="K942" s="307">
        <f t="shared" ca="1" si="421"/>
        <v>-12.75139490999082</v>
      </c>
      <c r="L942" s="304">
        <f t="shared" ca="1" si="406"/>
        <v>589.1126546890597</v>
      </c>
      <c r="M942" s="306">
        <f t="shared" ca="1" si="422"/>
        <v>-1.5095000880779832</v>
      </c>
      <c r="N942" s="304">
        <f t="shared" ca="1" si="423"/>
        <v>-86.487984221494472</v>
      </c>
      <c r="P942" s="310">
        <f t="shared" ca="1" si="424"/>
        <v>23</v>
      </c>
      <c r="Q942" s="304">
        <f t="shared" ca="1" si="425"/>
        <v>0</v>
      </c>
      <c r="R942" s="306">
        <f t="shared" ca="1" si="426"/>
        <v>0</v>
      </c>
      <c r="S942" s="307">
        <f t="shared" ca="1" si="427"/>
        <v>2.5949999999999998</v>
      </c>
      <c r="T942" s="304">
        <f t="shared" ca="1" si="407"/>
        <v>25.456949999999999</v>
      </c>
      <c r="U942" s="311">
        <f t="shared" ca="1" si="408"/>
        <v>0</v>
      </c>
      <c r="V942" s="306">
        <f t="shared" ca="1" si="409"/>
        <v>1.2265630424250351</v>
      </c>
      <c r="W942" s="304">
        <f t="shared" ca="1" si="410"/>
        <v>23.577309540662583</v>
      </c>
      <c r="Y942" s="314" t="str">
        <f t="shared" ca="1" si="428"/>
        <v/>
      </c>
      <c r="Z942" s="315" t="str">
        <f t="shared" ca="1" si="429"/>
        <v/>
      </c>
      <c r="AA942" s="316" t="str">
        <f t="shared" ca="1" si="430"/>
        <v/>
      </c>
      <c r="AC942" s="310" t="e">
        <f t="shared" ca="1" si="431"/>
        <v>#N/A</v>
      </c>
      <c r="AD942" s="323" t="e">
        <f t="shared" ca="1" si="432"/>
        <v>#N/A</v>
      </c>
      <c r="AE942" s="324" t="e">
        <f t="shared" ca="1" si="411"/>
        <v>#N/A</v>
      </c>
      <c r="AG942" s="306">
        <f t="shared" ca="1" si="433"/>
        <v>0.70592979879227968</v>
      </c>
      <c r="AH942" s="304">
        <f t="shared" ca="1" si="434"/>
        <v>-9.085646390316839</v>
      </c>
    </row>
    <row r="943" spans="1:34" x14ac:dyDescent="0.2">
      <c r="A943" s="347">
        <f t="shared" ca="1" si="412"/>
        <v>1E-4</v>
      </c>
      <c r="B943" s="304">
        <f t="shared" ca="1" si="413"/>
        <v>32.555600000002016</v>
      </c>
      <c r="D943" s="306">
        <f t="shared" ca="1" si="414"/>
        <v>-0.55656862137252683</v>
      </c>
      <c r="E943" s="307">
        <f t="shared" ca="1" si="415"/>
        <v>-0.74139470793858386</v>
      </c>
      <c r="F943" s="304">
        <f t="shared" ca="1" si="416"/>
        <v>0.92705703344284773</v>
      </c>
      <c r="G943" s="306">
        <f t="shared" ca="1" si="417"/>
        <v>5.9350381169043089</v>
      </c>
      <c r="H943" s="307">
        <f t="shared" ca="1" si="418"/>
        <v>-96.705171658135839</v>
      </c>
      <c r="I943" s="304">
        <f t="shared" ca="1" si="419"/>
        <v>96.887124546446444</v>
      </c>
      <c r="J943" s="306">
        <f t="shared" ca="1" si="420"/>
        <v>588.9746359926213</v>
      </c>
      <c r="K943" s="307">
        <f t="shared" ca="1" si="421"/>
        <v>-12.76106542344966</v>
      </c>
      <c r="L943" s="304">
        <f t="shared" ca="1" si="406"/>
        <v>589.11286408750425</v>
      </c>
      <c r="M943" s="306">
        <f t="shared" ca="1" si="422"/>
        <v>-1.5095007083251299</v>
      </c>
      <c r="N943" s="304">
        <f t="shared" ca="1" si="423"/>
        <v>-86.488019759038238</v>
      </c>
      <c r="P943" s="310">
        <f t="shared" ca="1" si="424"/>
        <v>23</v>
      </c>
      <c r="Q943" s="304">
        <f t="shared" ca="1" si="425"/>
        <v>0</v>
      </c>
      <c r="R943" s="306">
        <f t="shared" ca="1" si="426"/>
        <v>0</v>
      </c>
      <c r="S943" s="307">
        <f t="shared" ca="1" si="427"/>
        <v>2.5949999999999998</v>
      </c>
      <c r="T943" s="304">
        <f t="shared" ca="1" si="407"/>
        <v>25.456949999999999</v>
      </c>
      <c r="U943" s="311">
        <f t="shared" ca="1" si="408"/>
        <v>0</v>
      </c>
      <c r="V943" s="306">
        <f t="shared" ca="1" si="409"/>
        <v>1.226564228575532</v>
      </c>
      <c r="W943" s="304">
        <f t="shared" ca="1" si="410"/>
        <v>23.577366697530135</v>
      </c>
      <c r="Y943" s="314" t="str">
        <f t="shared" ca="1" si="428"/>
        <v/>
      </c>
      <c r="Z943" s="315" t="str">
        <f t="shared" ca="1" si="429"/>
        <v/>
      </c>
      <c r="AA943" s="316" t="str">
        <f t="shared" ca="1" si="430"/>
        <v/>
      </c>
      <c r="AC943" s="310" t="e">
        <f t="shared" ca="1" si="431"/>
        <v>#N/A</v>
      </c>
      <c r="AD943" s="323" t="e">
        <f t="shared" ca="1" si="432"/>
        <v>#N/A</v>
      </c>
      <c r="AE943" s="324" t="e">
        <f t="shared" ca="1" si="411"/>
        <v>#N/A</v>
      </c>
      <c r="AG943" s="306">
        <f t="shared" ca="1" si="433"/>
        <v>0.70590814540582514</v>
      </c>
      <c r="AH943" s="304">
        <f t="shared" ca="1" si="434"/>
        <v>-9.0856684164403028</v>
      </c>
    </row>
    <row r="944" spans="1:34" x14ac:dyDescent="0.2">
      <c r="A944" s="347">
        <f t="shared" ca="1" si="412"/>
        <v>1E-4</v>
      </c>
      <c r="B944" s="304">
        <f t="shared" ca="1" si="413"/>
        <v>32.55570000000202</v>
      </c>
      <c r="D944" s="306">
        <f t="shared" ca="1" si="414"/>
        <v>-0.55656434583367187</v>
      </c>
      <c r="E944" s="307">
        <f t="shared" ca="1" si="415"/>
        <v>-0.74137237832652048</v>
      </c>
      <c r="F944" s="304">
        <f t="shared" ca="1" si="416"/>
        <v>0.92703660898520324</v>
      </c>
      <c r="G944" s="306">
        <f t="shared" ca="1" si="417"/>
        <v>5.9349824604697252</v>
      </c>
      <c r="H944" s="307">
        <f t="shared" ca="1" si="418"/>
        <v>-96.705245795373671</v>
      </c>
      <c r="I944" s="304">
        <f t="shared" ca="1" si="419"/>
        <v>96.887195135114325</v>
      </c>
      <c r="J944" s="306">
        <f t="shared" ca="1" si="420"/>
        <v>588.9746359926213</v>
      </c>
      <c r="K944" s="307">
        <f t="shared" ca="1" si="421"/>
        <v>-12.770735944322334</v>
      </c>
      <c r="L944" s="304">
        <f t="shared" ca="1" si="406"/>
        <v>589.11307364478034</v>
      </c>
      <c r="M944" s="306">
        <f t="shared" ca="1" si="422"/>
        <v>-1.5095013285655563</v>
      </c>
      <c r="N944" s="304">
        <f t="shared" ca="1" si="423"/>
        <v>-86.488055296196947</v>
      </c>
      <c r="P944" s="310">
        <f t="shared" ca="1" si="424"/>
        <v>23</v>
      </c>
      <c r="Q944" s="304">
        <f t="shared" ca="1" si="425"/>
        <v>0</v>
      </c>
      <c r="R944" s="306">
        <f t="shared" ca="1" si="426"/>
        <v>0</v>
      </c>
      <c r="S944" s="307">
        <f t="shared" ca="1" si="427"/>
        <v>2.5949999999999998</v>
      </c>
      <c r="T944" s="304">
        <f t="shared" ca="1" si="407"/>
        <v>25.456949999999999</v>
      </c>
      <c r="U944" s="311">
        <f t="shared" ca="1" si="408"/>
        <v>0</v>
      </c>
      <c r="V944" s="306">
        <f t="shared" ca="1" si="409"/>
        <v>1.2265654147280864</v>
      </c>
      <c r="W944" s="304">
        <f t="shared" ca="1" si="410"/>
        <v>23.577423853474869</v>
      </c>
      <c r="Y944" s="314" t="str">
        <f t="shared" ca="1" si="428"/>
        <v/>
      </c>
      <c r="Z944" s="315" t="str">
        <f t="shared" ca="1" si="429"/>
        <v/>
      </c>
      <c r="AA944" s="316" t="str">
        <f t="shared" ca="1" si="430"/>
        <v/>
      </c>
      <c r="AC944" s="310" t="e">
        <f t="shared" ca="1" si="431"/>
        <v>#N/A</v>
      </c>
      <c r="AD944" s="323" t="e">
        <f t="shared" ca="1" si="432"/>
        <v>#N/A</v>
      </c>
      <c r="AE944" s="324" t="e">
        <f t="shared" ca="1" si="411"/>
        <v>#N/A</v>
      </c>
      <c r="AG944" s="306">
        <f t="shared" ca="1" si="433"/>
        <v>0.70588649236718837</v>
      </c>
      <c r="AH944" s="304">
        <f t="shared" ca="1" si="434"/>
        <v>-9.0856904422081453</v>
      </c>
    </row>
    <row r="945" spans="1:34" x14ac:dyDescent="0.2">
      <c r="A945" s="347">
        <f t="shared" ca="1" si="412"/>
        <v>1E-4</v>
      </c>
      <c r="B945" s="304">
        <f t="shared" ca="1" si="413"/>
        <v>32.555800000002023</v>
      </c>
      <c r="D945" s="306">
        <f t="shared" ca="1" si="414"/>
        <v>-0.55656007030649257</v>
      </c>
      <c r="E945" s="307">
        <f t="shared" ca="1" si="415"/>
        <v>-0.7413500490749616</v>
      </c>
      <c r="F945" s="304">
        <f t="shared" ca="1" si="416"/>
        <v>0.92701618493045523</v>
      </c>
      <c r="G945" s="306">
        <f t="shared" ca="1" si="417"/>
        <v>5.9349268044626946</v>
      </c>
      <c r="H945" s="307">
        <f t="shared" ca="1" si="418"/>
        <v>-96.705319930378579</v>
      </c>
      <c r="I945" s="304">
        <f t="shared" ca="1" si="419"/>
        <v>96.887265721616927</v>
      </c>
      <c r="J945" s="306">
        <f t="shared" ca="1" si="420"/>
        <v>588.9746359926213</v>
      </c>
      <c r="K945" s="307">
        <f t="shared" ca="1" si="421"/>
        <v>-12.780406472608622</v>
      </c>
      <c r="L945" s="304">
        <f t="shared" ca="1" si="406"/>
        <v>589.11328336088786</v>
      </c>
      <c r="M945" s="306">
        <f t="shared" ca="1" si="422"/>
        <v>-1.5095019487992627</v>
      </c>
      <c r="N945" s="304">
        <f t="shared" ca="1" si="423"/>
        <v>-86.488090832970641</v>
      </c>
      <c r="P945" s="310">
        <f t="shared" ca="1" si="424"/>
        <v>23</v>
      </c>
      <c r="Q945" s="304">
        <f t="shared" ca="1" si="425"/>
        <v>0</v>
      </c>
      <c r="R945" s="306">
        <f t="shared" ca="1" si="426"/>
        <v>0</v>
      </c>
      <c r="S945" s="307">
        <f t="shared" ca="1" si="427"/>
        <v>2.5949999999999998</v>
      </c>
      <c r="T945" s="304">
        <f t="shared" ca="1" si="407"/>
        <v>25.456949999999999</v>
      </c>
      <c r="U945" s="311">
        <f t="shared" ca="1" si="408"/>
        <v>0</v>
      </c>
      <c r="V945" s="306">
        <f t="shared" ca="1" si="409"/>
        <v>1.2265666008826976</v>
      </c>
      <c r="W945" s="304">
        <f t="shared" ca="1" si="410"/>
        <v>23.577481008496772</v>
      </c>
      <c r="Y945" s="314" t="str">
        <f t="shared" ca="1" si="428"/>
        <v/>
      </c>
      <c r="Z945" s="315" t="str">
        <f t="shared" ca="1" si="429"/>
        <v/>
      </c>
      <c r="AA945" s="316" t="str">
        <f t="shared" ca="1" si="430"/>
        <v/>
      </c>
      <c r="AC945" s="310" t="e">
        <f t="shared" ca="1" si="431"/>
        <v>#N/A</v>
      </c>
      <c r="AD945" s="323" t="e">
        <f t="shared" ca="1" si="432"/>
        <v>#N/A</v>
      </c>
      <c r="AE945" s="324" t="e">
        <f t="shared" ca="1" si="411"/>
        <v>#N/A</v>
      </c>
      <c r="AG945" s="306">
        <f t="shared" ca="1" si="433"/>
        <v>0.70586483967635871</v>
      </c>
      <c r="AH945" s="304">
        <f t="shared" ca="1" si="434"/>
        <v>-9.0857124676203735</v>
      </c>
    </row>
    <row r="946" spans="1:34" x14ac:dyDescent="0.2">
      <c r="A946" s="347">
        <f t="shared" ca="1" si="412"/>
        <v>1E-4</v>
      </c>
      <c r="B946" s="304">
        <f t="shared" ca="1" si="413"/>
        <v>32.555900000002026</v>
      </c>
      <c r="D946" s="306">
        <f t="shared" ca="1" si="414"/>
        <v>-0.55655579479098571</v>
      </c>
      <c r="E946" s="307">
        <f t="shared" ca="1" si="415"/>
        <v>-0.74132772018390369</v>
      </c>
      <c r="F946" s="304">
        <f t="shared" ca="1" si="416"/>
        <v>0.9269957612785994</v>
      </c>
      <c r="G946" s="306">
        <f t="shared" ca="1" si="417"/>
        <v>5.9348711488832153</v>
      </c>
      <c r="H946" s="307">
        <f t="shared" ca="1" si="418"/>
        <v>-96.705394063150592</v>
      </c>
      <c r="I946" s="304">
        <f t="shared" ca="1" si="419"/>
        <v>96.887336305954292</v>
      </c>
      <c r="J946" s="306">
        <f t="shared" ca="1" si="420"/>
        <v>588.9746359926213</v>
      </c>
      <c r="K946" s="307">
        <f t="shared" ca="1" si="421"/>
        <v>-12.790077008308298</v>
      </c>
      <c r="L946" s="304">
        <f t="shared" ca="1" si="406"/>
        <v>589.11349323582738</v>
      </c>
      <c r="M946" s="306">
        <f t="shared" ca="1" si="422"/>
        <v>-1.5095025690262491</v>
      </c>
      <c r="N946" s="304">
        <f t="shared" ca="1" si="423"/>
        <v>-86.488126369359293</v>
      </c>
      <c r="P946" s="310">
        <f t="shared" ca="1" si="424"/>
        <v>23</v>
      </c>
      <c r="Q946" s="304">
        <f t="shared" ca="1" si="425"/>
        <v>0</v>
      </c>
      <c r="R946" s="306">
        <f t="shared" ca="1" si="426"/>
        <v>0</v>
      </c>
      <c r="S946" s="307">
        <f t="shared" ca="1" si="427"/>
        <v>2.5949999999999998</v>
      </c>
      <c r="T946" s="304">
        <f t="shared" ca="1" si="407"/>
        <v>25.456949999999999</v>
      </c>
      <c r="U946" s="311">
        <f t="shared" ca="1" si="408"/>
        <v>0</v>
      </c>
      <c r="V946" s="306">
        <f t="shared" ca="1" si="409"/>
        <v>1.2265677870393661</v>
      </c>
      <c r="W946" s="304">
        <f t="shared" ca="1" si="410"/>
        <v>23.577538162595875</v>
      </c>
      <c r="Y946" s="314" t="str">
        <f t="shared" ca="1" si="428"/>
        <v/>
      </c>
      <c r="Z946" s="315" t="str">
        <f t="shared" ca="1" si="429"/>
        <v/>
      </c>
      <c r="AA946" s="316" t="str">
        <f t="shared" ca="1" si="430"/>
        <v/>
      </c>
      <c r="AC946" s="310" t="e">
        <f t="shared" ca="1" si="431"/>
        <v>#N/A</v>
      </c>
      <c r="AD946" s="323" t="e">
        <f t="shared" ca="1" si="432"/>
        <v>#N/A</v>
      </c>
      <c r="AE946" s="324" t="e">
        <f t="shared" ca="1" si="411"/>
        <v>#N/A</v>
      </c>
      <c r="AG946" s="306">
        <f t="shared" ca="1" si="433"/>
        <v>0.70584318733334328</v>
      </c>
      <c r="AH946" s="304">
        <f t="shared" ca="1" si="434"/>
        <v>-9.0857344926769841</v>
      </c>
    </row>
    <row r="947" spans="1:34" x14ac:dyDescent="0.2">
      <c r="A947" s="347">
        <f t="shared" ca="1" si="412"/>
        <v>1E-4</v>
      </c>
      <c r="B947" s="304">
        <f t="shared" ca="1" si="413"/>
        <v>32.55600000000203</v>
      </c>
      <c r="D947" s="306">
        <f t="shared" ca="1" si="414"/>
        <v>-0.55655151928715318</v>
      </c>
      <c r="E947" s="307">
        <f t="shared" ca="1" si="415"/>
        <v>-0.74130539165334319</v>
      </c>
      <c r="F947" s="304">
        <f t="shared" ca="1" si="416"/>
        <v>0.92697533802963439</v>
      </c>
      <c r="G947" s="306">
        <f t="shared" ca="1" si="417"/>
        <v>5.9348154937312865</v>
      </c>
      <c r="H947" s="307">
        <f t="shared" ca="1" si="418"/>
        <v>-96.705468193689754</v>
      </c>
      <c r="I947" s="304">
        <f t="shared" ca="1" si="419"/>
        <v>96.887406888126449</v>
      </c>
      <c r="J947" s="306">
        <f t="shared" ca="1" si="420"/>
        <v>588.9746359926213</v>
      </c>
      <c r="K947" s="307">
        <f t="shared" ca="1" si="421"/>
        <v>-12.79974755142114</v>
      </c>
      <c r="L947" s="304">
        <f t="shared" ca="1" si="406"/>
        <v>589.11370326959877</v>
      </c>
      <c r="M947" s="306">
        <f t="shared" ca="1" si="422"/>
        <v>-1.5095031892465154</v>
      </c>
      <c r="N947" s="304">
        <f t="shared" ca="1" si="423"/>
        <v>-86.488161905362929</v>
      </c>
      <c r="P947" s="310">
        <f t="shared" ca="1" si="424"/>
        <v>23</v>
      </c>
      <c r="Q947" s="304">
        <f t="shared" ca="1" si="425"/>
        <v>0</v>
      </c>
      <c r="R947" s="306">
        <f t="shared" ca="1" si="426"/>
        <v>0</v>
      </c>
      <c r="S947" s="307">
        <f t="shared" ca="1" si="427"/>
        <v>2.5949999999999998</v>
      </c>
      <c r="T947" s="304">
        <f t="shared" ca="1" si="407"/>
        <v>25.456949999999999</v>
      </c>
      <c r="U947" s="311">
        <f t="shared" ca="1" si="408"/>
        <v>0</v>
      </c>
      <c r="V947" s="306">
        <f t="shared" ca="1" si="409"/>
        <v>1.2265689731980916</v>
      </c>
      <c r="W947" s="304">
        <f t="shared" ca="1" si="410"/>
        <v>23.577595315772182</v>
      </c>
      <c r="Y947" s="314" t="str">
        <f t="shared" ca="1" si="428"/>
        <v/>
      </c>
      <c r="Z947" s="315" t="str">
        <f t="shared" ca="1" si="429"/>
        <v/>
      </c>
      <c r="AA947" s="316" t="str">
        <f t="shared" ca="1" si="430"/>
        <v/>
      </c>
      <c r="AC947" s="310" t="e">
        <f t="shared" ca="1" si="431"/>
        <v>#N/A</v>
      </c>
      <c r="AD947" s="323" t="e">
        <f t="shared" ca="1" si="432"/>
        <v>#N/A</v>
      </c>
      <c r="AE947" s="324" t="e">
        <f t="shared" ca="1" si="411"/>
        <v>#N/A</v>
      </c>
      <c r="AG947" s="306">
        <f t="shared" ca="1" si="433"/>
        <v>0.70582153533812786</v>
      </c>
      <c r="AH947" s="304">
        <f t="shared" ca="1" si="434"/>
        <v>-9.0857565173779875</v>
      </c>
    </row>
    <row r="948" spans="1:34" x14ac:dyDescent="0.2">
      <c r="A948" s="347">
        <f t="shared" ca="1" si="412"/>
        <v>1E-4</v>
      </c>
      <c r="B948" s="304">
        <f t="shared" ca="1" si="413"/>
        <v>32.556100000002033</v>
      </c>
      <c r="D948" s="306">
        <f t="shared" ca="1" si="414"/>
        <v>-0.55654724379499798</v>
      </c>
      <c r="E948" s="307">
        <f t="shared" ca="1" si="415"/>
        <v>-0.741283063483273</v>
      </c>
      <c r="F948" s="304">
        <f t="shared" ca="1" si="416"/>
        <v>0.92695491518355677</v>
      </c>
      <c r="G948" s="306">
        <f t="shared" ca="1" si="417"/>
        <v>5.9347598390069072</v>
      </c>
      <c r="H948" s="307">
        <f t="shared" ca="1" si="418"/>
        <v>-96.705542321996106</v>
      </c>
      <c r="I948" s="304">
        <f t="shared" ca="1" si="419"/>
        <v>96.887477468133469</v>
      </c>
      <c r="J948" s="306">
        <f t="shared" ca="1" si="420"/>
        <v>588.9746359926213</v>
      </c>
      <c r="K948" s="307">
        <f t="shared" ca="1" si="421"/>
        <v>-12.809418101946925</v>
      </c>
      <c r="L948" s="304">
        <f t="shared" ca="1" si="406"/>
        <v>589.11391346220239</v>
      </c>
      <c r="M948" s="306">
        <f t="shared" ca="1" si="422"/>
        <v>-1.5095038094600621</v>
      </c>
      <c r="N948" s="304">
        <f t="shared" ca="1" si="423"/>
        <v>-86.488197440981551</v>
      </c>
      <c r="P948" s="310">
        <f t="shared" ca="1" si="424"/>
        <v>23</v>
      </c>
      <c r="Q948" s="304">
        <f t="shared" ca="1" si="425"/>
        <v>0</v>
      </c>
      <c r="R948" s="306">
        <f t="shared" ca="1" si="426"/>
        <v>0</v>
      </c>
      <c r="S948" s="307">
        <f t="shared" ca="1" si="427"/>
        <v>2.5949999999999998</v>
      </c>
      <c r="T948" s="304">
        <f t="shared" ca="1" si="407"/>
        <v>25.456949999999999</v>
      </c>
      <c r="U948" s="311">
        <f t="shared" ca="1" si="408"/>
        <v>0</v>
      </c>
      <c r="V948" s="306">
        <f t="shared" ca="1" si="409"/>
        <v>1.2265701593588745</v>
      </c>
      <c r="W948" s="304">
        <f t="shared" ca="1" si="410"/>
        <v>23.577652468025729</v>
      </c>
      <c r="Y948" s="314" t="str">
        <f t="shared" ca="1" si="428"/>
        <v/>
      </c>
      <c r="Z948" s="315" t="str">
        <f t="shared" ca="1" si="429"/>
        <v/>
      </c>
      <c r="AA948" s="316" t="str">
        <f t="shared" ca="1" si="430"/>
        <v/>
      </c>
      <c r="AC948" s="310" t="e">
        <f t="shared" ca="1" si="431"/>
        <v>#N/A</v>
      </c>
      <c r="AD948" s="323" t="e">
        <f t="shared" ca="1" si="432"/>
        <v>#N/A</v>
      </c>
      <c r="AE948" s="324" t="e">
        <f t="shared" ca="1" si="411"/>
        <v>#N/A</v>
      </c>
      <c r="AG948" s="306">
        <f t="shared" ca="1" si="433"/>
        <v>0.705799883690716</v>
      </c>
      <c r="AH948" s="304">
        <f t="shared" ca="1" si="434"/>
        <v>-9.0857785417233856</v>
      </c>
    </row>
    <row r="949" spans="1:34" x14ac:dyDescent="0.2">
      <c r="A949" s="347">
        <f t="shared" ca="1" si="412"/>
        <v>1E-4</v>
      </c>
      <c r="B949" s="304">
        <f t="shared" ca="1" si="413"/>
        <v>32.556200000002036</v>
      </c>
      <c r="D949" s="306">
        <f t="shared" ca="1" si="414"/>
        <v>-0.55654296831451611</v>
      </c>
      <c r="E949" s="307">
        <f t="shared" ca="1" si="415"/>
        <v>-0.74126073567368422</v>
      </c>
      <c r="F949" s="304">
        <f t="shared" ca="1" si="416"/>
        <v>0.92693449274035755</v>
      </c>
      <c r="G949" s="306">
        <f t="shared" ca="1" si="417"/>
        <v>5.9347041847100757</v>
      </c>
      <c r="H949" s="307">
        <f t="shared" ca="1" si="418"/>
        <v>-96.705616448069676</v>
      </c>
      <c r="I949" s="304">
        <f t="shared" ca="1" si="419"/>
        <v>96.887548045975336</v>
      </c>
      <c r="J949" s="306">
        <f t="shared" ca="1" si="420"/>
        <v>588.9746359926213</v>
      </c>
      <c r="K949" s="307">
        <f t="shared" ca="1" si="421"/>
        <v>-12.819088659885429</v>
      </c>
      <c r="L949" s="304">
        <f t="shared" ca="1" si="406"/>
        <v>589.11412381363834</v>
      </c>
      <c r="M949" s="306">
        <f t="shared" ca="1" si="422"/>
        <v>-1.5095044296668889</v>
      </c>
      <c r="N949" s="304">
        <f t="shared" ca="1" si="423"/>
        <v>-86.488232976215144</v>
      </c>
      <c r="P949" s="310">
        <f t="shared" ca="1" si="424"/>
        <v>23</v>
      </c>
      <c r="Q949" s="304">
        <f t="shared" ca="1" si="425"/>
        <v>0</v>
      </c>
      <c r="R949" s="306">
        <f t="shared" ca="1" si="426"/>
        <v>0</v>
      </c>
      <c r="S949" s="307">
        <f t="shared" ca="1" si="427"/>
        <v>2.5949999999999998</v>
      </c>
      <c r="T949" s="304">
        <f t="shared" ca="1" si="407"/>
        <v>25.456949999999999</v>
      </c>
      <c r="U949" s="311">
        <f t="shared" ca="1" si="408"/>
        <v>0</v>
      </c>
      <c r="V949" s="306">
        <f t="shared" ca="1" si="409"/>
        <v>1.226571345521714</v>
      </c>
      <c r="W949" s="304">
        <f t="shared" ca="1" si="410"/>
        <v>23.577709619356487</v>
      </c>
      <c r="Y949" s="314" t="str">
        <f t="shared" ca="1" si="428"/>
        <v/>
      </c>
      <c r="Z949" s="315" t="str">
        <f t="shared" ca="1" si="429"/>
        <v/>
      </c>
      <c r="AA949" s="316" t="str">
        <f t="shared" ca="1" si="430"/>
        <v/>
      </c>
      <c r="AC949" s="310" t="e">
        <f t="shared" ca="1" si="431"/>
        <v>#N/A</v>
      </c>
      <c r="AD949" s="323" t="e">
        <f t="shared" ca="1" si="432"/>
        <v>#N/A</v>
      </c>
      <c r="AE949" s="324" t="e">
        <f t="shared" ca="1" si="411"/>
        <v>#N/A</v>
      </c>
      <c r="AG949" s="306">
        <f t="shared" ca="1" si="433"/>
        <v>0.70577823239108994</v>
      </c>
      <c r="AH949" s="304">
        <f t="shared" ca="1" si="434"/>
        <v>-9.0858005657131908</v>
      </c>
    </row>
    <row r="950" spans="1:34" x14ac:dyDescent="0.2">
      <c r="A950" s="347">
        <f t="shared" ca="1" si="412"/>
        <v>1E-4</v>
      </c>
      <c r="B950" s="304">
        <f t="shared" ca="1" si="413"/>
        <v>32.556300000002039</v>
      </c>
      <c r="D950" s="306">
        <f t="shared" ca="1" si="414"/>
        <v>-0.55653869284571222</v>
      </c>
      <c r="E950" s="307">
        <f t="shared" ca="1" si="415"/>
        <v>-0.74123840822458398</v>
      </c>
      <c r="F950" s="304">
        <f t="shared" ca="1" si="416"/>
        <v>0.9269140707000455</v>
      </c>
      <c r="G950" s="306">
        <f t="shared" ca="1" si="417"/>
        <v>5.934648530840791</v>
      </c>
      <c r="H950" s="307">
        <f t="shared" ca="1" si="418"/>
        <v>-96.705690571910495</v>
      </c>
      <c r="I950" s="304">
        <f t="shared" ca="1" si="419"/>
        <v>96.887618621652109</v>
      </c>
      <c r="J950" s="306">
        <f t="shared" ca="1" si="420"/>
        <v>588.9746359926213</v>
      </c>
      <c r="K950" s="307">
        <f t="shared" ca="1" si="421"/>
        <v>-12.828759225236428</v>
      </c>
      <c r="L950" s="304">
        <f t="shared" ca="1" si="406"/>
        <v>589.11433432390675</v>
      </c>
      <c r="M950" s="306">
        <f t="shared" ca="1" si="422"/>
        <v>-1.509505049866996</v>
      </c>
      <c r="N950" s="304">
        <f t="shared" ca="1" si="423"/>
        <v>-86.488268511063737</v>
      </c>
      <c r="P950" s="310">
        <f t="shared" ca="1" si="424"/>
        <v>23</v>
      </c>
      <c r="Q950" s="304">
        <f t="shared" ca="1" si="425"/>
        <v>0</v>
      </c>
      <c r="R950" s="306">
        <f t="shared" ca="1" si="426"/>
        <v>0</v>
      </c>
      <c r="S950" s="307">
        <f t="shared" ca="1" si="427"/>
        <v>2.5949999999999998</v>
      </c>
      <c r="T950" s="304">
        <f t="shared" ca="1" si="407"/>
        <v>25.456949999999999</v>
      </c>
      <c r="U950" s="311">
        <f t="shared" ca="1" si="408"/>
        <v>0</v>
      </c>
      <c r="V950" s="306">
        <f t="shared" ca="1" si="409"/>
        <v>1.226572531686611</v>
      </c>
      <c r="W950" s="304">
        <f t="shared" ca="1" si="410"/>
        <v>23.577766769764494</v>
      </c>
      <c r="Y950" s="314" t="str">
        <f t="shared" ca="1" si="428"/>
        <v/>
      </c>
      <c r="Z950" s="315" t="str">
        <f t="shared" ca="1" si="429"/>
        <v/>
      </c>
      <c r="AA950" s="316" t="str">
        <f t="shared" ca="1" si="430"/>
        <v/>
      </c>
      <c r="AC950" s="310" t="e">
        <f t="shared" ca="1" si="431"/>
        <v>#N/A</v>
      </c>
      <c r="AD950" s="323" t="e">
        <f t="shared" ca="1" si="432"/>
        <v>#N/A</v>
      </c>
      <c r="AE950" s="324" t="e">
        <f t="shared" ca="1" si="411"/>
        <v>#N/A</v>
      </c>
      <c r="AG950" s="306">
        <f t="shared" ca="1" si="433"/>
        <v>0.70575658143926212</v>
      </c>
      <c r="AH950" s="304">
        <f t="shared" ca="1" si="434"/>
        <v>-9.0858225893473943</v>
      </c>
    </row>
    <row r="951" spans="1:34" x14ac:dyDescent="0.2">
      <c r="A951" s="347">
        <f t="shared" ca="1" si="412"/>
        <v>1E-4</v>
      </c>
      <c r="B951" s="304">
        <f t="shared" ca="1" si="413"/>
        <v>32.556400000002043</v>
      </c>
      <c r="D951" s="306">
        <f t="shared" ca="1" si="414"/>
        <v>-0.55653441738858611</v>
      </c>
      <c r="E951" s="307">
        <f t="shared" ca="1" si="415"/>
        <v>-0.74121608113595805</v>
      </c>
      <c r="F951" s="304">
        <f t="shared" ca="1" si="416"/>
        <v>0.92689364906260963</v>
      </c>
      <c r="G951" s="306">
        <f t="shared" ca="1" si="417"/>
        <v>5.9345928773990524</v>
      </c>
      <c r="H951" s="307">
        <f t="shared" ca="1" si="418"/>
        <v>-96.705764693518603</v>
      </c>
      <c r="I951" s="304">
        <f t="shared" ca="1" si="419"/>
        <v>96.88768919516383</v>
      </c>
      <c r="J951" s="306">
        <f t="shared" ca="1" si="420"/>
        <v>588.9746359926213</v>
      </c>
      <c r="K951" s="307">
        <f t="shared" ca="1" si="421"/>
        <v>-12.8384297979997</v>
      </c>
      <c r="L951" s="304">
        <f t="shared" ca="1" si="406"/>
        <v>589.11454499300805</v>
      </c>
      <c r="M951" s="306">
        <f t="shared" ca="1" si="422"/>
        <v>-1.5095056700603835</v>
      </c>
      <c r="N951" s="304">
        <f t="shared" ca="1" si="423"/>
        <v>-86.488304045527329</v>
      </c>
      <c r="P951" s="310">
        <f t="shared" ca="1" si="424"/>
        <v>23</v>
      </c>
      <c r="Q951" s="304">
        <f t="shared" ca="1" si="425"/>
        <v>0</v>
      </c>
      <c r="R951" s="306">
        <f t="shared" ca="1" si="426"/>
        <v>0</v>
      </c>
      <c r="S951" s="307">
        <f t="shared" ca="1" si="427"/>
        <v>2.5949999999999998</v>
      </c>
      <c r="T951" s="304">
        <f t="shared" ca="1" si="407"/>
        <v>25.456949999999999</v>
      </c>
      <c r="U951" s="311">
        <f t="shared" ca="1" si="408"/>
        <v>0</v>
      </c>
      <c r="V951" s="306">
        <f t="shared" ca="1" si="409"/>
        <v>1.2265737178535645</v>
      </c>
      <c r="W951" s="304">
        <f t="shared" ca="1" si="410"/>
        <v>23.577823919249752</v>
      </c>
      <c r="Y951" s="314" t="str">
        <f t="shared" ca="1" si="428"/>
        <v/>
      </c>
      <c r="Z951" s="315" t="str">
        <f t="shared" ca="1" si="429"/>
        <v/>
      </c>
      <c r="AA951" s="316" t="str">
        <f t="shared" ca="1" si="430"/>
        <v/>
      </c>
      <c r="AC951" s="310" t="e">
        <f t="shared" ca="1" si="431"/>
        <v>#N/A</v>
      </c>
      <c r="AD951" s="323" t="e">
        <f t="shared" ca="1" si="432"/>
        <v>#N/A</v>
      </c>
      <c r="AE951" s="324" t="e">
        <f t="shared" ca="1" si="411"/>
        <v>#N/A</v>
      </c>
      <c r="AG951" s="306">
        <f t="shared" ca="1" si="433"/>
        <v>0.70573493083521832</v>
      </c>
      <c r="AH951" s="304">
        <f t="shared" ca="1" si="434"/>
        <v>-9.0858446126260102</v>
      </c>
    </row>
    <row r="952" spans="1:34" x14ac:dyDescent="0.2">
      <c r="A952" s="347">
        <f t="shared" ca="1" si="412"/>
        <v>1E-4</v>
      </c>
      <c r="B952" s="304">
        <f t="shared" ca="1" si="413"/>
        <v>32.556500000002046</v>
      </c>
      <c r="D952" s="306">
        <f t="shared" ca="1" si="414"/>
        <v>-0.55653014194313699</v>
      </c>
      <c r="E952" s="307">
        <f t="shared" ca="1" si="415"/>
        <v>-0.74119375440780821</v>
      </c>
      <c r="F952" s="304">
        <f t="shared" ca="1" si="416"/>
        <v>0.92687322782805115</v>
      </c>
      <c r="G952" s="306">
        <f t="shared" ca="1" si="417"/>
        <v>5.934537224384858</v>
      </c>
      <c r="H952" s="307">
        <f t="shared" ca="1" si="418"/>
        <v>-96.705838812894044</v>
      </c>
      <c r="I952" s="304">
        <f t="shared" ca="1" si="419"/>
        <v>96.887759766510513</v>
      </c>
      <c r="J952" s="306">
        <f t="shared" ca="1" si="420"/>
        <v>588.9746359926213</v>
      </c>
      <c r="K952" s="307">
        <f t="shared" ca="1" si="421"/>
        <v>-12.848100378175021</v>
      </c>
      <c r="L952" s="304">
        <f t="shared" ca="1" si="406"/>
        <v>589.11475582094226</v>
      </c>
      <c r="M952" s="306">
        <f t="shared" ca="1" si="422"/>
        <v>-1.5095062902470517</v>
      </c>
      <c r="N952" s="304">
        <f t="shared" ca="1" si="423"/>
        <v>-86.48833957960592</v>
      </c>
      <c r="P952" s="310">
        <f t="shared" ca="1" si="424"/>
        <v>23</v>
      </c>
      <c r="Q952" s="304">
        <f t="shared" ca="1" si="425"/>
        <v>0</v>
      </c>
      <c r="R952" s="306">
        <f t="shared" ca="1" si="426"/>
        <v>0</v>
      </c>
      <c r="S952" s="307">
        <f t="shared" ca="1" si="427"/>
        <v>2.5949999999999998</v>
      </c>
      <c r="T952" s="304">
        <f t="shared" ca="1" si="407"/>
        <v>25.456949999999999</v>
      </c>
      <c r="U952" s="311">
        <f t="shared" ca="1" si="408"/>
        <v>0</v>
      </c>
      <c r="V952" s="306">
        <f t="shared" ca="1" si="409"/>
        <v>1.2265749040225749</v>
      </c>
      <c r="W952" s="304">
        <f t="shared" ca="1" si="410"/>
        <v>23.57788106781226</v>
      </c>
      <c r="Y952" s="314" t="str">
        <f t="shared" ca="1" si="428"/>
        <v/>
      </c>
      <c r="Z952" s="315" t="str">
        <f t="shared" ca="1" si="429"/>
        <v/>
      </c>
      <c r="AA952" s="316" t="str">
        <f t="shared" ca="1" si="430"/>
        <v/>
      </c>
      <c r="AC952" s="310" t="e">
        <f t="shared" ca="1" si="431"/>
        <v>#N/A</v>
      </c>
      <c r="AD952" s="323" t="e">
        <f t="shared" ca="1" si="432"/>
        <v>#N/A</v>
      </c>
      <c r="AE952" s="324" t="e">
        <f t="shared" ca="1" si="411"/>
        <v>#N/A</v>
      </c>
      <c r="AG952" s="306">
        <f t="shared" ca="1" si="433"/>
        <v>0.70571328057895677</v>
      </c>
      <c r="AH952" s="304">
        <f t="shared" ca="1" si="434"/>
        <v>-9.0858666355490385</v>
      </c>
    </row>
    <row r="953" spans="1:34" x14ac:dyDescent="0.2">
      <c r="A953" s="347">
        <f t="shared" ca="1" si="412"/>
        <v>1E-4</v>
      </c>
      <c r="B953" s="304">
        <f t="shared" ca="1" si="413"/>
        <v>32.556600000002049</v>
      </c>
      <c r="D953" s="306">
        <f t="shared" ca="1" si="414"/>
        <v>-0.55652586650936398</v>
      </c>
      <c r="E953" s="307">
        <f t="shared" ca="1" si="415"/>
        <v>-0.74117142804013092</v>
      </c>
      <c r="F953" s="304">
        <f t="shared" ca="1" si="416"/>
        <v>0.92685280699636741</v>
      </c>
      <c r="G953" s="306">
        <f t="shared" ca="1" si="417"/>
        <v>5.9344815717982069</v>
      </c>
      <c r="H953" s="307">
        <f t="shared" ca="1" si="418"/>
        <v>-96.705912930036845</v>
      </c>
      <c r="I953" s="304">
        <f t="shared" ca="1" si="419"/>
        <v>96.887830335692215</v>
      </c>
      <c r="J953" s="306">
        <f t="shared" ca="1" si="420"/>
        <v>588.9746359926213</v>
      </c>
      <c r="K953" s="307">
        <f t="shared" ca="1" si="421"/>
        <v>-12.857770965762167</v>
      </c>
      <c r="L953" s="304">
        <f t="shared" ca="1" si="406"/>
        <v>589.11496680770961</v>
      </c>
      <c r="M953" s="306">
        <f t="shared" ca="1" si="422"/>
        <v>-1.5095069104270005</v>
      </c>
      <c r="N953" s="304">
        <f t="shared" ca="1" si="423"/>
        <v>-86.488375113299526</v>
      </c>
      <c r="P953" s="310">
        <f t="shared" ca="1" si="424"/>
        <v>23</v>
      </c>
      <c r="Q953" s="304">
        <f t="shared" ca="1" si="425"/>
        <v>0</v>
      </c>
      <c r="R953" s="306">
        <f t="shared" ca="1" si="426"/>
        <v>0</v>
      </c>
      <c r="S953" s="307">
        <f t="shared" ca="1" si="427"/>
        <v>2.5949999999999998</v>
      </c>
      <c r="T953" s="304">
        <f t="shared" ca="1" si="407"/>
        <v>25.456949999999999</v>
      </c>
      <c r="U953" s="311">
        <f t="shared" ca="1" si="408"/>
        <v>0</v>
      </c>
      <c r="V953" s="306">
        <f t="shared" ca="1" si="409"/>
        <v>1.2265760901936424</v>
      </c>
      <c r="W953" s="304">
        <f t="shared" ca="1" si="410"/>
        <v>23.577938215452065</v>
      </c>
      <c r="Y953" s="314" t="str">
        <f t="shared" ca="1" si="428"/>
        <v/>
      </c>
      <c r="Z953" s="315" t="str">
        <f t="shared" ca="1" si="429"/>
        <v/>
      </c>
      <c r="AA953" s="316" t="str">
        <f t="shared" ca="1" si="430"/>
        <v/>
      </c>
      <c r="AC953" s="310" t="e">
        <f t="shared" ca="1" si="431"/>
        <v>#N/A</v>
      </c>
      <c r="AD953" s="323" t="e">
        <f t="shared" ca="1" si="432"/>
        <v>#N/A</v>
      </c>
      <c r="AE953" s="324" t="e">
        <f t="shared" ca="1" si="411"/>
        <v>#N/A</v>
      </c>
      <c r="AG953" s="306">
        <f t="shared" ca="1" si="433"/>
        <v>0.70569163067048102</v>
      </c>
      <c r="AH953" s="304">
        <f t="shared" ca="1" si="434"/>
        <v>-9.0858886581164793</v>
      </c>
    </row>
    <row r="954" spans="1:34" x14ac:dyDescent="0.2">
      <c r="A954" s="347">
        <f t="shared" ca="1" si="412"/>
        <v>1E-4</v>
      </c>
      <c r="B954" s="304">
        <f t="shared" ca="1" si="413"/>
        <v>32.556700000002053</v>
      </c>
      <c r="D954" s="306">
        <f t="shared" ca="1" si="414"/>
        <v>-0.55652159108727117</v>
      </c>
      <c r="E954" s="307">
        <f t="shared" ca="1" si="415"/>
        <v>-0.74114910203291196</v>
      </c>
      <c r="F954" s="304">
        <f t="shared" ca="1" si="416"/>
        <v>0.92683238656754952</v>
      </c>
      <c r="G954" s="306">
        <f t="shared" ca="1" si="417"/>
        <v>5.9344259196390983</v>
      </c>
      <c r="H954" s="307">
        <f t="shared" ca="1" si="418"/>
        <v>-96.705987044947051</v>
      </c>
      <c r="I954" s="304">
        <f t="shared" ca="1" si="419"/>
        <v>96.887900902708964</v>
      </c>
      <c r="J954" s="306">
        <f t="shared" ca="1" si="420"/>
        <v>588.9746359926213</v>
      </c>
      <c r="K954" s="307">
        <f t="shared" ca="1" si="421"/>
        <v>-12.867441560760916</v>
      </c>
      <c r="L954" s="304">
        <f t="shared" ca="1" si="406"/>
        <v>589.11517795331019</v>
      </c>
      <c r="M954" s="306">
        <f t="shared" ca="1" si="422"/>
        <v>-1.5095075306002297</v>
      </c>
      <c r="N954" s="304">
        <f t="shared" ca="1" si="423"/>
        <v>-86.488410646608131</v>
      </c>
      <c r="P954" s="310">
        <f t="shared" ca="1" si="424"/>
        <v>23</v>
      </c>
      <c r="Q954" s="304">
        <f t="shared" ca="1" si="425"/>
        <v>0</v>
      </c>
      <c r="R954" s="306">
        <f t="shared" ca="1" si="426"/>
        <v>0</v>
      </c>
      <c r="S954" s="307">
        <f t="shared" ca="1" si="427"/>
        <v>2.5949999999999998</v>
      </c>
      <c r="T954" s="304">
        <f t="shared" ca="1" si="407"/>
        <v>25.456949999999999</v>
      </c>
      <c r="U954" s="311">
        <f t="shared" ca="1" si="408"/>
        <v>0</v>
      </c>
      <c r="V954" s="306">
        <f t="shared" ca="1" si="409"/>
        <v>1.2265772763667668</v>
      </c>
      <c r="W954" s="304">
        <f t="shared" ca="1" si="410"/>
        <v>23.577995362169144</v>
      </c>
      <c r="Y954" s="314" t="str">
        <f t="shared" ca="1" si="428"/>
        <v/>
      </c>
      <c r="Z954" s="315" t="str">
        <f t="shared" ca="1" si="429"/>
        <v/>
      </c>
      <c r="AA954" s="316" t="str">
        <f t="shared" ca="1" si="430"/>
        <v/>
      </c>
      <c r="AC954" s="310" t="e">
        <f t="shared" ca="1" si="431"/>
        <v>#N/A</v>
      </c>
      <c r="AD954" s="323" t="e">
        <f t="shared" ca="1" si="432"/>
        <v>#N/A</v>
      </c>
      <c r="AE954" s="324" t="e">
        <f t="shared" ca="1" si="411"/>
        <v>#N/A</v>
      </c>
      <c r="AG954" s="306">
        <f t="shared" ca="1" si="433"/>
        <v>0.70566998110976975</v>
      </c>
      <c r="AH954" s="304">
        <f t="shared" ca="1" si="434"/>
        <v>-9.0859106803283503</v>
      </c>
    </row>
    <row r="955" spans="1:34" x14ac:dyDescent="0.2">
      <c r="A955" s="347">
        <f t="shared" ca="1" si="412"/>
        <v>1E-4</v>
      </c>
      <c r="B955" s="304">
        <f t="shared" ca="1" si="413"/>
        <v>32.556800000002056</v>
      </c>
      <c r="D955" s="306">
        <f t="shared" ca="1" si="414"/>
        <v>-0.55651731567685936</v>
      </c>
      <c r="E955" s="307">
        <f t="shared" ca="1" si="415"/>
        <v>-0.74112677638615665</v>
      </c>
      <c r="F955" s="304">
        <f t="shared" ca="1" si="416"/>
        <v>0.92681196654160303</v>
      </c>
      <c r="G955" s="306">
        <f t="shared" ca="1" si="417"/>
        <v>5.9343702679075303</v>
      </c>
      <c r="H955" s="307">
        <f t="shared" ca="1" si="418"/>
        <v>-96.706061157624688</v>
      </c>
      <c r="I955" s="304">
        <f t="shared" ca="1" si="419"/>
        <v>96.887971467560789</v>
      </c>
      <c r="J955" s="306">
        <f t="shared" ca="1" si="420"/>
        <v>588.9746359926213</v>
      </c>
      <c r="K955" s="307">
        <f t="shared" ca="1" si="421"/>
        <v>-12.877112163171045</v>
      </c>
      <c r="L955" s="304">
        <f t="shared" ca="1" si="406"/>
        <v>589.11538925774437</v>
      </c>
      <c r="M955" s="306">
        <f t="shared" ca="1" si="422"/>
        <v>-1.5095081507667401</v>
      </c>
      <c r="N955" s="304">
        <f t="shared" ca="1" si="423"/>
        <v>-86.488446179531763</v>
      </c>
      <c r="P955" s="310">
        <f t="shared" ca="1" si="424"/>
        <v>23</v>
      </c>
      <c r="Q955" s="304">
        <f t="shared" ca="1" si="425"/>
        <v>0</v>
      </c>
      <c r="R955" s="306">
        <f t="shared" ca="1" si="426"/>
        <v>0</v>
      </c>
      <c r="S955" s="307">
        <f t="shared" ca="1" si="427"/>
        <v>2.5949999999999998</v>
      </c>
      <c r="T955" s="304">
        <f t="shared" ca="1" si="407"/>
        <v>25.456949999999999</v>
      </c>
      <c r="U955" s="311">
        <f t="shared" ca="1" si="408"/>
        <v>0</v>
      </c>
      <c r="V955" s="306">
        <f t="shared" ca="1" si="409"/>
        <v>1.2265784625419487</v>
      </c>
      <c r="W955" s="304">
        <f t="shared" ca="1" si="410"/>
        <v>23.578052507963541</v>
      </c>
      <c r="Y955" s="314" t="str">
        <f t="shared" ca="1" si="428"/>
        <v/>
      </c>
      <c r="Z955" s="315" t="str">
        <f t="shared" ca="1" si="429"/>
        <v/>
      </c>
      <c r="AA955" s="316" t="str">
        <f t="shared" ca="1" si="430"/>
        <v/>
      </c>
      <c r="AC955" s="310" t="e">
        <f t="shared" ca="1" si="431"/>
        <v>#N/A</v>
      </c>
      <c r="AD955" s="323" t="e">
        <f t="shared" ca="1" si="432"/>
        <v>#N/A</v>
      </c>
      <c r="AE955" s="324" t="e">
        <f t="shared" ca="1" si="411"/>
        <v>#N/A</v>
      </c>
      <c r="AG955" s="306">
        <f t="shared" ca="1" si="433"/>
        <v>0.7056483318968354</v>
      </c>
      <c r="AH955" s="304">
        <f t="shared" ca="1" si="434"/>
        <v>-9.0859327021846426</v>
      </c>
    </row>
    <row r="956" spans="1:34" x14ac:dyDescent="0.2">
      <c r="A956" s="347">
        <f t="shared" ca="1" si="412"/>
        <v>1E-4</v>
      </c>
      <c r="B956" s="304">
        <f t="shared" ca="1" si="413"/>
        <v>32.556900000002059</v>
      </c>
      <c r="D956" s="306">
        <f t="shared" ca="1" si="414"/>
        <v>-0.55651304027812432</v>
      </c>
      <c r="E956" s="307">
        <f t="shared" ca="1" si="415"/>
        <v>-0.74110445109985079</v>
      </c>
      <c r="F956" s="304">
        <f t="shared" ca="1" si="416"/>
        <v>0.92679154691851418</v>
      </c>
      <c r="G956" s="306">
        <f t="shared" ca="1" si="417"/>
        <v>5.9343146166035021</v>
      </c>
      <c r="H956" s="307">
        <f t="shared" ca="1" si="418"/>
        <v>-96.706135268069801</v>
      </c>
      <c r="I956" s="304">
        <f t="shared" ca="1" si="419"/>
        <v>96.888042030247718</v>
      </c>
      <c r="J956" s="306">
        <f t="shared" ca="1" si="420"/>
        <v>588.9746359926213</v>
      </c>
      <c r="K956" s="307">
        <f t="shared" ca="1" si="421"/>
        <v>-12.88678277299233</v>
      </c>
      <c r="L956" s="304">
        <f t="shared" ca="1" si="406"/>
        <v>589.11560072101213</v>
      </c>
      <c r="M956" s="306">
        <f t="shared" ca="1" si="422"/>
        <v>-1.5095087709265311</v>
      </c>
      <c r="N956" s="304">
        <f t="shared" ca="1" si="423"/>
        <v>-86.488481712070424</v>
      </c>
      <c r="P956" s="310">
        <f t="shared" ca="1" si="424"/>
        <v>23</v>
      </c>
      <c r="Q956" s="304">
        <f t="shared" ca="1" si="425"/>
        <v>0</v>
      </c>
      <c r="R956" s="306">
        <f t="shared" ca="1" si="426"/>
        <v>0</v>
      </c>
      <c r="S956" s="307">
        <f t="shared" ca="1" si="427"/>
        <v>2.5949999999999998</v>
      </c>
      <c r="T956" s="304">
        <f t="shared" ca="1" si="407"/>
        <v>25.456949999999999</v>
      </c>
      <c r="U956" s="311">
        <f t="shared" ca="1" si="408"/>
        <v>0</v>
      </c>
      <c r="V956" s="306">
        <f t="shared" ca="1" si="409"/>
        <v>1.2265796487191867</v>
      </c>
      <c r="W956" s="304">
        <f t="shared" ca="1" si="410"/>
        <v>23.578109652835227</v>
      </c>
      <c r="Y956" s="314" t="str">
        <f t="shared" ca="1" si="428"/>
        <v/>
      </c>
      <c r="Z956" s="315" t="str">
        <f t="shared" ca="1" si="429"/>
        <v/>
      </c>
      <c r="AA956" s="316" t="str">
        <f t="shared" ca="1" si="430"/>
        <v/>
      </c>
      <c r="AC956" s="310" t="e">
        <f t="shared" ca="1" si="431"/>
        <v>#N/A</v>
      </c>
      <c r="AD956" s="323" t="e">
        <f t="shared" ca="1" si="432"/>
        <v>#N/A</v>
      </c>
      <c r="AE956" s="324" t="e">
        <f t="shared" ca="1" si="411"/>
        <v>#N/A</v>
      </c>
      <c r="AG956" s="306">
        <f t="shared" ca="1" si="433"/>
        <v>0.70562668303165665</v>
      </c>
      <c r="AH956" s="304">
        <f t="shared" ca="1" si="434"/>
        <v>-9.0859547236853739</v>
      </c>
    </row>
    <row r="957" spans="1:34" x14ac:dyDescent="0.2">
      <c r="A957" s="347">
        <f t="shared" ca="1" si="412"/>
        <v>1E-4</v>
      </c>
      <c r="B957" s="304">
        <f t="shared" ca="1" si="413"/>
        <v>32.557000000002063</v>
      </c>
      <c r="D957" s="306">
        <f t="shared" ca="1" si="414"/>
        <v>-0.55650876489107082</v>
      </c>
      <c r="E957" s="307">
        <f t="shared" ca="1" si="415"/>
        <v>-0.74108212617400326</v>
      </c>
      <c r="F957" s="304">
        <f t="shared" ca="1" si="416"/>
        <v>0.9267711276982934</v>
      </c>
      <c r="G957" s="306">
        <f t="shared" ca="1" si="417"/>
        <v>5.9342589657270128</v>
      </c>
      <c r="H957" s="307">
        <f t="shared" ca="1" si="418"/>
        <v>-96.706209376282416</v>
      </c>
      <c r="I957" s="304">
        <f t="shared" ca="1" si="419"/>
        <v>96.888112590769794</v>
      </c>
      <c r="J957" s="306">
        <f t="shared" ca="1" si="420"/>
        <v>588.9746359926213</v>
      </c>
      <c r="K957" s="307">
        <f t="shared" ca="1" si="421"/>
        <v>-12.896453390224547</v>
      </c>
      <c r="L957" s="304">
        <f t="shared" ca="1" si="406"/>
        <v>589.11581234311393</v>
      </c>
      <c r="M957" s="306">
        <f t="shared" ca="1" si="422"/>
        <v>-1.5095093910796031</v>
      </c>
      <c r="N957" s="304">
        <f t="shared" ca="1" si="423"/>
        <v>-86.488517244224099</v>
      </c>
      <c r="P957" s="310">
        <f t="shared" ca="1" si="424"/>
        <v>23</v>
      </c>
      <c r="Q957" s="304">
        <f t="shared" ca="1" si="425"/>
        <v>0</v>
      </c>
      <c r="R957" s="306">
        <f t="shared" ca="1" si="426"/>
        <v>0</v>
      </c>
      <c r="S957" s="307">
        <f t="shared" ca="1" si="427"/>
        <v>2.5949999999999998</v>
      </c>
      <c r="T957" s="304">
        <f t="shared" ca="1" si="407"/>
        <v>25.456949999999999</v>
      </c>
      <c r="U957" s="311">
        <f t="shared" ca="1" si="408"/>
        <v>0</v>
      </c>
      <c r="V957" s="306">
        <f t="shared" ca="1" si="409"/>
        <v>1.2265808348984819</v>
      </c>
      <c r="W957" s="304">
        <f t="shared" ca="1" si="410"/>
        <v>23.578166796784245</v>
      </c>
      <c r="Y957" s="314" t="str">
        <f t="shared" ca="1" si="428"/>
        <v/>
      </c>
      <c r="Z957" s="315" t="str">
        <f t="shared" ca="1" si="429"/>
        <v/>
      </c>
      <c r="AA957" s="316" t="str">
        <f t="shared" ca="1" si="430"/>
        <v/>
      </c>
      <c r="AC957" s="310" t="e">
        <f t="shared" ca="1" si="431"/>
        <v>#N/A</v>
      </c>
      <c r="AD957" s="323" t="e">
        <f t="shared" ca="1" si="432"/>
        <v>#N/A</v>
      </c>
      <c r="AE957" s="324" t="e">
        <f t="shared" ca="1" si="411"/>
        <v>#N/A</v>
      </c>
      <c r="AG957" s="306">
        <f t="shared" ca="1" si="433"/>
        <v>0.70560503451424772</v>
      </c>
      <c r="AH957" s="304">
        <f t="shared" ca="1" si="434"/>
        <v>-9.085976744830532</v>
      </c>
    </row>
    <row r="958" spans="1:34" x14ac:dyDescent="0.2">
      <c r="A958" s="347">
        <f t="shared" ca="1" si="412"/>
        <v>1E-4</v>
      </c>
      <c r="B958" s="304">
        <f t="shared" ca="1" si="413"/>
        <v>32.557100000002066</v>
      </c>
      <c r="D958" s="306">
        <f t="shared" ca="1" si="414"/>
        <v>-0.55650448951569875</v>
      </c>
      <c r="E958" s="307">
        <f t="shared" ca="1" si="415"/>
        <v>-0.74105980160859808</v>
      </c>
      <c r="F958" s="304">
        <f t="shared" ca="1" si="416"/>
        <v>0.92675070888092836</v>
      </c>
      <c r="G958" s="306">
        <f t="shared" ca="1" si="417"/>
        <v>5.9342033152780616</v>
      </c>
      <c r="H958" s="307">
        <f t="shared" ca="1" si="418"/>
        <v>-96.706283482262577</v>
      </c>
      <c r="I958" s="304">
        <f t="shared" ca="1" si="419"/>
        <v>96.888183149127059</v>
      </c>
      <c r="J958" s="306">
        <f t="shared" ca="1" si="420"/>
        <v>588.9746359926213</v>
      </c>
      <c r="K958" s="307">
        <f t="shared" ca="1" si="421"/>
        <v>-12.906124014867475</v>
      </c>
      <c r="L958" s="304">
        <f t="shared" ca="1" si="406"/>
        <v>589.11602412404966</v>
      </c>
      <c r="M958" s="306">
        <f t="shared" ca="1" si="422"/>
        <v>-1.5095100112259563</v>
      </c>
      <c r="N958" s="304">
        <f t="shared" ca="1" si="423"/>
        <v>-86.488552775992815</v>
      </c>
      <c r="P958" s="310">
        <f t="shared" ca="1" si="424"/>
        <v>23</v>
      </c>
      <c r="Q958" s="304">
        <f t="shared" ca="1" si="425"/>
        <v>0</v>
      </c>
      <c r="R958" s="306">
        <f t="shared" ca="1" si="426"/>
        <v>0</v>
      </c>
      <c r="S958" s="307">
        <f t="shared" ca="1" si="427"/>
        <v>2.5949999999999998</v>
      </c>
      <c r="T958" s="304">
        <f t="shared" ca="1" si="407"/>
        <v>25.456949999999999</v>
      </c>
      <c r="U958" s="311">
        <f t="shared" ca="1" si="408"/>
        <v>0</v>
      </c>
      <c r="V958" s="306">
        <f t="shared" ca="1" si="409"/>
        <v>1.2265820210798337</v>
      </c>
      <c r="W958" s="304">
        <f t="shared" ca="1" si="410"/>
        <v>23.578223939810584</v>
      </c>
      <c r="Y958" s="314" t="str">
        <f t="shared" ca="1" si="428"/>
        <v/>
      </c>
      <c r="Z958" s="315" t="str">
        <f t="shared" ca="1" si="429"/>
        <v/>
      </c>
      <c r="AA958" s="316" t="str">
        <f t="shared" ca="1" si="430"/>
        <v/>
      </c>
      <c r="AC958" s="310" t="e">
        <f t="shared" ca="1" si="431"/>
        <v>#N/A</v>
      </c>
      <c r="AD958" s="323" t="e">
        <f t="shared" ca="1" si="432"/>
        <v>#N/A</v>
      </c>
      <c r="AE958" s="324" t="e">
        <f t="shared" ca="1" si="411"/>
        <v>#N/A</v>
      </c>
      <c r="AG958" s="306">
        <f t="shared" ca="1" si="433"/>
        <v>0.70558338634459261</v>
      </c>
      <c r="AH958" s="304">
        <f t="shared" ca="1" si="434"/>
        <v>-9.0859987656201344</v>
      </c>
    </row>
    <row r="959" spans="1:34" x14ac:dyDescent="0.2">
      <c r="A959" s="347">
        <f t="shared" ca="1" si="412"/>
        <v>1E-4</v>
      </c>
      <c r="B959" s="304">
        <f t="shared" ca="1" si="413"/>
        <v>32.557200000002069</v>
      </c>
      <c r="D959" s="306">
        <f t="shared" ca="1" si="414"/>
        <v>-0.55650021415200712</v>
      </c>
      <c r="E959" s="307">
        <f t="shared" ca="1" si="415"/>
        <v>-0.74103747740364057</v>
      </c>
      <c r="F959" s="304">
        <f t="shared" ca="1" si="416"/>
        <v>0.92673029046642308</v>
      </c>
      <c r="G959" s="306">
        <f t="shared" ca="1" si="417"/>
        <v>5.9341476652566465</v>
      </c>
      <c r="H959" s="307">
        <f t="shared" ca="1" si="418"/>
        <v>-96.706357586010313</v>
      </c>
      <c r="I959" s="304">
        <f t="shared" ca="1" si="419"/>
        <v>96.888253705319542</v>
      </c>
      <c r="J959" s="306">
        <f t="shared" ca="1" si="420"/>
        <v>588.9746359926213</v>
      </c>
      <c r="K959" s="307">
        <f t="shared" ca="1" si="421"/>
        <v>-12.915794646920888</v>
      </c>
      <c r="L959" s="304">
        <f t="shared" ca="1" si="406"/>
        <v>589.11623606381966</v>
      </c>
      <c r="M959" s="306">
        <f t="shared" ca="1" si="422"/>
        <v>-1.5095106313655906</v>
      </c>
      <c r="N959" s="304">
        <f t="shared" ca="1" si="423"/>
        <v>-86.488588307376574</v>
      </c>
      <c r="P959" s="310">
        <f t="shared" ca="1" si="424"/>
        <v>23</v>
      </c>
      <c r="Q959" s="304">
        <f t="shared" ca="1" si="425"/>
        <v>0</v>
      </c>
      <c r="R959" s="306">
        <f t="shared" ca="1" si="426"/>
        <v>0</v>
      </c>
      <c r="S959" s="307">
        <f t="shared" ca="1" si="427"/>
        <v>2.5949999999999998</v>
      </c>
      <c r="T959" s="304">
        <f t="shared" ca="1" si="407"/>
        <v>25.456949999999999</v>
      </c>
      <c r="U959" s="311">
        <f t="shared" ca="1" si="408"/>
        <v>0</v>
      </c>
      <c r="V959" s="306">
        <f t="shared" ca="1" si="409"/>
        <v>1.2265832072632425</v>
      </c>
      <c r="W959" s="304">
        <f t="shared" ca="1" si="410"/>
        <v>23.578281081914277</v>
      </c>
      <c r="Y959" s="314" t="str">
        <f t="shared" ca="1" si="428"/>
        <v/>
      </c>
      <c r="Z959" s="315" t="str">
        <f t="shared" ca="1" si="429"/>
        <v/>
      </c>
      <c r="AA959" s="316" t="str">
        <f t="shared" ca="1" si="430"/>
        <v/>
      </c>
      <c r="AC959" s="310" t="e">
        <f t="shared" ca="1" si="431"/>
        <v>#N/A</v>
      </c>
      <c r="AD959" s="323" t="e">
        <f t="shared" ca="1" si="432"/>
        <v>#N/A</v>
      </c>
      <c r="AE959" s="324" t="e">
        <f t="shared" ca="1" si="411"/>
        <v>#N/A</v>
      </c>
      <c r="AG959" s="306">
        <f t="shared" ca="1" si="433"/>
        <v>0.70556173852269666</v>
      </c>
      <c r="AH959" s="304">
        <f t="shared" ca="1" si="434"/>
        <v>-9.086020786054176</v>
      </c>
    </row>
    <row r="960" spans="1:34" x14ac:dyDescent="0.2">
      <c r="A960" s="347">
        <f t="shared" ca="1" si="412"/>
        <v>1E-4</v>
      </c>
      <c r="B960" s="304">
        <f t="shared" ca="1" si="413"/>
        <v>32.557300000002073</v>
      </c>
      <c r="D960" s="306">
        <f t="shared" ca="1" si="414"/>
        <v>-0.5564959387999977</v>
      </c>
      <c r="E960" s="307">
        <f t="shared" ca="1" si="415"/>
        <v>-0.74101515355911829</v>
      </c>
      <c r="F960" s="304">
        <f t="shared" ca="1" si="416"/>
        <v>0.9267098724547691</v>
      </c>
      <c r="G960" s="306">
        <f t="shared" ca="1" si="417"/>
        <v>5.9340920156627668</v>
      </c>
      <c r="H960" s="307">
        <f t="shared" ca="1" si="418"/>
        <v>-96.706431687525665</v>
      </c>
      <c r="I960" s="304">
        <f t="shared" ca="1" si="419"/>
        <v>96.888324259347257</v>
      </c>
      <c r="J960" s="306">
        <f t="shared" ca="1" si="420"/>
        <v>588.9746359926213</v>
      </c>
      <c r="K960" s="307">
        <f t="shared" ca="1" si="421"/>
        <v>-12.925465286384565</v>
      </c>
      <c r="L960" s="304">
        <f t="shared" ca="1" si="406"/>
        <v>589.11644816242426</v>
      </c>
      <c r="M960" s="306">
        <f t="shared" ca="1" si="422"/>
        <v>-1.5095112514985061</v>
      </c>
      <c r="N960" s="304">
        <f t="shared" ca="1" si="423"/>
        <v>-86.488623838375361</v>
      </c>
      <c r="P960" s="310">
        <f t="shared" ca="1" si="424"/>
        <v>23</v>
      </c>
      <c r="Q960" s="304">
        <f t="shared" ca="1" si="425"/>
        <v>0</v>
      </c>
      <c r="R960" s="306">
        <f t="shared" ca="1" si="426"/>
        <v>0</v>
      </c>
      <c r="S960" s="307">
        <f t="shared" ca="1" si="427"/>
        <v>2.5949999999999998</v>
      </c>
      <c r="T960" s="304">
        <f t="shared" ca="1" si="407"/>
        <v>25.456949999999999</v>
      </c>
      <c r="U960" s="311">
        <f t="shared" ca="1" si="408"/>
        <v>0</v>
      </c>
      <c r="V960" s="306">
        <f t="shared" ca="1" si="409"/>
        <v>1.2265843934487084</v>
      </c>
      <c r="W960" s="304">
        <f t="shared" ca="1" si="410"/>
        <v>23.578338223095319</v>
      </c>
      <c r="Y960" s="314" t="str">
        <f t="shared" ca="1" si="428"/>
        <v/>
      </c>
      <c r="Z960" s="315" t="str">
        <f t="shared" ca="1" si="429"/>
        <v/>
      </c>
      <c r="AA960" s="316" t="str">
        <f t="shared" ca="1" si="430"/>
        <v/>
      </c>
      <c r="AC960" s="310" t="e">
        <f t="shared" ca="1" si="431"/>
        <v>#N/A</v>
      </c>
      <c r="AD960" s="323" t="e">
        <f t="shared" ca="1" si="432"/>
        <v>#N/A</v>
      </c>
      <c r="AE960" s="324" t="e">
        <f t="shared" ca="1" si="411"/>
        <v>#N/A</v>
      </c>
      <c r="AG960" s="306">
        <f t="shared" ca="1" si="433"/>
        <v>0.70554009104854387</v>
      </c>
      <c r="AH960" s="304">
        <f t="shared" ca="1" si="434"/>
        <v>-9.0860428061326708</v>
      </c>
    </row>
    <row r="961" spans="1:34" x14ac:dyDescent="0.2">
      <c r="A961" s="347">
        <f t="shared" ca="1" si="412"/>
        <v>1E-4</v>
      </c>
      <c r="B961" s="304">
        <f t="shared" ca="1" si="413"/>
        <v>32.557400000002076</v>
      </c>
      <c r="D961" s="306">
        <f t="shared" ca="1" si="414"/>
        <v>-0.5564916634596716</v>
      </c>
      <c r="E961" s="307">
        <f t="shared" ca="1" si="415"/>
        <v>-0.74099283007502947</v>
      </c>
      <c r="F961" s="304">
        <f t="shared" ca="1" si="416"/>
        <v>0.9266894548459661</v>
      </c>
      <c r="G961" s="306">
        <f t="shared" ca="1" si="417"/>
        <v>5.9340363664964206</v>
      </c>
      <c r="H961" s="307">
        <f t="shared" ca="1" si="418"/>
        <v>-96.706505786808677</v>
      </c>
      <c r="I961" s="304">
        <f t="shared" ca="1" si="419"/>
        <v>96.88839481121029</v>
      </c>
      <c r="J961" s="306">
        <f t="shared" ca="1" si="420"/>
        <v>588.9746359926213</v>
      </c>
      <c r="K961" s="307">
        <f t="shared" ca="1" si="421"/>
        <v>-12.935135933258282</v>
      </c>
      <c r="L961" s="304">
        <f t="shared" ca="1" si="406"/>
        <v>589.11666041986336</v>
      </c>
      <c r="M961" s="306">
        <f t="shared" ca="1" si="422"/>
        <v>-1.5095118716247031</v>
      </c>
      <c r="N961" s="304">
        <f t="shared" ca="1" si="423"/>
        <v>-86.488659368989218</v>
      </c>
      <c r="P961" s="310">
        <f t="shared" ca="1" si="424"/>
        <v>23</v>
      </c>
      <c r="Q961" s="304">
        <f t="shared" ca="1" si="425"/>
        <v>0</v>
      </c>
      <c r="R961" s="306">
        <f t="shared" ca="1" si="426"/>
        <v>0</v>
      </c>
      <c r="S961" s="307">
        <f t="shared" ca="1" si="427"/>
        <v>2.5949999999999998</v>
      </c>
      <c r="T961" s="304">
        <f t="shared" ca="1" si="407"/>
        <v>25.456949999999999</v>
      </c>
      <c r="U961" s="311">
        <f t="shared" ca="1" si="408"/>
        <v>0</v>
      </c>
      <c r="V961" s="306">
        <f t="shared" ca="1" si="409"/>
        <v>1.2265855796362306</v>
      </c>
      <c r="W961" s="304">
        <f t="shared" ca="1" si="410"/>
        <v>23.578395363353735</v>
      </c>
      <c r="Y961" s="314" t="str">
        <f t="shared" ca="1" si="428"/>
        <v/>
      </c>
      <c r="Z961" s="315" t="str">
        <f t="shared" ca="1" si="429"/>
        <v/>
      </c>
      <c r="AA961" s="316" t="str">
        <f t="shared" ca="1" si="430"/>
        <v/>
      </c>
      <c r="AC961" s="310" t="e">
        <f t="shared" ca="1" si="431"/>
        <v>#N/A</v>
      </c>
      <c r="AD961" s="323" t="e">
        <f t="shared" ca="1" si="432"/>
        <v>#N/A</v>
      </c>
      <c r="AE961" s="324" t="e">
        <f t="shared" ca="1" si="411"/>
        <v>#N/A</v>
      </c>
      <c r="AG961" s="306">
        <f t="shared" ca="1" si="433"/>
        <v>0.70551844392213781</v>
      </c>
      <c r="AH961" s="304">
        <f t="shared" ca="1" si="434"/>
        <v>-9.0860648258556154</v>
      </c>
    </row>
    <row r="962" spans="1:34" x14ac:dyDescent="0.2">
      <c r="A962" s="347">
        <f t="shared" ca="1" si="412"/>
        <v>1E-4</v>
      </c>
      <c r="B962" s="304">
        <f t="shared" ca="1" si="413"/>
        <v>32.557500000002079</v>
      </c>
      <c r="D962" s="306">
        <f t="shared" ca="1" si="414"/>
        <v>-0.55648738813102638</v>
      </c>
      <c r="E962" s="307">
        <f t="shared" ca="1" si="415"/>
        <v>-0.74097050695136879</v>
      </c>
      <c r="F962" s="304">
        <f t="shared" ca="1" si="416"/>
        <v>0.92666903764000885</v>
      </c>
      <c r="G962" s="306">
        <f t="shared" ca="1" si="417"/>
        <v>5.9339807177576072</v>
      </c>
      <c r="H962" s="307">
        <f t="shared" ca="1" si="418"/>
        <v>-96.706579883859376</v>
      </c>
      <c r="I962" s="304">
        <f t="shared" ca="1" si="419"/>
        <v>96.88846536090864</v>
      </c>
      <c r="J962" s="306">
        <f t="shared" ca="1" si="420"/>
        <v>588.9746359926213</v>
      </c>
      <c r="K962" s="307">
        <f t="shared" ca="1" si="421"/>
        <v>-12.944806587541816</v>
      </c>
      <c r="L962" s="304">
        <f t="shared" ca="1" si="406"/>
        <v>589.1168728361373</v>
      </c>
      <c r="M962" s="306">
        <f t="shared" ca="1" si="422"/>
        <v>-1.5095124917441813</v>
      </c>
      <c r="N962" s="304">
        <f t="shared" ca="1" si="423"/>
        <v>-86.488694899218117</v>
      </c>
      <c r="P962" s="310">
        <f t="shared" ca="1" si="424"/>
        <v>23</v>
      </c>
      <c r="Q962" s="304">
        <f t="shared" ca="1" si="425"/>
        <v>0</v>
      </c>
      <c r="R962" s="306">
        <f t="shared" ca="1" si="426"/>
        <v>0</v>
      </c>
      <c r="S962" s="307">
        <f t="shared" ca="1" si="427"/>
        <v>2.5949999999999998</v>
      </c>
      <c r="T962" s="304">
        <f t="shared" ca="1" si="407"/>
        <v>25.456949999999999</v>
      </c>
      <c r="U962" s="311">
        <f t="shared" ca="1" si="408"/>
        <v>0</v>
      </c>
      <c r="V962" s="306">
        <f t="shared" ca="1" si="409"/>
        <v>1.2265867658258096</v>
      </c>
      <c r="W962" s="304">
        <f t="shared" ca="1" si="410"/>
        <v>23.578452502689533</v>
      </c>
      <c r="Y962" s="314" t="str">
        <f t="shared" ca="1" si="428"/>
        <v/>
      </c>
      <c r="Z962" s="315" t="str">
        <f t="shared" ca="1" si="429"/>
        <v/>
      </c>
      <c r="AA962" s="316" t="str">
        <f t="shared" ca="1" si="430"/>
        <v/>
      </c>
      <c r="AC962" s="310" t="e">
        <f t="shared" ca="1" si="431"/>
        <v>#N/A</v>
      </c>
      <c r="AD962" s="323" t="e">
        <f t="shared" ca="1" si="432"/>
        <v>#N/A</v>
      </c>
      <c r="AE962" s="324" t="e">
        <f t="shared" ca="1" si="411"/>
        <v>#N/A</v>
      </c>
      <c r="AG962" s="306">
        <f t="shared" ca="1" si="433"/>
        <v>0.70549679714346958</v>
      </c>
      <c r="AH962" s="304">
        <f t="shared" ca="1" si="434"/>
        <v>-9.0860868452230203</v>
      </c>
    </row>
    <row r="963" spans="1:34" x14ac:dyDescent="0.2">
      <c r="A963" s="347">
        <f t="shared" ca="1" si="412"/>
        <v>1E-4</v>
      </c>
      <c r="B963" s="304">
        <f t="shared" ca="1" si="413"/>
        <v>32.557600000002083</v>
      </c>
      <c r="D963" s="306">
        <f t="shared" ca="1" si="414"/>
        <v>-0.55648311281406726</v>
      </c>
      <c r="E963" s="307">
        <f t="shared" ca="1" si="415"/>
        <v>-0.74094818418813091</v>
      </c>
      <c r="F963" s="304">
        <f t="shared" ca="1" si="416"/>
        <v>0.92664862083689636</v>
      </c>
      <c r="G963" s="306">
        <f t="shared" ca="1" si="417"/>
        <v>5.9339250694463255</v>
      </c>
      <c r="H963" s="307">
        <f t="shared" ca="1" si="418"/>
        <v>-96.706653978677792</v>
      </c>
      <c r="I963" s="304">
        <f t="shared" ca="1" si="419"/>
        <v>96.888535908442336</v>
      </c>
      <c r="J963" s="306">
        <f t="shared" ca="1" si="420"/>
        <v>588.9746359926213</v>
      </c>
      <c r="K963" s="307">
        <f t="shared" ca="1" si="421"/>
        <v>-12.954477249234943</v>
      </c>
      <c r="L963" s="304">
        <f t="shared" ca="1" si="406"/>
        <v>589.11708541124631</v>
      </c>
      <c r="M963" s="306">
        <f t="shared" ca="1" si="422"/>
        <v>-1.5095131118569414</v>
      </c>
      <c r="N963" s="304">
        <f t="shared" ca="1" si="423"/>
        <v>-86.488730429062088</v>
      </c>
      <c r="P963" s="310">
        <f t="shared" ca="1" si="424"/>
        <v>23</v>
      </c>
      <c r="Q963" s="304">
        <f t="shared" ca="1" si="425"/>
        <v>0</v>
      </c>
      <c r="R963" s="306">
        <f t="shared" ca="1" si="426"/>
        <v>0</v>
      </c>
      <c r="S963" s="307">
        <f t="shared" ca="1" si="427"/>
        <v>2.5949999999999998</v>
      </c>
      <c r="T963" s="304">
        <f t="shared" ca="1" si="407"/>
        <v>25.456949999999999</v>
      </c>
      <c r="U963" s="311">
        <f t="shared" ca="1" si="408"/>
        <v>0</v>
      </c>
      <c r="V963" s="306">
        <f t="shared" ca="1" si="409"/>
        <v>1.2265879520174454</v>
      </c>
      <c r="W963" s="304">
        <f t="shared" ca="1" si="410"/>
        <v>23.578509641102713</v>
      </c>
      <c r="Y963" s="314" t="str">
        <f t="shared" ca="1" si="428"/>
        <v/>
      </c>
      <c r="Z963" s="315" t="str">
        <f t="shared" ca="1" si="429"/>
        <v/>
      </c>
      <c r="AA963" s="316" t="str">
        <f t="shared" ca="1" si="430"/>
        <v/>
      </c>
      <c r="AC963" s="310" t="e">
        <f t="shared" ca="1" si="431"/>
        <v>#N/A</v>
      </c>
      <c r="AD963" s="323" t="e">
        <f t="shared" ca="1" si="432"/>
        <v>#N/A</v>
      </c>
      <c r="AE963" s="324" t="e">
        <f t="shared" ca="1" si="411"/>
        <v>#N/A</v>
      </c>
      <c r="AG963" s="306">
        <f t="shared" ca="1" si="433"/>
        <v>0.70547515071253919</v>
      </c>
      <c r="AH963" s="304">
        <f t="shared" ca="1" si="434"/>
        <v>-9.0861088642348875</v>
      </c>
    </row>
    <row r="964" spans="1:34" x14ac:dyDescent="0.2">
      <c r="A964" s="347">
        <f t="shared" ca="1" si="412"/>
        <v>1E-4</v>
      </c>
      <c r="B964" s="304">
        <f t="shared" ca="1" si="413"/>
        <v>32.557700000002086</v>
      </c>
      <c r="D964" s="306">
        <f t="shared" ca="1" si="414"/>
        <v>-0.55647883750878979</v>
      </c>
      <c r="E964" s="307">
        <f t="shared" ca="1" si="415"/>
        <v>-0.74092586178531405</v>
      </c>
      <c r="F964" s="304">
        <f t="shared" ca="1" si="416"/>
        <v>0.92662820443662541</v>
      </c>
      <c r="G964" s="306">
        <f t="shared" ca="1" si="417"/>
        <v>5.9338694215625747</v>
      </c>
      <c r="H964" s="307">
        <f t="shared" ca="1" si="418"/>
        <v>-96.706728071263967</v>
      </c>
      <c r="I964" s="304">
        <f t="shared" ca="1" si="419"/>
        <v>96.888606453811434</v>
      </c>
      <c r="J964" s="306">
        <f t="shared" ca="1" si="420"/>
        <v>588.9746359926213</v>
      </c>
      <c r="K964" s="307">
        <f t="shared" ca="1" si="421"/>
        <v>-12.96414791833744</v>
      </c>
      <c r="L964" s="304">
        <f t="shared" ref="L964:L1004" ca="1" si="435">SQRT(pos_x^2+pos_z^2)</f>
        <v>589.11729814519049</v>
      </c>
      <c r="M964" s="306">
        <f t="shared" ca="1" si="422"/>
        <v>-1.5095137319629828</v>
      </c>
      <c r="N964" s="304">
        <f t="shared" ca="1" si="423"/>
        <v>-86.488765958521114</v>
      </c>
      <c r="P964" s="310">
        <f t="shared" ca="1" si="424"/>
        <v>23</v>
      </c>
      <c r="Q964" s="304">
        <f t="shared" ca="1" si="425"/>
        <v>0</v>
      </c>
      <c r="R964" s="306">
        <f t="shared" ca="1" si="426"/>
        <v>0</v>
      </c>
      <c r="S964" s="307">
        <f t="shared" ca="1" si="427"/>
        <v>2.5949999999999998</v>
      </c>
      <c r="T964" s="304">
        <f t="shared" ref="T964:T1004" ca="1" si="436">m*g</f>
        <v>25.456949999999999</v>
      </c>
      <c r="U964" s="311">
        <f t="shared" ref="U964:U1004" ca="1" si="437">IF(pos_xz&lt;L_rampe,Poids*COS(Beta),0)</f>
        <v>0</v>
      </c>
      <c r="V964" s="306">
        <f t="shared" ref="V964:V1004" ca="1" si="438">Rho_moyen*(20000-Alt_rampe-pos_z)/(20000+Alt_rampe+pos_z)</f>
        <v>1.226589138211138</v>
      </c>
      <c r="W964" s="304">
        <f t="shared" ref="W964:W1003" ca="1" si="439">1/2*Rho*Sref*Cx*vit_xz^2</f>
        <v>23.578566778593302</v>
      </c>
      <c r="Y964" s="314" t="str">
        <f t="shared" ca="1" si="428"/>
        <v/>
      </c>
      <c r="Z964" s="315" t="str">
        <f t="shared" ca="1" si="429"/>
        <v/>
      </c>
      <c r="AA964" s="316" t="str">
        <f t="shared" ca="1" si="430"/>
        <v/>
      </c>
      <c r="AC964" s="310" t="e">
        <f t="shared" ca="1" si="431"/>
        <v>#N/A</v>
      </c>
      <c r="AD964" s="323" t="e">
        <f t="shared" ca="1" si="432"/>
        <v>#N/A</v>
      </c>
      <c r="AE964" s="324" t="e">
        <f t="shared" ref="AE964:AE1004" ca="1" si="440">IF(t&lt;T_para, pos_z, NA())</f>
        <v>#N/A</v>
      </c>
      <c r="AG964" s="306">
        <f t="shared" ca="1" si="433"/>
        <v>0.70545350462934131</v>
      </c>
      <c r="AH964" s="304">
        <f t="shared" ca="1" si="434"/>
        <v>-9.0861308828912204</v>
      </c>
    </row>
    <row r="965" spans="1:34" x14ac:dyDescent="0.2">
      <c r="A965" s="347">
        <f t="shared" ref="A965:A1004" ca="1" si="441">IF(B964+0.01&lt;=T_ini+ROUNDUP(Temps_fin_propu,0), 0.01, IF(K964&gt;0, 0.1, 0.0001))</f>
        <v>1E-4</v>
      </c>
      <c r="B965" s="304">
        <f t="shared" ref="B965:B1004" ca="1" si="442">B964+pas</f>
        <v>32.557800000002089</v>
      </c>
      <c r="D965" s="306">
        <f t="shared" ref="D965:D1004" ca="1" si="443">IF(AND(L964&lt;L_rampe,Poussee&lt;Poids*SIN(M964)),0,(-W964+Poussee)/m*COS(M964)-U964/m*SIN(M964))</f>
        <v>-0.55647456221519909</v>
      </c>
      <c r="E965" s="307">
        <f t="shared" ref="E965:E1004" ca="1" si="444">IF(AND(L964&lt;L_rampe,Poussee&lt;Poids*SIN(M964)),0,(-W964+Poussee)/m*SIN(M964)+U964/m*COS(M964)-Poids/m)</f>
        <v>-0.7409035397429129</v>
      </c>
      <c r="F965" s="304">
        <f t="shared" ref="F965:F1004" ca="1" si="445">SQRT(acc_x^2+acc_z^2)</f>
        <v>0.92660778843919478</v>
      </c>
      <c r="G965" s="306">
        <f t="shared" ref="G965:G1004" ca="1" si="446">G964+acc_x*pas</f>
        <v>5.933813774106353</v>
      </c>
      <c r="H965" s="307">
        <f t="shared" ref="H965:H1004" ca="1" si="447">H964+acc_z*pas</f>
        <v>-96.706802161617944</v>
      </c>
      <c r="I965" s="304">
        <f t="shared" ref="I965:I1004" ca="1" si="448">SQRT(vit_x^2+vit_z^2)</f>
        <v>96.888676997015949</v>
      </c>
      <c r="J965" s="306">
        <f t="shared" ref="J965:J1004" ca="1" si="449">J964+0.5*(vit_x+G964)*pas*(K964&gt;=0)</f>
        <v>588.9746359926213</v>
      </c>
      <c r="K965" s="307">
        <f t="shared" ref="K965:K1004" ca="1" si="450">K964+0.5*(vit_z+H964)*pas</f>
        <v>-12.973818594849085</v>
      </c>
      <c r="L965" s="304">
        <f t="shared" ca="1" si="435"/>
        <v>589.11751103797008</v>
      </c>
      <c r="M965" s="306">
        <f t="shared" ref="M965:M1004" ca="1" si="451">IF(AND(L964&gt;L_rampe,G965&gt;0),ATAN2(G965,H965),$M$4)</f>
        <v>-1.509514352062306</v>
      </c>
      <c r="N965" s="304">
        <f t="shared" ref="N965:N1004" ca="1" si="452">DEGREES(Beta)</f>
        <v>-86.488801487595211</v>
      </c>
      <c r="P965" s="310">
        <f t="shared" ref="P965:P1004" ca="1" si="453">MATCH(t-pas/2-T_ini,CdP_t)</f>
        <v>23</v>
      </c>
      <c r="Q965" s="304">
        <f t="shared" ref="Q965:Q1004" ca="1" si="454">(INDEX(CdP,2,i_P+1)-INDEX(CdP,2,i_P+0))/(INDEX(CdP,1,i_P+1)-INDEX(CdP,1,i_P+0))*(t-pas/2-T_ini-INDEX(CdP,1,i_P+0))+INDEX(CdP,2,i_P+0)</f>
        <v>0</v>
      </c>
      <c r="R965" s="306">
        <f t="shared" ref="R965:R1004" ca="1" si="455">Poussee/(g*ISP)</f>
        <v>0</v>
      </c>
      <c r="S965" s="307">
        <f t="shared" ref="S965:S1004" ca="1" si="456">S964-Débit*pas</f>
        <v>2.5949999999999998</v>
      </c>
      <c r="T965" s="304">
        <f t="shared" ca="1" si="436"/>
        <v>25.456949999999999</v>
      </c>
      <c r="U965" s="311">
        <f t="shared" ca="1" si="437"/>
        <v>0</v>
      </c>
      <c r="V965" s="306">
        <f t="shared" ca="1" si="438"/>
        <v>1.2265903244068872</v>
      </c>
      <c r="W965" s="304">
        <f t="shared" ca="1" si="439"/>
        <v>23.578623915161291</v>
      </c>
      <c r="Y965" s="314" t="str">
        <f t="shared" ref="Y965:Y1003" ca="1" si="457">IF(AND(pos_z&lt;=0,K964&gt;0),"Impact balistique","") &amp; IF(AND(H966&lt;0,vit_z&gt;=0),"Apogée","") &amp; IF(AND(Poussee=0,Q964&gt;0),"Fin de propulsion","") &amp; IF(AND(L966&gt;L_rampe,pos_xz&lt;=L_rampe),"Sortie de rampe","")</f>
        <v/>
      </c>
      <c r="Z965" s="315" t="str">
        <f t="shared" ref="Z965:Z1004" ca="1" si="458">IF(ABS(t-T_para)&lt;pas/2,"Para","")</f>
        <v/>
      </c>
      <c r="AA965" s="316" t="str">
        <f t="shared" ref="AA965:AA1004" ca="1" si="459">IF(ABS(t-T_satellite)&lt;pas/2,"Satellite","")</f>
        <v/>
      </c>
      <c r="AC965" s="310" t="e">
        <f t="shared" ref="AC965:AC1004" ca="1" si="460">IF(ABS(t-ROUND(t,0))&lt;0.001,t,NA())</f>
        <v>#N/A</v>
      </c>
      <c r="AD965" s="323" t="e">
        <f t="shared" ref="AD965:AD1004" ca="1" si="461">IF(ABS(t-ROUND(t,0))&lt;0.001,pos_x,NA())</f>
        <v>#N/A</v>
      </c>
      <c r="AE965" s="324" t="e">
        <f t="shared" ca="1" si="440"/>
        <v>#N/A</v>
      </c>
      <c r="AG965" s="306">
        <f t="shared" ref="AG965:AG1004" ca="1" si="462">IF(AND(L964&lt;L_rampe,Poussee&lt;Poids*SIN(M964)),0,(-W964+Poussee)/m-Poids*SIN(M964)/m)</f>
        <v>0.70543185889386706</v>
      </c>
      <c r="AH965" s="304">
        <f t="shared" ref="AH965:AH1004" ca="1" si="463">IF(AND(L964&lt;L_rampe,Poussee&lt;Poids*SIN(M964)), g*SIN(M964), (-W964+Poussee)/m)</f>
        <v>-9.0861529011920243</v>
      </c>
    </row>
    <row r="966" spans="1:34" x14ac:dyDescent="0.2">
      <c r="A966" s="347">
        <f t="shared" ca="1" si="441"/>
        <v>1E-4</v>
      </c>
      <c r="B966" s="304">
        <f t="shared" ca="1" si="442"/>
        <v>32.557900000002093</v>
      </c>
      <c r="D966" s="306">
        <f t="shared" ca="1" si="443"/>
        <v>-0.55647028693329259</v>
      </c>
      <c r="E966" s="307">
        <f t="shared" ca="1" si="444"/>
        <v>-0.74088121806092566</v>
      </c>
      <c r="F966" s="304">
        <f t="shared" ca="1" si="445"/>
        <v>0.92658737284460224</v>
      </c>
      <c r="G966" s="306">
        <f t="shared" ca="1" si="446"/>
        <v>5.9337581270776596</v>
      </c>
      <c r="H966" s="307">
        <f t="shared" ca="1" si="447"/>
        <v>-96.70687624973975</v>
      </c>
      <c r="I966" s="304">
        <f t="shared" ca="1" si="448"/>
        <v>96.888747538055938</v>
      </c>
      <c r="J966" s="306">
        <f t="shared" ca="1" si="449"/>
        <v>588.9746359926213</v>
      </c>
      <c r="K966" s="307">
        <f t="shared" ca="1" si="450"/>
        <v>-12.983489278769653</v>
      </c>
      <c r="L966" s="304">
        <f t="shared" ca="1" si="435"/>
        <v>589.11772408958518</v>
      </c>
      <c r="M966" s="306">
        <f t="shared" ca="1" si="451"/>
        <v>-1.509514972154911</v>
      </c>
      <c r="N966" s="304">
        <f t="shared" ca="1" si="452"/>
        <v>-86.488837016284378</v>
      </c>
      <c r="P966" s="310">
        <f t="shared" ca="1" si="453"/>
        <v>23</v>
      </c>
      <c r="Q966" s="304">
        <f t="shared" ca="1" si="454"/>
        <v>0</v>
      </c>
      <c r="R966" s="306">
        <f t="shared" ca="1" si="455"/>
        <v>0</v>
      </c>
      <c r="S966" s="307">
        <f t="shared" ca="1" si="456"/>
        <v>2.5949999999999998</v>
      </c>
      <c r="T966" s="304">
        <f t="shared" ca="1" si="436"/>
        <v>25.456949999999999</v>
      </c>
      <c r="U966" s="311">
        <f t="shared" ca="1" si="437"/>
        <v>0</v>
      </c>
      <c r="V966" s="306">
        <f t="shared" ca="1" si="438"/>
        <v>1.2265915106046932</v>
      </c>
      <c r="W966" s="304">
        <f t="shared" ca="1" si="439"/>
        <v>23.578681050806725</v>
      </c>
      <c r="Y966" s="314" t="str">
        <f t="shared" ca="1" si="457"/>
        <v/>
      </c>
      <c r="Z966" s="315" t="str">
        <f t="shared" ca="1" si="458"/>
        <v/>
      </c>
      <c r="AA966" s="316" t="str">
        <f t="shared" ca="1" si="459"/>
        <v/>
      </c>
      <c r="AC966" s="310" t="e">
        <f t="shared" ca="1" si="460"/>
        <v>#N/A</v>
      </c>
      <c r="AD966" s="323" t="e">
        <f t="shared" ca="1" si="461"/>
        <v>#N/A</v>
      </c>
      <c r="AE966" s="324" t="e">
        <f t="shared" ca="1" si="440"/>
        <v>#N/A</v>
      </c>
      <c r="AG966" s="306">
        <f t="shared" ca="1" si="462"/>
        <v>0.70541021350612176</v>
      </c>
      <c r="AH966" s="304">
        <f t="shared" ca="1" si="463"/>
        <v>-9.0861749191372994</v>
      </c>
    </row>
    <row r="967" spans="1:34" x14ac:dyDescent="0.2">
      <c r="A967" s="347">
        <f t="shared" ca="1" si="441"/>
        <v>1E-4</v>
      </c>
      <c r="B967" s="304">
        <f t="shared" ca="1" si="442"/>
        <v>32.558000000002096</v>
      </c>
      <c r="D967" s="306">
        <f t="shared" ca="1" si="443"/>
        <v>-0.55646601166307208</v>
      </c>
      <c r="E967" s="307">
        <f t="shared" ca="1" si="444"/>
        <v>-0.74085889673933636</v>
      </c>
      <c r="F967" s="304">
        <f t="shared" ca="1" si="445"/>
        <v>0.92656695765283625</v>
      </c>
      <c r="G967" s="306">
        <f t="shared" ca="1" si="446"/>
        <v>5.9337024804764935</v>
      </c>
      <c r="H967" s="307">
        <f t="shared" ca="1" si="447"/>
        <v>-96.706950335629429</v>
      </c>
      <c r="I967" s="304">
        <f t="shared" ca="1" si="448"/>
        <v>96.8888180769314</v>
      </c>
      <c r="J967" s="306">
        <f t="shared" ca="1" si="449"/>
        <v>588.9746359926213</v>
      </c>
      <c r="K967" s="307">
        <f t="shared" ca="1" si="450"/>
        <v>-12.993159970098922</v>
      </c>
      <c r="L967" s="304">
        <f t="shared" ca="1" si="435"/>
        <v>589.11793730003615</v>
      </c>
      <c r="M967" s="306">
        <f t="shared" ca="1" si="451"/>
        <v>-1.5095155922407979</v>
      </c>
      <c r="N967" s="304">
        <f t="shared" ca="1" si="452"/>
        <v>-86.488872544588631</v>
      </c>
      <c r="P967" s="310">
        <f t="shared" ca="1" si="453"/>
        <v>23</v>
      </c>
      <c r="Q967" s="304">
        <f t="shared" ca="1" si="454"/>
        <v>0</v>
      </c>
      <c r="R967" s="306">
        <f t="shared" ca="1" si="455"/>
        <v>0</v>
      </c>
      <c r="S967" s="307">
        <f t="shared" ca="1" si="456"/>
        <v>2.5949999999999998</v>
      </c>
      <c r="T967" s="304">
        <f t="shared" ca="1" si="436"/>
        <v>25.456949999999999</v>
      </c>
      <c r="U967" s="311">
        <f t="shared" ca="1" si="437"/>
        <v>0</v>
      </c>
      <c r="V967" s="306">
        <f t="shared" ca="1" si="438"/>
        <v>1.2265926968045555</v>
      </c>
      <c r="W967" s="304">
        <f t="shared" ca="1" si="439"/>
        <v>23.578738185529563</v>
      </c>
      <c r="Y967" s="314" t="str">
        <f t="shared" ca="1" si="457"/>
        <v/>
      </c>
      <c r="Z967" s="315" t="str">
        <f t="shared" ca="1" si="458"/>
        <v/>
      </c>
      <c r="AA967" s="316" t="str">
        <f t="shared" ca="1" si="459"/>
        <v/>
      </c>
      <c r="AC967" s="310" t="e">
        <f t="shared" ca="1" si="460"/>
        <v>#N/A</v>
      </c>
      <c r="AD967" s="323" t="e">
        <f t="shared" ca="1" si="461"/>
        <v>#N/A</v>
      </c>
      <c r="AE967" s="324" t="e">
        <f t="shared" ca="1" si="440"/>
        <v>#N/A</v>
      </c>
      <c r="AG967" s="306">
        <f t="shared" ca="1" si="462"/>
        <v>0.70538856846608766</v>
      </c>
      <c r="AH967" s="304">
        <f t="shared" ca="1" si="463"/>
        <v>-9.0861969367270632</v>
      </c>
    </row>
    <row r="968" spans="1:34" x14ac:dyDescent="0.2">
      <c r="A968" s="347">
        <f t="shared" ca="1" si="441"/>
        <v>1E-4</v>
      </c>
      <c r="B968" s="304">
        <f t="shared" ca="1" si="442"/>
        <v>32.558100000002099</v>
      </c>
      <c r="D968" s="306">
        <f t="shared" ca="1" si="443"/>
        <v>-0.55646173640453789</v>
      </c>
      <c r="E968" s="307">
        <f t="shared" ca="1" si="444"/>
        <v>-0.74083657577816275</v>
      </c>
      <c r="F968" s="304">
        <f t="shared" ca="1" si="445"/>
        <v>0.92654654286391191</v>
      </c>
      <c r="G968" s="306">
        <f t="shared" ca="1" si="446"/>
        <v>5.933646834302853</v>
      </c>
      <c r="H968" s="307">
        <f t="shared" ca="1" si="447"/>
        <v>-96.707024419287009</v>
      </c>
      <c r="I968" s="304">
        <f t="shared" ca="1" si="448"/>
        <v>96.888888613642408</v>
      </c>
      <c r="J968" s="306">
        <f t="shared" ca="1" si="449"/>
        <v>588.9746359926213</v>
      </c>
      <c r="K968" s="307">
        <f t="shared" ca="1" si="450"/>
        <v>-13.002830668836669</v>
      </c>
      <c r="L968" s="304">
        <f t="shared" ca="1" si="435"/>
        <v>589.11815066932297</v>
      </c>
      <c r="M968" s="306">
        <f t="shared" ca="1" si="451"/>
        <v>-1.5095162123199668</v>
      </c>
      <c r="N968" s="304">
        <f t="shared" ca="1" si="452"/>
        <v>-86.488908072507982</v>
      </c>
      <c r="P968" s="310">
        <f t="shared" ca="1" si="453"/>
        <v>23</v>
      </c>
      <c r="Q968" s="304">
        <f t="shared" ca="1" si="454"/>
        <v>0</v>
      </c>
      <c r="R968" s="306">
        <f t="shared" ca="1" si="455"/>
        <v>0</v>
      </c>
      <c r="S968" s="307">
        <f t="shared" ca="1" si="456"/>
        <v>2.5949999999999998</v>
      </c>
      <c r="T968" s="304">
        <f t="shared" ca="1" si="436"/>
        <v>25.456949999999999</v>
      </c>
      <c r="U968" s="311">
        <f t="shared" ca="1" si="437"/>
        <v>0</v>
      </c>
      <c r="V968" s="306">
        <f t="shared" ca="1" si="438"/>
        <v>1.2265938830064744</v>
      </c>
      <c r="W968" s="304">
        <f t="shared" ca="1" si="439"/>
        <v>23.578795319329867</v>
      </c>
      <c r="Y968" s="314" t="str">
        <f t="shared" ca="1" si="457"/>
        <v/>
      </c>
      <c r="Z968" s="315" t="str">
        <f t="shared" ca="1" si="458"/>
        <v/>
      </c>
      <c r="AA968" s="316" t="str">
        <f t="shared" ca="1" si="459"/>
        <v/>
      </c>
      <c r="AC968" s="310" t="e">
        <f t="shared" ca="1" si="460"/>
        <v>#N/A</v>
      </c>
      <c r="AD968" s="323" t="e">
        <f t="shared" ca="1" si="461"/>
        <v>#N/A</v>
      </c>
      <c r="AE968" s="324" t="e">
        <f t="shared" ca="1" si="440"/>
        <v>#N/A</v>
      </c>
      <c r="AG968" s="306">
        <f t="shared" ca="1" si="462"/>
        <v>0.70536692377378252</v>
      </c>
      <c r="AH968" s="304">
        <f t="shared" ca="1" si="463"/>
        <v>-9.0862189539612963</v>
      </c>
    </row>
    <row r="969" spans="1:34" x14ac:dyDescent="0.2">
      <c r="A969" s="347">
        <f t="shared" ca="1" si="441"/>
        <v>1E-4</v>
      </c>
      <c r="B969" s="304">
        <f t="shared" ca="1" si="442"/>
        <v>32.558200000002103</v>
      </c>
      <c r="D969" s="306">
        <f t="shared" ca="1" si="443"/>
        <v>-0.55645746115769068</v>
      </c>
      <c r="E969" s="307">
        <f t="shared" ca="1" si="444"/>
        <v>-0.7408142551773782</v>
      </c>
      <c r="F969" s="304">
        <f t="shared" ca="1" si="445"/>
        <v>0.92652612847780846</v>
      </c>
      <c r="G969" s="306">
        <f t="shared" ca="1" si="446"/>
        <v>5.9335911885567372</v>
      </c>
      <c r="H969" s="307">
        <f t="shared" ca="1" si="447"/>
        <v>-96.707098500712533</v>
      </c>
      <c r="I969" s="304">
        <f t="shared" ca="1" si="448"/>
        <v>96.888959148188988</v>
      </c>
      <c r="J969" s="306">
        <f t="shared" ca="1" si="449"/>
        <v>588.9746359926213</v>
      </c>
      <c r="K969" s="307">
        <f t="shared" ca="1" si="450"/>
        <v>-13.012501374982669</v>
      </c>
      <c r="L969" s="304">
        <f t="shared" ca="1" si="435"/>
        <v>589.11836419744611</v>
      </c>
      <c r="M969" s="306">
        <f t="shared" ca="1" si="451"/>
        <v>-1.5095168323924177</v>
      </c>
      <c r="N969" s="304">
        <f t="shared" ca="1" si="452"/>
        <v>-86.488943600042404</v>
      </c>
      <c r="P969" s="310">
        <f t="shared" ca="1" si="453"/>
        <v>23</v>
      </c>
      <c r="Q969" s="304">
        <f t="shared" ca="1" si="454"/>
        <v>0</v>
      </c>
      <c r="R969" s="306">
        <f t="shared" ca="1" si="455"/>
        <v>0</v>
      </c>
      <c r="S969" s="307">
        <f t="shared" ca="1" si="456"/>
        <v>2.5949999999999998</v>
      </c>
      <c r="T969" s="304">
        <f t="shared" ca="1" si="436"/>
        <v>25.456949999999999</v>
      </c>
      <c r="U969" s="311">
        <f t="shared" ca="1" si="437"/>
        <v>0</v>
      </c>
      <c r="V969" s="306">
        <f t="shared" ca="1" si="438"/>
        <v>1.2265950692104501</v>
      </c>
      <c r="W969" s="304">
        <f t="shared" ca="1" si="439"/>
        <v>23.578852452207631</v>
      </c>
      <c r="Y969" s="314" t="str">
        <f t="shared" ca="1" si="457"/>
        <v/>
      </c>
      <c r="Z969" s="315" t="str">
        <f t="shared" ca="1" si="458"/>
        <v/>
      </c>
      <c r="AA969" s="316" t="str">
        <f t="shared" ca="1" si="459"/>
        <v/>
      </c>
      <c r="AC969" s="310" t="e">
        <f t="shared" ca="1" si="460"/>
        <v>#N/A</v>
      </c>
      <c r="AD969" s="323" t="e">
        <f t="shared" ca="1" si="461"/>
        <v>#N/A</v>
      </c>
      <c r="AE969" s="324" t="e">
        <f t="shared" ca="1" si="440"/>
        <v>#N/A</v>
      </c>
      <c r="AG969" s="306">
        <f t="shared" ca="1" si="462"/>
        <v>0.70534527942917791</v>
      </c>
      <c r="AH969" s="304">
        <f t="shared" ca="1" si="463"/>
        <v>-9.0862409708400271</v>
      </c>
    </row>
    <row r="970" spans="1:34" x14ac:dyDescent="0.2">
      <c r="A970" s="347">
        <f t="shared" ca="1" si="441"/>
        <v>1E-4</v>
      </c>
      <c r="B970" s="304">
        <f t="shared" ca="1" si="442"/>
        <v>32.558300000002106</v>
      </c>
      <c r="D970" s="306">
        <f t="shared" ca="1" si="443"/>
        <v>-0.55645318592253112</v>
      </c>
      <c r="E970" s="307">
        <f t="shared" ca="1" si="444"/>
        <v>-0.74079193493698803</v>
      </c>
      <c r="F970" s="304">
        <f t="shared" ca="1" si="445"/>
        <v>0.92650571449453123</v>
      </c>
      <c r="G970" s="306">
        <f t="shared" ca="1" si="446"/>
        <v>5.9335355432381451</v>
      </c>
      <c r="H970" s="307">
        <f t="shared" ca="1" si="447"/>
        <v>-96.707172579906029</v>
      </c>
      <c r="I970" s="304">
        <f t="shared" ca="1" si="448"/>
        <v>96.889029680571156</v>
      </c>
      <c r="J970" s="306">
        <f t="shared" ca="1" si="449"/>
        <v>588.9746359926213</v>
      </c>
      <c r="K970" s="307">
        <f t="shared" ca="1" si="450"/>
        <v>-13.022172088536701</v>
      </c>
      <c r="L970" s="304">
        <f t="shared" ca="1" si="435"/>
        <v>589.11857788440534</v>
      </c>
      <c r="M970" s="306">
        <f t="shared" ca="1" si="451"/>
        <v>-1.5095174524581507</v>
      </c>
      <c r="N970" s="304">
        <f t="shared" ca="1" si="452"/>
        <v>-86.488979127191925</v>
      </c>
      <c r="P970" s="310">
        <f t="shared" ca="1" si="453"/>
        <v>23</v>
      </c>
      <c r="Q970" s="304">
        <f t="shared" ca="1" si="454"/>
        <v>0</v>
      </c>
      <c r="R970" s="306">
        <f t="shared" ca="1" si="455"/>
        <v>0</v>
      </c>
      <c r="S970" s="307">
        <f t="shared" ca="1" si="456"/>
        <v>2.5949999999999998</v>
      </c>
      <c r="T970" s="304">
        <f t="shared" ca="1" si="436"/>
        <v>25.456949999999999</v>
      </c>
      <c r="U970" s="311">
        <f t="shared" ca="1" si="437"/>
        <v>0</v>
      </c>
      <c r="V970" s="306">
        <f t="shared" ca="1" si="438"/>
        <v>1.2265962554164827</v>
      </c>
      <c r="W970" s="304">
        <f t="shared" ca="1" si="439"/>
        <v>23.578909584162862</v>
      </c>
      <c r="Y970" s="314" t="str">
        <f t="shared" ca="1" si="457"/>
        <v/>
      </c>
      <c r="Z970" s="315" t="str">
        <f t="shared" ca="1" si="458"/>
        <v/>
      </c>
      <c r="AA970" s="316" t="str">
        <f t="shared" ca="1" si="459"/>
        <v/>
      </c>
      <c r="AC970" s="310" t="e">
        <f t="shared" ca="1" si="460"/>
        <v>#N/A</v>
      </c>
      <c r="AD970" s="323" t="e">
        <f t="shared" ca="1" si="461"/>
        <v>#N/A</v>
      </c>
      <c r="AE970" s="324" t="e">
        <f t="shared" ca="1" si="440"/>
        <v>#N/A</v>
      </c>
      <c r="AG970" s="306">
        <f t="shared" ca="1" si="462"/>
        <v>0.70532363543228094</v>
      </c>
      <c r="AH970" s="304">
        <f t="shared" ca="1" si="463"/>
        <v>-9.0862629873632503</v>
      </c>
    </row>
    <row r="971" spans="1:34" x14ac:dyDescent="0.2">
      <c r="A971" s="347">
        <f t="shared" ca="1" si="441"/>
        <v>1E-4</v>
      </c>
      <c r="B971" s="304">
        <f t="shared" ca="1" si="442"/>
        <v>32.558400000002109</v>
      </c>
      <c r="D971" s="306">
        <f t="shared" ca="1" si="443"/>
        <v>-0.55644891069906066</v>
      </c>
      <c r="E971" s="307">
        <f t="shared" ca="1" si="444"/>
        <v>-0.74076961505698513</v>
      </c>
      <c r="F971" s="304">
        <f t="shared" ca="1" si="445"/>
        <v>0.92648530091407555</v>
      </c>
      <c r="G971" s="306">
        <f t="shared" ca="1" si="446"/>
        <v>5.9334798983470751</v>
      </c>
      <c r="H971" s="307">
        <f t="shared" ca="1" si="447"/>
        <v>-96.70724665686754</v>
      </c>
      <c r="I971" s="304">
        <f t="shared" ca="1" si="448"/>
        <v>96.889100210788968</v>
      </c>
      <c r="J971" s="306">
        <f t="shared" ca="1" si="449"/>
        <v>588.9746359926213</v>
      </c>
      <c r="K971" s="307">
        <f t="shared" ca="1" si="450"/>
        <v>-13.03184280949854</v>
      </c>
      <c r="L971" s="304">
        <f t="shared" ca="1" si="435"/>
        <v>589.11879173020122</v>
      </c>
      <c r="M971" s="306">
        <f t="shared" ca="1" si="451"/>
        <v>-1.5095180725171662</v>
      </c>
      <c r="N971" s="304">
        <f t="shared" ca="1" si="452"/>
        <v>-86.489014653956573</v>
      </c>
      <c r="P971" s="310">
        <f t="shared" ca="1" si="453"/>
        <v>23</v>
      </c>
      <c r="Q971" s="304">
        <f t="shared" ca="1" si="454"/>
        <v>0</v>
      </c>
      <c r="R971" s="306">
        <f t="shared" ca="1" si="455"/>
        <v>0</v>
      </c>
      <c r="S971" s="307">
        <f t="shared" ca="1" si="456"/>
        <v>2.5949999999999998</v>
      </c>
      <c r="T971" s="304">
        <f t="shared" ca="1" si="436"/>
        <v>25.456949999999999</v>
      </c>
      <c r="U971" s="311">
        <f t="shared" ca="1" si="437"/>
        <v>0</v>
      </c>
      <c r="V971" s="306">
        <f t="shared" ca="1" si="438"/>
        <v>1.2265974416245711</v>
      </c>
      <c r="W971" s="304">
        <f t="shared" ca="1" si="439"/>
        <v>23.57896671519557</v>
      </c>
      <c r="Y971" s="314" t="str">
        <f t="shared" ca="1" si="457"/>
        <v/>
      </c>
      <c r="Z971" s="315" t="str">
        <f t="shared" ca="1" si="458"/>
        <v/>
      </c>
      <c r="AA971" s="316" t="str">
        <f t="shared" ca="1" si="459"/>
        <v/>
      </c>
      <c r="AC971" s="310" t="e">
        <f t="shared" ca="1" si="460"/>
        <v>#N/A</v>
      </c>
      <c r="AD971" s="323" t="e">
        <f t="shared" ca="1" si="461"/>
        <v>#N/A</v>
      </c>
      <c r="AE971" s="324" t="e">
        <f t="shared" ca="1" si="440"/>
        <v>#N/A</v>
      </c>
      <c r="AG971" s="306">
        <f t="shared" ca="1" si="462"/>
        <v>0.70530199178308806</v>
      </c>
      <c r="AH971" s="304">
        <f t="shared" ca="1" si="463"/>
        <v>-9.0862850035309695</v>
      </c>
    </row>
    <row r="972" spans="1:34" x14ac:dyDescent="0.2">
      <c r="A972" s="347">
        <f t="shared" ca="1" si="441"/>
        <v>1E-4</v>
      </c>
      <c r="B972" s="304">
        <f t="shared" ca="1" si="442"/>
        <v>32.558500000002113</v>
      </c>
      <c r="D972" s="306">
        <f t="shared" ca="1" si="443"/>
        <v>-0.55644463548727663</v>
      </c>
      <c r="E972" s="307">
        <f t="shared" ca="1" si="444"/>
        <v>-0.74074729553736951</v>
      </c>
      <c r="F972" s="304">
        <f t="shared" ca="1" si="445"/>
        <v>0.92646488773644042</v>
      </c>
      <c r="G972" s="306">
        <f t="shared" ca="1" si="446"/>
        <v>5.9334242538835262</v>
      </c>
      <c r="H972" s="307">
        <f t="shared" ca="1" si="447"/>
        <v>-96.707320731597093</v>
      </c>
      <c r="I972" s="304">
        <f t="shared" ca="1" si="448"/>
        <v>96.889170738842438</v>
      </c>
      <c r="J972" s="306">
        <f t="shared" ca="1" si="449"/>
        <v>588.9746359926213</v>
      </c>
      <c r="K972" s="307">
        <f t="shared" ca="1" si="450"/>
        <v>-13.041513537867964</v>
      </c>
      <c r="L972" s="304">
        <f t="shared" ca="1" si="435"/>
        <v>589.11900573483376</v>
      </c>
      <c r="M972" s="306">
        <f t="shared" ca="1" si="451"/>
        <v>-1.5095186925694639</v>
      </c>
      <c r="N972" s="304">
        <f t="shared" ca="1" si="452"/>
        <v>-86.489050180336307</v>
      </c>
      <c r="P972" s="310">
        <f t="shared" ca="1" si="453"/>
        <v>23</v>
      </c>
      <c r="Q972" s="304">
        <f t="shared" ca="1" si="454"/>
        <v>0</v>
      </c>
      <c r="R972" s="306">
        <f t="shared" ca="1" si="455"/>
        <v>0</v>
      </c>
      <c r="S972" s="307">
        <f t="shared" ca="1" si="456"/>
        <v>2.5949999999999998</v>
      </c>
      <c r="T972" s="304">
        <f t="shared" ca="1" si="436"/>
        <v>25.456949999999999</v>
      </c>
      <c r="U972" s="311">
        <f t="shared" ca="1" si="437"/>
        <v>0</v>
      </c>
      <c r="V972" s="306">
        <f t="shared" ca="1" si="438"/>
        <v>1.2265986278347163</v>
      </c>
      <c r="W972" s="304">
        <f t="shared" ca="1" si="439"/>
        <v>23.579023845305766</v>
      </c>
      <c r="Y972" s="314" t="str">
        <f t="shared" ca="1" si="457"/>
        <v/>
      </c>
      <c r="Z972" s="315" t="str">
        <f t="shared" ca="1" si="458"/>
        <v/>
      </c>
      <c r="AA972" s="316" t="str">
        <f t="shared" ca="1" si="459"/>
        <v/>
      </c>
      <c r="AC972" s="310" t="e">
        <f t="shared" ca="1" si="460"/>
        <v>#N/A</v>
      </c>
      <c r="AD972" s="323" t="e">
        <f t="shared" ca="1" si="461"/>
        <v>#N/A</v>
      </c>
      <c r="AE972" s="324" t="e">
        <f t="shared" ca="1" si="440"/>
        <v>#N/A</v>
      </c>
      <c r="AG972" s="306">
        <f t="shared" ca="1" si="462"/>
        <v>0.70528034848159393</v>
      </c>
      <c r="AH972" s="304">
        <f t="shared" ca="1" si="463"/>
        <v>-9.0863070193431881</v>
      </c>
    </row>
    <row r="973" spans="1:34" x14ac:dyDescent="0.2">
      <c r="A973" s="347">
        <f t="shared" ca="1" si="441"/>
        <v>1E-4</v>
      </c>
      <c r="B973" s="304">
        <f t="shared" ca="1" si="442"/>
        <v>32.558600000002116</v>
      </c>
      <c r="D973" s="306">
        <f t="shared" ca="1" si="443"/>
        <v>-0.55644036028718236</v>
      </c>
      <c r="E973" s="307">
        <f t="shared" ca="1" si="444"/>
        <v>-0.74072497637813761</v>
      </c>
      <c r="F973" s="304">
        <f t="shared" ca="1" si="445"/>
        <v>0.92644447496162541</v>
      </c>
      <c r="G973" s="306">
        <f t="shared" ca="1" si="446"/>
        <v>5.9333686098474976</v>
      </c>
      <c r="H973" s="307">
        <f t="shared" ca="1" si="447"/>
        <v>-96.707394804094733</v>
      </c>
      <c r="I973" s="304">
        <f t="shared" ca="1" si="448"/>
        <v>96.889241264731623</v>
      </c>
      <c r="J973" s="306">
        <f t="shared" ca="1" si="449"/>
        <v>588.9746359926213</v>
      </c>
      <c r="K973" s="307">
        <f t="shared" ca="1" si="450"/>
        <v>-13.051184273644749</v>
      </c>
      <c r="L973" s="304">
        <f t="shared" ca="1" si="435"/>
        <v>589.11921989830319</v>
      </c>
      <c r="M973" s="306">
        <f t="shared" ca="1" si="451"/>
        <v>-1.5095193126150439</v>
      </c>
      <c r="N973" s="304">
        <f t="shared" ca="1" si="452"/>
        <v>-86.489085706331139</v>
      </c>
      <c r="P973" s="310">
        <f t="shared" ca="1" si="453"/>
        <v>23</v>
      </c>
      <c r="Q973" s="304">
        <f t="shared" ca="1" si="454"/>
        <v>0</v>
      </c>
      <c r="R973" s="306">
        <f t="shared" ca="1" si="455"/>
        <v>0</v>
      </c>
      <c r="S973" s="307">
        <f t="shared" ca="1" si="456"/>
        <v>2.5949999999999998</v>
      </c>
      <c r="T973" s="304">
        <f t="shared" ca="1" si="436"/>
        <v>25.456949999999999</v>
      </c>
      <c r="U973" s="311">
        <f t="shared" ca="1" si="437"/>
        <v>0</v>
      </c>
      <c r="V973" s="306">
        <f t="shared" ca="1" si="438"/>
        <v>1.2265998140469181</v>
      </c>
      <c r="W973" s="304">
        <f t="shared" ca="1" si="439"/>
        <v>23.579080974493476</v>
      </c>
      <c r="Y973" s="314" t="str">
        <f t="shared" ca="1" si="457"/>
        <v/>
      </c>
      <c r="Z973" s="315" t="str">
        <f t="shared" ca="1" si="458"/>
        <v/>
      </c>
      <c r="AA973" s="316" t="str">
        <f t="shared" ca="1" si="459"/>
        <v/>
      </c>
      <c r="AC973" s="310" t="e">
        <f t="shared" ca="1" si="460"/>
        <v>#N/A</v>
      </c>
      <c r="AD973" s="323" t="e">
        <f t="shared" ca="1" si="461"/>
        <v>#N/A</v>
      </c>
      <c r="AE973" s="324" t="e">
        <f t="shared" ca="1" si="440"/>
        <v>#N/A</v>
      </c>
      <c r="AG973" s="306">
        <f t="shared" ca="1" si="462"/>
        <v>0.70525870552779502</v>
      </c>
      <c r="AH973" s="304">
        <f t="shared" ca="1" si="463"/>
        <v>-9.0863290347999115</v>
      </c>
    </row>
    <row r="974" spans="1:34" x14ac:dyDescent="0.2">
      <c r="A974" s="347">
        <f t="shared" ca="1" si="441"/>
        <v>1E-4</v>
      </c>
      <c r="B974" s="304">
        <f t="shared" ca="1" si="442"/>
        <v>32.558700000002119</v>
      </c>
      <c r="D974" s="306">
        <f t="shared" ca="1" si="443"/>
        <v>-0.55643608509877962</v>
      </c>
      <c r="E974" s="307">
        <f t="shared" ca="1" si="444"/>
        <v>-0.74070265757927523</v>
      </c>
      <c r="F974" s="304">
        <f t="shared" ca="1" si="445"/>
        <v>0.92642406258962062</v>
      </c>
      <c r="G974" s="306">
        <f t="shared" ca="1" si="446"/>
        <v>5.9333129662389874</v>
      </c>
      <c r="H974" s="307">
        <f t="shared" ca="1" si="447"/>
        <v>-96.707468874360487</v>
      </c>
      <c r="I974" s="304">
        <f t="shared" ca="1" si="448"/>
        <v>96.889311788456524</v>
      </c>
      <c r="J974" s="306">
        <f t="shared" ca="1" si="449"/>
        <v>588.9746359926213</v>
      </c>
      <c r="K974" s="307">
        <f t="shared" ca="1" si="450"/>
        <v>-13.060855016828672</v>
      </c>
      <c r="L974" s="304">
        <f t="shared" ca="1" si="435"/>
        <v>589.11943422060983</v>
      </c>
      <c r="M974" s="306">
        <f t="shared" ca="1" si="451"/>
        <v>-1.5095199326539066</v>
      </c>
      <c r="N974" s="304">
        <f t="shared" ca="1" si="452"/>
        <v>-86.489121231941112</v>
      </c>
      <c r="P974" s="310">
        <f t="shared" ca="1" si="453"/>
        <v>23</v>
      </c>
      <c r="Q974" s="304">
        <f t="shared" ca="1" si="454"/>
        <v>0</v>
      </c>
      <c r="R974" s="306">
        <f t="shared" ca="1" si="455"/>
        <v>0</v>
      </c>
      <c r="S974" s="307">
        <f t="shared" ca="1" si="456"/>
        <v>2.5949999999999998</v>
      </c>
      <c r="T974" s="304">
        <f t="shared" ca="1" si="436"/>
        <v>25.456949999999999</v>
      </c>
      <c r="U974" s="311">
        <f t="shared" ca="1" si="437"/>
        <v>0</v>
      </c>
      <c r="V974" s="306">
        <f t="shared" ca="1" si="438"/>
        <v>1.2266010002611765</v>
      </c>
      <c r="W974" s="304">
        <f t="shared" ca="1" si="439"/>
        <v>23.579138102758684</v>
      </c>
      <c r="Y974" s="314" t="str">
        <f t="shared" ca="1" si="457"/>
        <v/>
      </c>
      <c r="Z974" s="315" t="str">
        <f t="shared" ca="1" si="458"/>
        <v/>
      </c>
      <c r="AA974" s="316" t="str">
        <f t="shared" ca="1" si="459"/>
        <v/>
      </c>
      <c r="AC974" s="310" t="e">
        <f t="shared" ca="1" si="460"/>
        <v>#N/A</v>
      </c>
      <c r="AD974" s="323" t="e">
        <f t="shared" ca="1" si="461"/>
        <v>#N/A</v>
      </c>
      <c r="AE974" s="324" t="e">
        <f t="shared" ca="1" si="440"/>
        <v>#N/A</v>
      </c>
      <c r="AG974" s="306">
        <f t="shared" ca="1" si="462"/>
        <v>0.7052370629216842</v>
      </c>
      <c r="AH974" s="304">
        <f t="shared" ca="1" si="463"/>
        <v>-9.0863510499011468</v>
      </c>
    </row>
    <row r="975" spans="1:34" x14ac:dyDescent="0.2">
      <c r="A975" s="347">
        <f t="shared" ca="1" si="441"/>
        <v>1E-4</v>
      </c>
      <c r="B975" s="304">
        <f t="shared" ca="1" si="442"/>
        <v>32.558800000002122</v>
      </c>
      <c r="D975" s="306">
        <f t="shared" ca="1" si="443"/>
        <v>-0.55643180992206509</v>
      </c>
      <c r="E975" s="307">
        <f t="shared" ca="1" si="444"/>
        <v>-0.74068033914079123</v>
      </c>
      <c r="F975" s="304">
        <f t="shared" ca="1" si="445"/>
        <v>0.92640365062043162</v>
      </c>
      <c r="G975" s="306">
        <f t="shared" ca="1" si="446"/>
        <v>5.9332573230579948</v>
      </c>
      <c r="H975" s="307">
        <f t="shared" ca="1" si="447"/>
        <v>-96.707542942394397</v>
      </c>
      <c r="I975" s="304">
        <f t="shared" ca="1" si="448"/>
        <v>96.889382310017226</v>
      </c>
      <c r="J975" s="306">
        <f t="shared" ca="1" si="449"/>
        <v>588.9746359926213</v>
      </c>
      <c r="K975" s="307">
        <f t="shared" ca="1" si="450"/>
        <v>-13.070525767419509</v>
      </c>
      <c r="L975" s="304">
        <f t="shared" ca="1" si="435"/>
        <v>589.11964870175359</v>
      </c>
      <c r="M975" s="306">
        <f t="shared" ca="1" si="451"/>
        <v>-1.509520552686052</v>
      </c>
      <c r="N975" s="304">
        <f t="shared" ca="1" si="452"/>
        <v>-86.489156757166199</v>
      </c>
      <c r="P975" s="310">
        <f t="shared" ca="1" si="453"/>
        <v>23</v>
      </c>
      <c r="Q975" s="304">
        <f t="shared" ca="1" si="454"/>
        <v>0</v>
      </c>
      <c r="R975" s="306">
        <f t="shared" ca="1" si="455"/>
        <v>0</v>
      </c>
      <c r="S975" s="307">
        <f t="shared" ca="1" si="456"/>
        <v>2.5949999999999998</v>
      </c>
      <c r="T975" s="304">
        <f t="shared" ca="1" si="436"/>
        <v>25.456949999999999</v>
      </c>
      <c r="U975" s="311">
        <f t="shared" ca="1" si="437"/>
        <v>0</v>
      </c>
      <c r="V975" s="306">
        <f t="shared" ca="1" si="438"/>
        <v>1.226602186477491</v>
      </c>
      <c r="W975" s="304">
        <f t="shared" ca="1" si="439"/>
        <v>23.579195230101437</v>
      </c>
      <c r="Y975" s="314" t="str">
        <f t="shared" ca="1" si="457"/>
        <v/>
      </c>
      <c r="Z975" s="315" t="str">
        <f t="shared" ca="1" si="458"/>
        <v/>
      </c>
      <c r="AA975" s="316" t="str">
        <f t="shared" ca="1" si="459"/>
        <v/>
      </c>
      <c r="AC975" s="310" t="e">
        <f t="shared" ca="1" si="460"/>
        <v>#N/A</v>
      </c>
      <c r="AD975" s="323" t="e">
        <f t="shared" ca="1" si="461"/>
        <v>#N/A</v>
      </c>
      <c r="AE975" s="324" t="e">
        <f t="shared" ca="1" si="440"/>
        <v>#N/A</v>
      </c>
      <c r="AG975" s="306">
        <f t="shared" ca="1" si="462"/>
        <v>0.70521542066326326</v>
      </c>
      <c r="AH975" s="304">
        <f t="shared" ca="1" si="463"/>
        <v>-9.0863730646468923</v>
      </c>
    </row>
    <row r="976" spans="1:34" x14ac:dyDescent="0.2">
      <c r="A976" s="347">
        <f t="shared" ca="1" si="441"/>
        <v>1E-4</v>
      </c>
      <c r="B976" s="304">
        <f t="shared" ca="1" si="442"/>
        <v>32.558900000002126</v>
      </c>
      <c r="D976" s="306">
        <f t="shared" ca="1" si="443"/>
        <v>-0.5564275347570411</v>
      </c>
      <c r="E976" s="307">
        <f t="shared" ca="1" si="444"/>
        <v>-0.74065802106266432</v>
      </c>
      <c r="F976" s="304">
        <f t="shared" ca="1" si="445"/>
        <v>0.92638323905404307</v>
      </c>
      <c r="G976" s="306">
        <f t="shared" ca="1" si="446"/>
        <v>5.9332016803045189</v>
      </c>
      <c r="H976" s="307">
        <f t="shared" ca="1" si="447"/>
        <v>-96.707617008196507</v>
      </c>
      <c r="I976" s="304">
        <f t="shared" ca="1" si="448"/>
        <v>96.889452829413727</v>
      </c>
      <c r="J976" s="306">
        <f t="shared" ca="1" si="449"/>
        <v>588.9746359926213</v>
      </c>
      <c r="K976" s="307">
        <f t="shared" ca="1" si="450"/>
        <v>-13.080196525417039</v>
      </c>
      <c r="L976" s="304">
        <f t="shared" ca="1" si="435"/>
        <v>589.1198633417348</v>
      </c>
      <c r="M976" s="306">
        <f t="shared" ca="1" si="451"/>
        <v>-1.5095211727114799</v>
      </c>
      <c r="N976" s="304">
        <f t="shared" ca="1" si="452"/>
        <v>-86.489192282006414</v>
      </c>
      <c r="P976" s="310">
        <f t="shared" ca="1" si="453"/>
        <v>23</v>
      </c>
      <c r="Q976" s="304">
        <f t="shared" ca="1" si="454"/>
        <v>0</v>
      </c>
      <c r="R976" s="306">
        <f t="shared" ca="1" si="455"/>
        <v>0</v>
      </c>
      <c r="S976" s="307">
        <f t="shared" ca="1" si="456"/>
        <v>2.5949999999999998</v>
      </c>
      <c r="T976" s="304">
        <f t="shared" ca="1" si="436"/>
        <v>25.456949999999999</v>
      </c>
      <c r="U976" s="311">
        <f t="shared" ca="1" si="437"/>
        <v>0</v>
      </c>
      <c r="V976" s="306">
        <f t="shared" ca="1" si="438"/>
        <v>1.2266033726958621</v>
      </c>
      <c r="W976" s="304">
        <f t="shared" ca="1" si="439"/>
        <v>23.579252356521721</v>
      </c>
      <c r="Y976" s="314" t="str">
        <f t="shared" ca="1" si="457"/>
        <v/>
      </c>
      <c r="Z976" s="315" t="str">
        <f t="shared" ca="1" si="458"/>
        <v/>
      </c>
      <c r="AA976" s="316" t="str">
        <f t="shared" ca="1" si="459"/>
        <v/>
      </c>
      <c r="AC976" s="310" t="e">
        <f t="shared" ca="1" si="460"/>
        <v>#N/A</v>
      </c>
      <c r="AD976" s="323" t="e">
        <f t="shared" ca="1" si="461"/>
        <v>#N/A</v>
      </c>
      <c r="AE976" s="324" t="e">
        <f t="shared" ca="1" si="440"/>
        <v>#N/A</v>
      </c>
      <c r="AG976" s="306">
        <f t="shared" ca="1" si="462"/>
        <v>0.70519377875251621</v>
      </c>
      <c r="AH976" s="304">
        <f t="shared" ca="1" si="463"/>
        <v>-9.0863950790371639</v>
      </c>
    </row>
    <row r="977" spans="1:34" x14ac:dyDescent="0.2">
      <c r="A977" s="347">
        <f t="shared" ca="1" si="441"/>
        <v>1E-4</v>
      </c>
      <c r="B977" s="304">
        <f t="shared" ca="1" si="442"/>
        <v>32.559000000002129</v>
      </c>
      <c r="D977" s="306">
        <f t="shared" ca="1" si="443"/>
        <v>-0.5564232596037102</v>
      </c>
      <c r="E977" s="307">
        <f t="shared" ca="1" si="444"/>
        <v>-0.74063570334490514</v>
      </c>
      <c r="F977" s="304">
        <f t="shared" ca="1" si="445"/>
        <v>0.92636282789046542</v>
      </c>
      <c r="G977" s="306">
        <f t="shared" ca="1" si="446"/>
        <v>5.9331460379785588</v>
      </c>
      <c r="H977" s="307">
        <f t="shared" ca="1" si="447"/>
        <v>-96.707691071766845</v>
      </c>
      <c r="I977" s="304">
        <f t="shared" ca="1" si="448"/>
        <v>96.889523346646072</v>
      </c>
      <c r="J977" s="306">
        <f t="shared" ca="1" si="449"/>
        <v>588.9746359926213</v>
      </c>
      <c r="K977" s="307">
        <f t="shared" ca="1" si="450"/>
        <v>-13.089867290821037</v>
      </c>
      <c r="L977" s="304">
        <f t="shared" ca="1" si="435"/>
        <v>589.12007814055369</v>
      </c>
      <c r="M977" s="306">
        <f t="shared" ca="1" si="451"/>
        <v>-1.5095217927301907</v>
      </c>
      <c r="N977" s="304">
        <f t="shared" ca="1" si="452"/>
        <v>-86.489227806461756</v>
      </c>
      <c r="P977" s="310">
        <f t="shared" ca="1" si="453"/>
        <v>23</v>
      </c>
      <c r="Q977" s="304">
        <f t="shared" ca="1" si="454"/>
        <v>0</v>
      </c>
      <c r="R977" s="306">
        <f t="shared" ca="1" si="455"/>
        <v>0</v>
      </c>
      <c r="S977" s="307">
        <f t="shared" ca="1" si="456"/>
        <v>2.5949999999999998</v>
      </c>
      <c r="T977" s="304">
        <f t="shared" ca="1" si="436"/>
        <v>25.456949999999999</v>
      </c>
      <c r="U977" s="311">
        <f t="shared" ca="1" si="437"/>
        <v>0</v>
      </c>
      <c r="V977" s="306">
        <f t="shared" ca="1" si="438"/>
        <v>1.2266045589162897</v>
      </c>
      <c r="W977" s="304">
        <f t="shared" ca="1" si="439"/>
        <v>23.57930948201955</v>
      </c>
      <c r="Y977" s="314" t="str">
        <f t="shared" ca="1" si="457"/>
        <v/>
      </c>
      <c r="Z977" s="315" t="str">
        <f t="shared" ca="1" si="458"/>
        <v/>
      </c>
      <c r="AA977" s="316" t="str">
        <f t="shared" ca="1" si="459"/>
        <v/>
      </c>
      <c r="AC977" s="310" t="e">
        <f t="shared" ca="1" si="460"/>
        <v>#N/A</v>
      </c>
      <c r="AD977" s="323" t="e">
        <f t="shared" ca="1" si="461"/>
        <v>#N/A</v>
      </c>
      <c r="AE977" s="324" t="e">
        <f t="shared" ca="1" si="440"/>
        <v>#N/A</v>
      </c>
      <c r="AG977" s="306">
        <f t="shared" ca="1" si="462"/>
        <v>0.70517213718945015</v>
      </c>
      <c r="AH977" s="304">
        <f t="shared" ca="1" si="463"/>
        <v>-9.0864170930719546</v>
      </c>
    </row>
    <row r="978" spans="1:34" x14ac:dyDescent="0.2">
      <c r="A978" s="347">
        <f t="shared" ca="1" si="441"/>
        <v>1E-4</v>
      </c>
      <c r="B978" s="304">
        <f t="shared" ca="1" si="442"/>
        <v>32.559100000002132</v>
      </c>
      <c r="D978" s="306">
        <f t="shared" ca="1" si="443"/>
        <v>-0.55641898446207005</v>
      </c>
      <c r="E978" s="307">
        <f t="shared" ca="1" si="444"/>
        <v>-0.74061338598750304</v>
      </c>
      <c r="F978" s="304">
        <f t="shared" ca="1" si="445"/>
        <v>0.92634241712968945</v>
      </c>
      <c r="G978" s="306">
        <f t="shared" ca="1" si="446"/>
        <v>5.9330903960801127</v>
      </c>
      <c r="H978" s="307">
        <f t="shared" ca="1" si="447"/>
        <v>-96.70776513310544</v>
      </c>
      <c r="I978" s="304">
        <f t="shared" ca="1" si="448"/>
        <v>96.889593861714289</v>
      </c>
      <c r="J978" s="306">
        <f t="shared" ca="1" si="449"/>
        <v>588.9746359926213</v>
      </c>
      <c r="K978" s="307">
        <f t="shared" ca="1" si="450"/>
        <v>-13.099538063631281</v>
      </c>
      <c r="L978" s="304">
        <f t="shared" ca="1" si="435"/>
        <v>589.12029309821037</v>
      </c>
      <c r="M978" s="306">
        <f t="shared" ca="1" si="451"/>
        <v>-1.5095224127421845</v>
      </c>
      <c r="N978" s="304">
        <f t="shared" ca="1" si="452"/>
        <v>-86.489263330532253</v>
      </c>
      <c r="P978" s="310">
        <f t="shared" ca="1" si="453"/>
        <v>23</v>
      </c>
      <c r="Q978" s="304">
        <f t="shared" ca="1" si="454"/>
        <v>0</v>
      </c>
      <c r="R978" s="306">
        <f t="shared" ca="1" si="455"/>
        <v>0</v>
      </c>
      <c r="S978" s="307">
        <f t="shared" ca="1" si="456"/>
        <v>2.5949999999999998</v>
      </c>
      <c r="T978" s="304">
        <f t="shared" ca="1" si="436"/>
        <v>25.456949999999999</v>
      </c>
      <c r="U978" s="311">
        <f t="shared" ca="1" si="437"/>
        <v>0</v>
      </c>
      <c r="V978" s="306">
        <f t="shared" ca="1" si="438"/>
        <v>1.2266057451387731</v>
      </c>
      <c r="W978" s="304">
        <f t="shared" ca="1" si="439"/>
        <v>23.579366606594927</v>
      </c>
      <c r="Y978" s="314" t="str">
        <f t="shared" ca="1" si="457"/>
        <v/>
      </c>
      <c r="Z978" s="315" t="str">
        <f t="shared" ca="1" si="458"/>
        <v/>
      </c>
      <c r="AA978" s="316" t="str">
        <f t="shared" ca="1" si="459"/>
        <v/>
      </c>
      <c r="AC978" s="310" t="e">
        <f t="shared" ca="1" si="460"/>
        <v>#N/A</v>
      </c>
      <c r="AD978" s="323" t="e">
        <f t="shared" ca="1" si="461"/>
        <v>#N/A</v>
      </c>
      <c r="AE978" s="324" t="e">
        <f t="shared" ca="1" si="440"/>
        <v>#N/A</v>
      </c>
      <c r="AG978" s="306">
        <f t="shared" ca="1" si="462"/>
        <v>0.70515049597405799</v>
      </c>
      <c r="AH978" s="304">
        <f t="shared" ca="1" si="463"/>
        <v>-9.0864391067512731</v>
      </c>
    </row>
    <row r="979" spans="1:34" x14ac:dyDescent="0.2">
      <c r="A979" s="347">
        <f t="shared" ca="1" si="441"/>
        <v>1E-4</v>
      </c>
      <c r="B979" s="304">
        <f t="shared" ca="1" si="442"/>
        <v>32.559200000002136</v>
      </c>
      <c r="D979" s="306">
        <f t="shared" ca="1" si="443"/>
        <v>-0.55641470933212167</v>
      </c>
      <c r="E979" s="307">
        <f t="shared" ca="1" si="444"/>
        <v>-0.74059106899045979</v>
      </c>
      <c r="F979" s="304">
        <f t="shared" ca="1" si="445"/>
        <v>0.92632200677171728</v>
      </c>
      <c r="G979" s="306">
        <f t="shared" ca="1" si="446"/>
        <v>5.9330347546091797</v>
      </c>
      <c r="H979" s="307">
        <f t="shared" ca="1" si="447"/>
        <v>-96.707839192212333</v>
      </c>
      <c r="I979" s="304">
        <f t="shared" ca="1" si="448"/>
        <v>96.88966437461842</v>
      </c>
      <c r="J979" s="306">
        <f t="shared" ca="1" si="449"/>
        <v>588.9746359926213</v>
      </c>
      <c r="K979" s="307">
        <f t="shared" ca="1" si="450"/>
        <v>-13.109208843847547</v>
      </c>
      <c r="L979" s="304">
        <f t="shared" ca="1" si="435"/>
        <v>589.12050821470507</v>
      </c>
      <c r="M979" s="306">
        <f t="shared" ca="1" si="451"/>
        <v>-1.5095230327474611</v>
      </c>
      <c r="N979" s="304">
        <f t="shared" ca="1" si="452"/>
        <v>-86.489298854217878</v>
      </c>
      <c r="P979" s="310">
        <f t="shared" ca="1" si="453"/>
        <v>23</v>
      </c>
      <c r="Q979" s="304">
        <f t="shared" ca="1" si="454"/>
        <v>0</v>
      </c>
      <c r="R979" s="306">
        <f t="shared" ca="1" si="455"/>
        <v>0</v>
      </c>
      <c r="S979" s="307">
        <f t="shared" ca="1" si="456"/>
        <v>2.5949999999999998</v>
      </c>
      <c r="T979" s="304">
        <f t="shared" ca="1" si="436"/>
        <v>25.456949999999999</v>
      </c>
      <c r="U979" s="311">
        <f t="shared" ca="1" si="437"/>
        <v>0</v>
      </c>
      <c r="V979" s="306">
        <f t="shared" ca="1" si="438"/>
        <v>1.2266069313633137</v>
      </c>
      <c r="W979" s="304">
        <f t="shared" ca="1" si="439"/>
        <v>23.579423730247903</v>
      </c>
      <c r="Y979" s="314" t="str">
        <f t="shared" ca="1" si="457"/>
        <v/>
      </c>
      <c r="Z979" s="315" t="str">
        <f t="shared" ca="1" si="458"/>
        <v/>
      </c>
      <c r="AA979" s="316" t="str">
        <f t="shared" ca="1" si="459"/>
        <v/>
      </c>
      <c r="AC979" s="310" t="e">
        <f t="shared" ca="1" si="460"/>
        <v>#N/A</v>
      </c>
      <c r="AD979" s="323" t="e">
        <f t="shared" ca="1" si="461"/>
        <v>#N/A</v>
      </c>
      <c r="AE979" s="324" t="e">
        <f t="shared" ca="1" si="440"/>
        <v>#N/A</v>
      </c>
      <c r="AG979" s="306">
        <f t="shared" ca="1" si="462"/>
        <v>0.70512885510633794</v>
      </c>
      <c r="AH979" s="304">
        <f t="shared" ca="1" si="463"/>
        <v>-9.0864611200751177</v>
      </c>
    </row>
    <row r="980" spans="1:34" x14ac:dyDescent="0.2">
      <c r="A980" s="347">
        <f t="shared" ca="1" si="441"/>
        <v>1E-4</v>
      </c>
      <c r="B980" s="304">
        <f t="shared" ca="1" si="442"/>
        <v>32.559300000002139</v>
      </c>
      <c r="D980" s="306">
        <f t="shared" ca="1" si="443"/>
        <v>-0.55641043421386738</v>
      </c>
      <c r="E980" s="307">
        <f t="shared" ca="1" si="444"/>
        <v>-0.74056875235375585</v>
      </c>
      <c r="F980" s="304">
        <f t="shared" ca="1" si="445"/>
        <v>0.92630159681653523</v>
      </c>
      <c r="G980" s="306">
        <f t="shared" ca="1" si="446"/>
        <v>5.9329791135657581</v>
      </c>
      <c r="H980" s="307">
        <f t="shared" ca="1" si="447"/>
        <v>-96.707913249087568</v>
      </c>
      <c r="I980" s="304">
        <f t="shared" ca="1" si="448"/>
        <v>96.889734885358493</v>
      </c>
      <c r="J980" s="306">
        <f t="shared" ca="1" si="449"/>
        <v>588.9746359926213</v>
      </c>
      <c r="K980" s="307">
        <f t="shared" ca="1" si="450"/>
        <v>-13.118879631469612</v>
      </c>
      <c r="L980" s="304">
        <f t="shared" ca="1" si="435"/>
        <v>589.1207234900379</v>
      </c>
      <c r="M980" s="306">
        <f t="shared" ca="1" si="451"/>
        <v>-1.509523652746021</v>
      </c>
      <c r="N980" s="304">
        <f t="shared" ca="1" si="452"/>
        <v>-86.489334377518659</v>
      </c>
      <c r="P980" s="310">
        <f t="shared" ca="1" si="453"/>
        <v>23</v>
      </c>
      <c r="Q980" s="304">
        <f t="shared" ca="1" si="454"/>
        <v>0</v>
      </c>
      <c r="R980" s="306">
        <f t="shared" ca="1" si="455"/>
        <v>0</v>
      </c>
      <c r="S980" s="307">
        <f t="shared" ca="1" si="456"/>
        <v>2.5949999999999998</v>
      </c>
      <c r="T980" s="304">
        <f t="shared" ca="1" si="436"/>
        <v>25.456949999999999</v>
      </c>
      <c r="U980" s="311">
        <f t="shared" ca="1" si="437"/>
        <v>0</v>
      </c>
      <c r="V980" s="306">
        <f t="shared" ca="1" si="438"/>
        <v>1.22660811758991</v>
      </c>
      <c r="W980" s="304">
        <f t="shared" ca="1" si="439"/>
        <v>23.579480852978438</v>
      </c>
      <c r="Y980" s="314" t="str">
        <f t="shared" ca="1" si="457"/>
        <v/>
      </c>
      <c r="Z980" s="315" t="str">
        <f t="shared" ca="1" si="458"/>
        <v/>
      </c>
      <c r="AA980" s="316" t="str">
        <f t="shared" ca="1" si="459"/>
        <v/>
      </c>
      <c r="AC980" s="310" t="e">
        <f t="shared" ca="1" si="460"/>
        <v>#N/A</v>
      </c>
      <c r="AD980" s="323" t="e">
        <f t="shared" ca="1" si="461"/>
        <v>#N/A</v>
      </c>
      <c r="AE980" s="324" t="e">
        <f t="shared" ca="1" si="440"/>
        <v>#N/A</v>
      </c>
      <c r="AG980" s="306">
        <f t="shared" ca="1" si="462"/>
        <v>0.70510721458627579</v>
      </c>
      <c r="AH980" s="304">
        <f t="shared" ca="1" si="463"/>
        <v>-9.0864831330435081</v>
      </c>
    </row>
    <row r="981" spans="1:34" x14ac:dyDescent="0.2">
      <c r="A981" s="347">
        <f t="shared" ca="1" si="441"/>
        <v>1E-4</v>
      </c>
      <c r="B981" s="304">
        <f t="shared" ca="1" si="442"/>
        <v>32.559400000002142</v>
      </c>
      <c r="D981" s="306">
        <f t="shared" ca="1" si="443"/>
        <v>-0.5564061591073054</v>
      </c>
      <c r="E981" s="307">
        <f t="shared" ca="1" si="444"/>
        <v>-0.74054643607740545</v>
      </c>
      <c r="F981" s="304">
        <f t="shared" ca="1" si="445"/>
        <v>0.92628118726415409</v>
      </c>
      <c r="G981" s="306">
        <f t="shared" ca="1" si="446"/>
        <v>5.932923472949847</v>
      </c>
      <c r="H981" s="307">
        <f t="shared" ca="1" si="447"/>
        <v>-96.707987303731173</v>
      </c>
      <c r="I981" s="304">
        <f t="shared" ca="1" si="448"/>
        <v>96.889805393934552</v>
      </c>
      <c r="J981" s="306">
        <f t="shared" ca="1" si="449"/>
        <v>588.9746359926213</v>
      </c>
      <c r="K981" s="307">
        <f t="shared" ca="1" si="450"/>
        <v>-13.128550426497254</v>
      </c>
      <c r="L981" s="304">
        <f t="shared" ca="1" si="435"/>
        <v>589.12093892420921</v>
      </c>
      <c r="M981" s="306">
        <f t="shared" ca="1" si="451"/>
        <v>-1.5095242727378639</v>
      </c>
      <c r="N981" s="304">
        <f t="shared" ca="1" si="452"/>
        <v>-86.489369900434596</v>
      </c>
      <c r="P981" s="310">
        <f t="shared" ca="1" si="453"/>
        <v>23</v>
      </c>
      <c r="Q981" s="304">
        <f t="shared" ca="1" si="454"/>
        <v>0</v>
      </c>
      <c r="R981" s="306">
        <f t="shared" ca="1" si="455"/>
        <v>0</v>
      </c>
      <c r="S981" s="307">
        <f t="shared" ca="1" si="456"/>
        <v>2.5949999999999998</v>
      </c>
      <c r="T981" s="304">
        <f t="shared" ca="1" si="436"/>
        <v>25.456949999999999</v>
      </c>
      <c r="U981" s="311">
        <f t="shared" ca="1" si="437"/>
        <v>0</v>
      </c>
      <c r="V981" s="306">
        <f t="shared" ca="1" si="438"/>
        <v>1.2266093038185624</v>
      </c>
      <c r="W981" s="304">
        <f t="shared" ca="1" si="439"/>
        <v>23.579537974786557</v>
      </c>
      <c r="Y981" s="314" t="str">
        <f t="shared" ca="1" si="457"/>
        <v/>
      </c>
      <c r="Z981" s="315" t="str">
        <f t="shared" ca="1" si="458"/>
        <v/>
      </c>
      <c r="AA981" s="316" t="str">
        <f t="shared" ca="1" si="459"/>
        <v/>
      </c>
      <c r="AC981" s="310" t="e">
        <f t="shared" ca="1" si="460"/>
        <v>#N/A</v>
      </c>
      <c r="AD981" s="323" t="e">
        <f t="shared" ca="1" si="461"/>
        <v>#N/A</v>
      </c>
      <c r="AE981" s="324" t="e">
        <f t="shared" ca="1" si="440"/>
        <v>#N/A</v>
      </c>
      <c r="AG981" s="306">
        <f t="shared" ca="1" si="462"/>
        <v>0.7050855744138822</v>
      </c>
      <c r="AH981" s="304">
        <f t="shared" ca="1" si="463"/>
        <v>-9.0865051456564316</v>
      </c>
    </row>
    <row r="982" spans="1:34" x14ac:dyDescent="0.2">
      <c r="A982" s="347">
        <f t="shared" ca="1" si="441"/>
        <v>1E-4</v>
      </c>
      <c r="B982" s="304">
        <f t="shared" ca="1" si="442"/>
        <v>32.559500000002146</v>
      </c>
      <c r="D982" s="306">
        <f t="shared" ca="1" si="443"/>
        <v>-0.55640188401243751</v>
      </c>
      <c r="E982" s="307">
        <f t="shared" ca="1" si="444"/>
        <v>-0.7405241201613979</v>
      </c>
      <c r="F982" s="304">
        <f t="shared" ca="1" si="445"/>
        <v>0.92626077811456664</v>
      </c>
      <c r="G982" s="306">
        <f t="shared" ca="1" si="446"/>
        <v>5.9328678327614455</v>
      </c>
      <c r="H982" s="307">
        <f t="shared" ca="1" si="447"/>
        <v>-96.70806135614319</v>
      </c>
      <c r="I982" s="304">
        <f t="shared" ca="1" si="448"/>
        <v>96.889875900346638</v>
      </c>
      <c r="J982" s="306">
        <f t="shared" ca="1" si="449"/>
        <v>588.9746359926213</v>
      </c>
      <c r="K982" s="307">
        <f t="shared" ca="1" si="450"/>
        <v>-13.138221228930249</v>
      </c>
      <c r="L982" s="304">
        <f t="shared" ca="1" si="435"/>
        <v>589.121154517219</v>
      </c>
      <c r="M982" s="306">
        <f t="shared" ca="1" si="451"/>
        <v>-1.5095248927229901</v>
      </c>
      <c r="N982" s="304">
        <f t="shared" ca="1" si="452"/>
        <v>-86.489405422965689</v>
      </c>
      <c r="P982" s="310">
        <f t="shared" ca="1" si="453"/>
        <v>23</v>
      </c>
      <c r="Q982" s="304">
        <f t="shared" ca="1" si="454"/>
        <v>0</v>
      </c>
      <c r="R982" s="306">
        <f t="shared" ca="1" si="455"/>
        <v>0</v>
      </c>
      <c r="S982" s="307">
        <f t="shared" ca="1" si="456"/>
        <v>2.5949999999999998</v>
      </c>
      <c r="T982" s="304">
        <f t="shared" ca="1" si="436"/>
        <v>25.456949999999999</v>
      </c>
      <c r="U982" s="311">
        <f t="shared" ca="1" si="437"/>
        <v>0</v>
      </c>
      <c r="V982" s="306">
        <f t="shared" ca="1" si="438"/>
        <v>1.226610490049272</v>
      </c>
      <c r="W982" s="304">
        <f t="shared" ca="1" si="439"/>
        <v>23.579595095672321</v>
      </c>
      <c r="Y982" s="314" t="str">
        <f t="shared" ca="1" si="457"/>
        <v/>
      </c>
      <c r="Z982" s="315" t="str">
        <f t="shared" ca="1" si="458"/>
        <v/>
      </c>
      <c r="AA982" s="316" t="str">
        <f t="shared" ca="1" si="459"/>
        <v/>
      </c>
      <c r="AC982" s="310" t="e">
        <f t="shared" ca="1" si="460"/>
        <v>#N/A</v>
      </c>
      <c r="AD982" s="323" t="e">
        <f t="shared" ca="1" si="461"/>
        <v>#N/A</v>
      </c>
      <c r="AE982" s="324" t="e">
        <f t="shared" ca="1" si="440"/>
        <v>#N/A</v>
      </c>
      <c r="AG982" s="306">
        <f t="shared" ca="1" si="462"/>
        <v>0.70506393458914651</v>
      </c>
      <c r="AH982" s="304">
        <f t="shared" ca="1" si="463"/>
        <v>-9.0865271579138955</v>
      </c>
    </row>
    <row r="983" spans="1:34" x14ac:dyDescent="0.2">
      <c r="A983" s="347">
        <f t="shared" ca="1" si="441"/>
        <v>1E-4</v>
      </c>
      <c r="B983" s="304">
        <f t="shared" ca="1" si="442"/>
        <v>32.559600000002149</v>
      </c>
      <c r="D983" s="306">
        <f t="shared" ca="1" si="443"/>
        <v>-0.55639760892926615</v>
      </c>
      <c r="E983" s="307">
        <f t="shared" ca="1" si="444"/>
        <v>-0.74050180460571191</v>
      </c>
      <c r="F983" s="304">
        <f t="shared" ca="1" si="445"/>
        <v>0.92624036936775789</v>
      </c>
      <c r="G983" s="306">
        <f t="shared" ca="1" si="446"/>
        <v>5.9328121930005526</v>
      </c>
      <c r="H983" s="307">
        <f t="shared" ca="1" si="447"/>
        <v>-96.708135406323649</v>
      </c>
      <c r="I983" s="304">
        <f t="shared" ca="1" si="448"/>
        <v>96.889946404594767</v>
      </c>
      <c r="J983" s="306">
        <f t="shared" ca="1" si="449"/>
        <v>588.9746359926213</v>
      </c>
      <c r="K983" s="307">
        <f t="shared" ca="1" si="450"/>
        <v>-13.147892038768372</v>
      </c>
      <c r="L983" s="304">
        <f t="shared" ca="1" si="435"/>
        <v>589.1213702690676</v>
      </c>
      <c r="M983" s="306">
        <f t="shared" ca="1" si="451"/>
        <v>-1.5095255127013998</v>
      </c>
      <c r="N983" s="304">
        <f t="shared" ca="1" si="452"/>
        <v>-86.489440945111951</v>
      </c>
      <c r="P983" s="310">
        <f t="shared" ca="1" si="453"/>
        <v>23</v>
      </c>
      <c r="Q983" s="304">
        <f t="shared" ca="1" si="454"/>
        <v>0</v>
      </c>
      <c r="R983" s="306">
        <f t="shared" ca="1" si="455"/>
        <v>0</v>
      </c>
      <c r="S983" s="307">
        <f t="shared" ca="1" si="456"/>
        <v>2.5949999999999998</v>
      </c>
      <c r="T983" s="304">
        <f t="shared" ca="1" si="436"/>
        <v>25.456949999999999</v>
      </c>
      <c r="U983" s="311">
        <f t="shared" ca="1" si="437"/>
        <v>0</v>
      </c>
      <c r="V983" s="306">
        <f t="shared" ca="1" si="438"/>
        <v>1.2266116762820369</v>
      </c>
      <c r="W983" s="304">
        <f t="shared" ca="1" si="439"/>
        <v>23.579652215635669</v>
      </c>
      <c r="Y983" s="314" t="str">
        <f t="shared" ca="1" si="457"/>
        <v/>
      </c>
      <c r="Z983" s="315" t="str">
        <f t="shared" ca="1" si="458"/>
        <v/>
      </c>
      <c r="AA983" s="316" t="str">
        <f t="shared" ca="1" si="459"/>
        <v/>
      </c>
      <c r="AC983" s="310" t="e">
        <f t="shared" ca="1" si="460"/>
        <v>#N/A</v>
      </c>
      <c r="AD983" s="323" t="e">
        <f t="shared" ca="1" si="461"/>
        <v>#N/A</v>
      </c>
      <c r="AE983" s="324" t="e">
        <f t="shared" ca="1" si="440"/>
        <v>#N/A</v>
      </c>
      <c r="AG983" s="306">
        <f t="shared" ca="1" si="462"/>
        <v>0.70504229511204919</v>
      </c>
      <c r="AH983" s="304">
        <f t="shared" ca="1" si="463"/>
        <v>-9.0865491698159246</v>
      </c>
    </row>
    <row r="984" spans="1:34" x14ac:dyDescent="0.2">
      <c r="A984" s="347">
        <f t="shared" ca="1" si="441"/>
        <v>1E-4</v>
      </c>
      <c r="B984" s="304">
        <f t="shared" ca="1" si="442"/>
        <v>32.559700000002152</v>
      </c>
      <c r="D984" s="306">
        <f t="shared" ca="1" si="443"/>
        <v>-0.55639333385778689</v>
      </c>
      <c r="E984" s="307">
        <f t="shared" ca="1" si="444"/>
        <v>-0.74047948941036879</v>
      </c>
      <c r="F984" s="304">
        <f t="shared" ca="1" si="445"/>
        <v>0.92621996102374249</v>
      </c>
      <c r="G984" s="306">
        <f t="shared" ca="1" si="446"/>
        <v>5.9327565536671667</v>
      </c>
      <c r="H984" s="307">
        <f t="shared" ca="1" si="447"/>
        <v>-96.708209454272591</v>
      </c>
      <c r="I984" s="304">
        <f t="shared" ca="1" si="448"/>
        <v>96.89001690667898</v>
      </c>
      <c r="J984" s="306">
        <f t="shared" ca="1" si="449"/>
        <v>588.9746359926213</v>
      </c>
      <c r="K984" s="307">
        <f t="shared" ca="1" si="450"/>
        <v>-13.157562856011403</v>
      </c>
      <c r="L984" s="304">
        <f t="shared" ca="1" si="435"/>
        <v>589.12158617975513</v>
      </c>
      <c r="M984" s="306">
        <f t="shared" ca="1" si="451"/>
        <v>-1.5095261326730927</v>
      </c>
      <c r="N984" s="304">
        <f t="shared" ca="1" si="452"/>
        <v>-86.48947646687337</v>
      </c>
      <c r="P984" s="310">
        <f t="shared" ca="1" si="453"/>
        <v>23</v>
      </c>
      <c r="Q984" s="304">
        <f t="shared" ca="1" si="454"/>
        <v>0</v>
      </c>
      <c r="R984" s="306">
        <f t="shared" ca="1" si="455"/>
        <v>0</v>
      </c>
      <c r="S984" s="307">
        <f t="shared" ca="1" si="456"/>
        <v>2.5949999999999998</v>
      </c>
      <c r="T984" s="304">
        <f t="shared" ca="1" si="436"/>
        <v>25.456949999999999</v>
      </c>
      <c r="U984" s="311">
        <f t="shared" ca="1" si="437"/>
        <v>0</v>
      </c>
      <c r="V984" s="306">
        <f t="shared" ca="1" si="438"/>
        <v>1.2266128625168589</v>
      </c>
      <c r="W984" s="304">
        <f t="shared" ca="1" si="439"/>
        <v>23.579709334676664</v>
      </c>
      <c r="Y984" s="314" t="str">
        <f t="shared" ca="1" si="457"/>
        <v/>
      </c>
      <c r="Z984" s="315" t="str">
        <f t="shared" ca="1" si="458"/>
        <v/>
      </c>
      <c r="AA984" s="316" t="str">
        <f t="shared" ca="1" si="459"/>
        <v/>
      </c>
      <c r="AC984" s="310" t="e">
        <f t="shared" ca="1" si="460"/>
        <v>#N/A</v>
      </c>
      <c r="AD984" s="323" t="e">
        <f t="shared" ca="1" si="461"/>
        <v>#N/A</v>
      </c>
      <c r="AE984" s="324" t="e">
        <f t="shared" ca="1" si="440"/>
        <v>#N/A</v>
      </c>
      <c r="AG984" s="306">
        <f t="shared" ca="1" si="462"/>
        <v>0.70502065598261332</v>
      </c>
      <c r="AH984" s="304">
        <f t="shared" ca="1" si="463"/>
        <v>-9.0865711813624941</v>
      </c>
    </row>
    <row r="985" spans="1:34" x14ac:dyDescent="0.2">
      <c r="A985" s="347">
        <f t="shared" ca="1" si="441"/>
        <v>1E-4</v>
      </c>
      <c r="B985" s="304">
        <f t="shared" ca="1" si="442"/>
        <v>32.559800000002156</v>
      </c>
      <c r="D985" s="306">
        <f t="shared" ca="1" si="443"/>
        <v>-0.55638905879800649</v>
      </c>
      <c r="E985" s="307">
        <f t="shared" ca="1" si="444"/>
        <v>-0.74045717457534721</v>
      </c>
      <c r="F985" s="304">
        <f t="shared" ca="1" si="445"/>
        <v>0.92619955308250812</v>
      </c>
      <c r="G985" s="306">
        <f t="shared" ca="1" si="446"/>
        <v>5.9327009147612868</v>
      </c>
      <c r="H985" s="307">
        <f t="shared" ca="1" si="447"/>
        <v>-96.708283499990046</v>
      </c>
      <c r="I985" s="304">
        <f t="shared" ca="1" si="448"/>
        <v>96.890087406599321</v>
      </c>
      <c r="J985" s="306">
        <f t="shared" ca="1" si="449"/>
        <v>588.9746359926213</v>
      </c>
      <c r="K985" s="307">
        <f t="shared" ca="1" si="450"/>
        <v>-13.167233680659116</v>
      </c>
      <c r="L985" s="304">
        <f t="shared" ca="1" si="435"/>
        <v>589.1218022492817</v>
      </c>
      <c r="M985" s="306">
        <f t="shared" ca="1" si="451"/>
        <v>-1.5095267526380693</v>
      </c>
      <c r="N985" s="304">
        <f t="shared" ca="1" si="452"/>
        <v>-86.489511988249987</v>
      </c>
      <c r="P985" s="310">
        <f t="shared" ca="1" si="453"/>
        <v>23</v>
      </c>
      <c r="Q985" s="304">
        <f t="shared" ca="1" si="454"/>
        <v>0</v>
      </c>
      <c r="R985" s="306">
        <f t="shared" ca="1" si="455"/>
        <v>0</v>
      </c>
      <c r="S985" s="307">
        <f t="shared" ca="1" si="456"/>
        <v>2.5949999999999998</v>
      </c>
      <c r="T985" s="304">
        <f t="shared" ca="1" si="436"/>
        <v>25.456949999999999</v>
      </c>
      <c r="U985" s="311">
        <f t="shared" ca="1" si="437"/>
        <v>0</v>
      </c>
      <c r="V985" s="306">
        <f t="shared" ca="1" si="438"/>
        <v>1.2266140487537363</v>
      </c>
      <c r="W985" s="304">
        <f t="shared" ca="1" si="439"/>
        <v>23.57976645279528</v>
      </c>
      <c r="Y985" s="314" t="str">
        <f t="shared" ca="1" si="457"/>
        <v/>
      </c>
      <c r="Z985" s="315" t="str">
        <f t="shared" ca="1" si="458"/>
        <v/>
      </c>
      <c r="AA985" s="316" t="str">
        <f t="shared" ca="1" si="459"/>
        <v/>
      </c>
      <c r="AC985" s="310" t="e">
        <f t="shared" ca="1" si="460"/>
        <v>#N/A</v>
      </c>
      <c r="AD985" s="323" t="e">
        <f t="shared" ca="1" si="461"/>
        <v>#N/A</v>
      </c>
      <c r="AE985" s="324" t="e">
        <f t="shared" ca="1" si="440"/>
        <v>#N/A</v>
      </c>
      <c r="AG985" s="306">
        <f t="shared" ca="1" si="462"/>
        <v>0.70499901720081404</v>
      </c>
      <c r="AH985" s="304">
        <f t="shared" ca="1" si="463"/>
        <v>-9.0865931925536287</v>
      </c>
    </row>
    <row r="986" spans="1:34" x14ac:dyDescent="0.2">
      <c r="A986" s="347">
        <f t="shared" ca="1" si="441"/>
        <v>1E-4</v>
      </c>
      <c r="B986" s="304">
        <f t="shared" ca="1" si="442"/>
        <v>32.559900000002159</v>
      </c>
      <c r="D986" s="306">
        <f t="shared" ca="1" si="443"/>
        <v>-0.55638478374991929</v>
      </c>
      <c r="E986" s="307">
        <f t="shared" ca="1" si="444"/>
        <v>-0.74043486010065429</v>
      </c>
      <c r="F986" s="304">
        <f t="shared" ca="1" si="445"/>
        <v>0.92617914554405723</v>
      </c>
      <c r="G986" s="306">
        <f t="shared" ca="1" si="446"/>
        <v>5.9326452762829121</v>
      </c>
      <c r="H986" s="307">
        <f t="shared" ca="1" si="447"/>
        <v>-96.708357543476055</v>
      </c>
      <c r="I986" s="304">
        <f t="shared" ca="1" si="448"/>
        <v>96.890157904355817</v>
      </c>
      <c r="J986" s="306">
        <f t="shared" ca="1" si="449"/>
        <v>588.9746359926213</v>
      </c>
      <c r="K986" s="307">
        <f t="shared" ca="1" si="450"/>
        <v>-13.176904512711289</v>
      </c>
      <c r="L986" s="304">
        <f t="shared" ca="1" si="435"/>
        <v>589.12201847764766</v>
      </c>
      <c r="M986" s="306">
        <f t="shared" ca="1" si="451"/>
        <v>-1.5095273725963294</v>
      </c>
      <c r="N986" s="304">
        <f t="shared" ca="1" si="452"/>
        <v>-86.48954750924176</v>
      </c>
      <c r="P986" s="310">
        <f t="shared" ca="1" si="453"/>
        <v>23</v>
      </c>
      <c r="Q986" s="304">
        <f t="shared" ca="1" si="454"/>
        <v>0</v>
      </c>
      <c r="R986" s="306">
        <f t="shared" ca="1" si="455"/>
        <v>0</v>
      </c>
      <c r="S986" s="307">
        <f t="shared" ca="1" si="456"/>
        <v>2.5949999999999998</v>
      </c>
      <c r="T986" s="304">
        <f t="shared" ca="1" si="436"/>
        <v>25.456949999999999</v>
      </c>
      <c r="U986" s="311">
        <f t="shared" ca="1" si="437"/>
        <v>0</v>
      </c>
      <c r="V986" s="306">
        <f t="shared" ca="1" si="438"/>
        <v>1.2266152349926704</v>
      </c>
      <c r="W986" s="304">
        <f t="shared" ca="1" si="439"/>
        <v>23.579823569991564</v>
      </c>
      <c r="Y986" s="314" t="str">
        <f t="shared" ca="1" si="457"/>
        <v/>
      </c>
      <c r="Z986" s="315" t="str">
        <f t="shared" ca="1" si="458"/>
        <v/>
      </c>
      <c r="AA986" s="316" t="str">
        <f t="shared" ca="1" si="459"/>
        <v/>
      </c>
      <c r="AC986" s="310" t="e">
        <f t="shared" ca="1" si="460"/>
        <v>#N/A</v>
      </c>
      <c r="AD986" s="323" t="e">
        <f t="shared" ca="1" si="461"/>
        <v>#N/A</v>
      </c>
      <c r="AE986" s="324" t="e">
        <f t="shared" ca="1" si="440"/>
        <v>#N/A</v>
      </c>
      <c r="AG986" s="306">
        <f t="shared" ca="1" si="462"/>
        <v>0.704977378766662</v>
      </c>
      <c r="AH986" s="304">
        <f t="shared" ca="1" si="463"/>
        <v>-9.0866152033893179</v>
      </c>
    </row>
    <row r="987" spans="1:34" x14ac:dyDescent="0.2">
      <c r="A987" s="347">
        <f t="shared" ca="1" si="441"/>
        <v>1E-4</v>
      </c>
      <c r="B987" s="304">
        <f t="shared" ca="1" si="442"/>
        <v>32.560000000002162</v>
      </c>
      <c r="D987" s="306">
        <f t="shared" ca="1" si="443"/>
        <v>-0.55638050871353173</v>
      </c>
      <c r="E987" s="307">
        <f t="shared" ca="1" si="444"/>
        <v>-0.74041254598627049</v>
      </c>
      <c r="F987" s="304">
        <f t="shared" ca="1" si="445"/>
        <v>0.92615873840837859</v>
      </c>
      <c r="G987" s="306">
        <f t="shared" ca="1" si="446"/>
        <v>5.9325896382320407</v>
      </c>
      <c r="H987" s="307">
        <f t="shared" ca="1" si="447"/>
        <v>-96.708431584730647</v>
      </c>
      <c r="I987" s="304">
        <f t="shared" ca="1" si="448"/>
        <v>96.890228399948498</v>
      </c>
      <c r="J987" s="306">
        <f t="shared" ca="1" si="449"/>
        <v>588.9746359926213</v>
      </c>
      <c r="K987" s="307">
        <f t="shared" ca="1" si="450"/>
        <v>-13.186575352167699</v>
      </c>
      <c r="L987" s="304">
        <f t="shared" ca="1" si="435"/>
        <v>589.12223486485311</v>
      </c>
      <c r="M987" s="306">
        <f t="shared" ca="1" si="451"/>
        <v>-1.5095279925478733</v>
      </c>
      <c r="N987" s="304">
        <f t="shared" ca="1" si="452"/>
        <v>-86.489583029848717</v>
      </c>
      <c r="P987" s="310">
        <f t="shared" ca="1" si="453"/>
        <v>23</v>
      </c>
      <c r="Q987" s="304">
        <f t="shared" ca="1" si="454"/>
        <v>0</v>
      </c>
      <c r="R987" s="306">
        <f t="shared" ca="1" si="455"/>
        <v>0</v>
      </c>
      <c r="S987" s="307">
        <f t="shared" ca="1" si="456"/>
        <v>2.5949999999999998</v>
      </c>
      <c r="T987" s="304">
        <f t="shared" ca="1" si="436"/>
        <v>25.456949999999999</v>
      </c>
      <c r="U987" s="311">
        <f t="shared" ca="1" si="437"/>
        <v>0</v>
      </c>
      <c r="V987" s="306">
        <f t="shared" ca="1" si="438"/>
        <v>1.2266164212336605</v>
      </c>
      <c r="W987" s="304">
        <f t="shared" ca="1" si="439"/>
        <v>23.579880686265501</v>
      </c>
      <c r="Y987" s="314" t="str">
        <f t="shared" ca="1" si="457"/>
        <v/>
      </c>
      <c r="Z987" s="315" t="str">
        <f t="shared" ca="1" si="458"/>
        <v/>
      </c>
      <c r="AA987" s="316" t="str">
        <f t="shared" ca="1" si="459"/>
        <v/>
      </c>
      <c r="AC987" s="310" t="e">
        <f t="shared" ca="1" si="460"/>
        <v>#N/A</v>
      </c>
      <c r="AD987" s="323" t="e">
        <f t="shared" ca="1" si="461"/>
        <v>#N/A</v>
      </c>
      <c r="AE987" s="324" t="e">
        <f t="shared" ca="1" si="440"/>
        <v>#N/A</v>
      </c>
      <c r="AG987" s="306">
        <f t="shared" ca="1" si="462"/>
        <v>0.70495574068013589</v>
      </c>
      <c r="AH987" s="304">
        <f t="shared" ca="1" si="463"/>
        <v>-9.086637213869583</v>
      </c>
    </row>
    <row r="988" spans="1:34" x14ac:dyDescent="0.2">
      <c r="A988" s="347">
        <f t="shared" ca="1" si="441"/>
        <v>1E-4</v>
      </c>
      <c r="B988" s="304">
        <f t="shared" ca="1" si="442"/>
        <v>32.560100000002166</v>
      </c>
      <c r="D988" s="306">
        <f t="shared" ca="1" si="443"/>
        <v>-0.55637623368884026</v>
      </c>
      <c r="E988" s="307">
        <f t="shared" ca="1" si="444"/>
        <v>-0.74039023223220646</v>
      </c>
      <c r="F988" s="304">
        <f t="shared" ca="1" si="445"/>
        <v>0.9261383316754791</v>
      </c>
      <c r="G988" s="306">
        <f t="shared" ca="1" si="446"/>
        <v>5.9325340006086718</v>
      </c>
      <c r="H988" s="307">
        <f t="shared" ca="1" si="447"/>
        <v>-96.708505623753865</v>
      </c>
      <c r="I988" s="304">
        <f t="shared" ca="1" si="448"/>
        <v>96.890298893377405</v>
      </c>
      <c r="J988" s="306">
        <f t="shared" ca="1" si="449"/>
        <v>588.9746359926213</v>
      </c>
      <c r="K988" s="307">
        <f t="shared" ca="1" si="450"/>
        <v>-13.196246199028122</v>
      </c>
      <c r="L988" s="304">
        <f t="shared" ca="1" si="435"/>
        <v>589.12245141089818</v>
      </c>
      <c r="M988" s="306">
        <f t="shared" ca="1" si="451"/>
        <v>-1.509528612492701</v>
      </c>
      <c r="N988" s="304">
        <f t="shared" ca="1" si="452"/>
        <v>-86.489618550070887</v>
      </c>
      <c r="P988" s="310">
        <f t="shared" ca="1" si="453"/>
        <v>23</v>
      </c>
      <c r="Q988" s="304">
        <f t="shared" ca="1" si="454"/>
        <v>0</v>
      </c>
      <c r="R988" s="306">
        <f t="shared" ca="1" si="455"/>
        <v>0</v>
      </c>
      <c r="S988" s="307">
        <f t="shared" ca="1" si="456"/>
        <v>2.5949999999999998</v>
      </c>
      <c r="T988" s="304">
        <f t="shared" ca="1" si="436"/>
        <v>25.456949999999999</v>
      </c>
      <c r="U988" s="311">
        <f t="shared" ca="1" si="437"/>
        <v>0</v>
      </c>
      <c r="V988" s="306">
        <f t="shared" ca="1" si="438"/>
        <v>1.226617607476707</v>
      </c>
      <c r="W988" s="304">
        <f t="shared" ca="1" si="439"/>
        <v>23.579937801617113</v>
      </c>
      <c r="Y988" s="314" t="str">
        <f t="shared" ca="1" si="457"/>
        <v/>
      </c>
      <c r="Z988" s="315" t="str">
        <f t="shared" ca="1" si="458"/>
        <v/>
      </c>
      <c r="AA988" s="316" t="str">
        <f t="shared" ca="1" si="459"/>
        <v/>
      </c>
      <c r="AC988" s="310" t="e">
        <f t="shared" ca="1" si="460"/>
        <v>#N/A</v>
      </c>
      <c r="AD988" s="323" t="e">
        <f t="shared" ca="1" si="461"/>
        <v>#N/A</v>
      </c>
      <c r="AE988" s="324" t="e">
        <f t="shared" ca="1" si="440"/>
        <v>#N/A</v>
      </c>
      <c r="AG988" s="306">
        <f t="shared" ca="1" si="462"/>
        <v>0.70493410294124637</v>
      </c>
      <c r="AH988" s="304">
        <f t="shared" ca="1" si="463"/>
        <v>-9.0866592239944133</v>
      </c>
    </row>
    <row r="989" spans="1:34" x14ac:dyDescent="0.2">
      <c r="A989" s="347">
        <f t="shared" ca="1" si="441"/>
        <v>1E-4</v>
      </c>
      <c r="B989" s="304">
        <f t="shared" ca="1" si="442"/>
        <v>32.560200000002169</v>
      </c>
      <c r="D989" s="306">
        <f t="shared" ca="1" si="443"/>
        <v>-0.55637195867584677</v>
      </c>
      <c r="E989" s="307">
        <f t="shared" ca="1" si="444"/>
        <v>-0.74036791883844977</v>
      </c>
      <c r="F989" s="304">
        <f t="shared" ca="1" si="445"/>
        <v>0.92611792534535009</v>
      </c>
      <c r="G989" s="306">
        <f t="shared" ca="1" si="446"/>
        <v>5.9324783634128044</v>
      </c>
      <c r="H989" s="307">
        <f t="shared" ca="1" si="447"/>
        <v>-96.708579660545752</v>
      </c>
      <c r="I989" s="304">
        <f t="shared" ca="1" si="448"/>
        <v>96.890369384642582</v>
      </c>
      <c r="J989" s="306">
        <f t="shared" ca="1" si="449"/>
        <v>588.9746359926213</v>
      </c>
      <c r="K989" s="307">
        <f t="shared" ca="1" si="450"/>
        <v>-13.205917053292337</v>
      </c>
      <c r="L989" s="304">
        <f t="shared" ca="1" si="435"/>
        <v>589.1226681157832</v>
      </c>
      <c r="M989" s="306">
        <f t="shared" ca="1" si="451"/>
        <v>-1.5095292324308125</v>
      </c>
      <c r="N989" s="304">
        <f t="shared" ca="1" si="452"/>
        <v>-86.489654069908227</v>
      </c>
      <c r="P989" s="310">
        <f t="shared" ca="1" si="453"/>
        <v>23</v>
      </c>
      <c r="Q989" s="304">
        <f t="shared" ca="1" si="454"/>
        <v>0</v>
      </c>
      <c r="R989" s="306">
        <f t="shared" ca="1" si="455"/>
        <v>0</v>
      </c>
      <c r="S989" s="307">
        <f t="shared" ca="1" si="456"/>
        <v>2.5949999999999998</v>
      </c>
      <c r="T989" s="304">
        <f t="shared" ca="1" si="436"/>
        <v>25.456949999999999</v>
      </c>
      <c r="U989" s="311">
        <f t="shared" ca="1" si="437"/>
        <v>0</v>
      </c>
      <c r="V989" s="306">
        <f t="shared" ca="1" si="438"/>
        <v>1.2266187937218094</v>
      </c>
      <c r="W989" s="304">
        <f t="shared" ca="1" si="439"/>
        <v>23.579994916046424</v>
      </c>
      <c r="Y989" s="314" t="str">
        <f t="shared" ca="1" si="457"/>
        <v/>
      </c>
      <c r="Z989" s="315" t="str">
        <f t="shared" ca="1" si="458"/>
        <v/>
      </c>
      <c r="AA989" s="316" t="str">
        <f t="shared" ca="1" si="459"/>
        <v/>
      </c>
      <c r="AC989" s="310" t="e">
        <f t="shared" ca="1" si="460"/>
        <v>#N/A</v>
      </c>
      <c r="AD989" s="323" t="e">
        <f t="shared" ca="1" si="461"/>
        <v>#N/A</v>
      </c>
      <c r="AE989" s="324" t="e">
        <f t="shared" ca="1" si="440"/>
        <v>#N/A</v>
      </c>
      <c r="AG989" s="306">
        <f t="shared" ca="1" si="462"/>
        <v>0.70491246554998455</v>
      </c>
      <c r="AH989" s="304">
        <f t="shared" ca="1" si="463"/>
        <v>-9.0866812337638212</v>
      </c>
    </row>
    <row r="990" spans="1:34" x14ac:dyDescent="0.2">
      <c r="A990" s="347">
        <f t="shared" ca="1" si="441"/>
        <v>1E-4</v>
      </c>
      <c r="B990" s="304">
        <f t="shared" ca="1" si="442"/>
        <v>32.560300000002172</v>
      </c>
      <c r="D990" s="306">
        <f t="shared" ca="1" si="443"/>
        <v>-0.55636768367455269</v>
      </c>
      <c r="E990" s="307">
        <f t="shared" ca="1" si="444"/>
        <v>-0.74034560580499331</v>
      </c>
      <c r="F990" s="304">
        <f t="shared" ca="1" si="445"/>
        <v>0.92609751941798746</v>
      </c>
      <c r="G990" s="306">
        <f t="shared" ca="1" si="446"/>
        <v>5.9324227266444369</v>
      </c>
      <c r="H990" s="307">
        <f t="shared" ca="1" si="447"/>
        <v>-96.708653695106335</v>
      </c>
      <c r="I990" s="304">
        <f t="shared" ca="1" si="448"/>
        <v>96.890439873744057</v>
      </c>
      <c r="J990" s="306">
        <f t="shared" ca="1" si="449"/>
        <v>588.9746359926213</v>
      </c>
      <c r="K990" s="307">
        <f t="shared" ca="1" si="450"/>
        <v>-13.215587914960119</v>
      </c>
      <c r="L990" s="304">
        <f t="shared" ca="1" si="435"/>
        <v>589.12288497950817</v>
      </c>
      <c r="M990" s="306">
        <f t="shared" ca="1" si="451"/>
        <v>-1.509529852362208</v>
      </c>
      <c r="N990" s="304">
        <f t="shared" ca="1" si="452"/>
        <v>-86.489689589360779</v>
      </c>
      <c r="P990" s="310">
        <f t="shared" ca="1" si="453"/>
        <v>23</v>
      </c>
      <c r="Q990" s="304">
        <f t="shared" ca="1" si="454"/>
        <v>0</v>
      </c>
      <c r="R990" s="306">
        <f t="shared" ca="1" si="455"/>
        <v>0</v>
      </c>
      <c r="S990" s="307">
        <f t="shared" ca="1" si="456"/>
        <v>2.5949999999999998</v>
      </c>
      <c r="T990" s="304">
        <f t="shared" ca="1" si="436"/>
        <v>25.456949999999999</v>
      </c>
      <c r="U990" s="311">
        <f t="shared" ca="1" si="437"/>
        <v>0</v>
      </c>
      <c r="V990" s="306">
        <f t="shared" ca="1" si="438"/>
        <v>1.2266199799689679</v>
      </c>
      <c r="W990" s="304">
        <f t="shared" ca="1" si="439"/>
        <v>23.580052029553425</v>
      </c>
      <c r="Y990" s="314" t="str">
        <f t="shared" ca="1" si="457"/>
        <v/>
      </c>
      <c r="Z990" s="315" t="str">
        <f t="shared" ca="1" si="458"/>
        <v/>
      </c>
      <c r="AA990" s="316" t="str">
        <f t="shared" ca="1" si="459"/>
        <v/>
      </c>
      <c r="AC990" s="310" t="e">
        <f t="shared" ca="1" si="460"/>
        <v>#N/A</v>
      </c>
      <c r="AD990" s="323" t="e">
        <f t="shared" ca="1" si="461"/>
        <v>#N/A</v>
      </c>
      <c r="AE990" s="324" t="e">
        <f t="shared" ca="1" si="440"/>
        <v>#N/A</v>
      </c>
      <c r="AG990" s="306">
        <f t="shared" ca="1" si="462"/>
        <v>0.704890828506338</v>
      </c>
      <c r="AH990" s="304">
        <f t="shared" ca="1" si="463"/>
        <v>-9.0867032431778139</v>
      </c>
    </row>
    <row r="991" spans="1:34" x14ac:dyDescent="0.2">
      <c r="A991" s="347">
        <f t="shared" ca="1" si="441"/>
        <v>1E-4</v>
      </c>
      <c r="B991" s="304">
        <f t="shared" ca="1" si="442"/>
        <v>32.560400000002176</v>
      </c>
      <c r="D991" s="306">
        <f t="shared" ca="1" si="443"/>
        <v>-0.55636340868495715</v>
      </c>
      <c r="E991" s="307">
        <f t="shared" ca="1" si="444"/>
        <v>-0.74032329313183887</v>
      </c>
      <c r="F991" s="304">
        <f t="shared" ca="1" si="445"/>
        <v>0.92607711389339242</v>
      </c>
      <c r="G991" s="306">
        <f t="shared" ca="1" si="446"/>
        <v>5.9323670903035683</v>
      </c>
      <c r="H991" s="307">
        <f t="shared" ca="1" si="447"/>
        <v>-96.708727727435644</v>
      </c>
      <c r="I991" s="304">
        <f t="shared" ca="1" si="448"/>
        <v>96.890510360681859</v>
      </c>
      <c r="J991" s="306">
        <f t="shared" ca="1" si="449"/>
        <v>588.9746359926213</v>
      </c>
      <c r="K991" s="307">
        <f t="shared" ca="1" si="450"/>
        <v>-13.225258784031247</v>
      </c>
      <c r="L991" s="304">
        <f t="shared" ca="1" si="435"/>
        <v>589.12310200207332</v>
      </c>
      <c r="M991" s="306">
        <f t="shared" ca="1" si="451"/>
        <v>-1.5095304722868879</v>
      </c>
      <c r="N991" s="304">
        <f t="shared" ca="1" si="452"/>
        <v>-86.489725108428559</v>
      </c>
      <c r="P991" s="310">
        <f t="shared" ca="1" si="453"/>
        <v>23</v>
      </c>
      <c r="Q991" s="304">
        <f t="shared" ca="1" si="454"/>
        <v>0</v>
      </c>
      <c r="R991" s="306">
        <f t="shared" ca="1" si="455"/>
        <v>0</v>
      </c>
      <c r="S991" s="307">
        <f t="shared" ca="1" si="456"/>
        <v>2.5949999999999998</v>
      </c>
      <c r="T991" s="304">
        <f t="shared" ca="1" si="436"/>
        <v>25.456949999999999</v>
      </c>
      <c r="U991" s="311">
        <f t="shared" ca="1" si="437"/>
        <v>0</v>
      </c>
      <c r="V991" s="306">
        <f t="shared" ca="1" si="438"/>
        <v>1.2266211662181823</v>
      </c>
      <c r="W991" s="304">
        <f t="shared" ca="1" si="439"/>
        <v>23.580109142138127</v>
      </c>
      <c r="Y991" s="314" t="str">
        <f t="shared" ca="1" si="457"/>
        <v/>
      </c>
      <c r="Z991" s="315" t="str">
        <f t="shared" ca="1" si="458"/>
        <v/>
      </c>
      <c r="AA991" s="316" t="str">
        <f t="shared" ca="1" si="459"/>
        <v/>
      </c>
      <c r="AC991" s="310" t="e">
        <f t="shared" ca="1" si="460"/>
        <v>#N/A</v>
      </c>
      <c r="AD991" s="323" t="e">
        <f t="shared" ca="1" si="461"/>
        <v>#N/A</v>
      </c>
      <c r="AE991" s="324" t="e">
        <f t="shared" ca="1" si="440"/>
        <v>#N/A</v>
      </c>
      <c r="AG991" s="306">
        <f t="shared" ca="1" si="462"/>
        <v>0.70486919181031382</v>
      </c>
      <c r="AH991" s="304">
        <f t="shared" ca="1" si="463"/>
        <v>-9.0867252522363877</v>
      </c>
    </row>
    <row r="992" spans="1:34" x14ac:dyDescent="0.2">
      <c r="A992" s="347">
        <f t="shared" ca="1" si="441"/>
        <v>1E-4</v>
      </c>
      <c r="B992" s="304">
        <f t="shared" ca="1" si="442"/>
        <v>32.560500000002179</v>
      </c>
      <c r="D992" s="306">
        <f t="shared" ca="1" si="443"/>
        <v>-0.55635913370705925</v>
      </c>
      <c r="E992" s="307">
        <f t="shared" ca="1" si="444"/>
        <v>-0.74030098081898288</v>
      </c>
      <c r="F992" s="304">
        <f t="shared" ca="1" si="445"/>
        <v>0.92605670877156199</v>
      </c>
      <c r="G992" s="306">
        <f t="shared" ca="1" si="446"/>
        <v>5.9323114543901978</v>
      </c>
      <c r="H992" s="307">
        <f t="shared" ca="1" si="447"/>
        <v>-96.70880175753372</v>
      </c>
      <c r="I992" s="304">
        <f t="shared" ca="1" si="448"/>
        <v>96.890580845456</v>
      </c>
      <c r="J992" s="306">
        <f t="shared" ca="1" si="449"/>
        <v>588.9746359926213</v>
      </c>
      <c r="K992" s="307">
        <f t="shared" ca="1" si="450"/>
        <v>-13.234929660505495</v>
      </c>
      <c r="L992" s="304">
        <f t="shared" ca="1" si="435"/>
        <v>589.123319183479</v>
      </c>
      <c r="M992" s="306">
        <f t="shared" ca="1" si="451"/>
        <v>-1.5095310922048517</v>
      </c>
      <c r="N992" s="304">
        <f t="shared" ca="1" si="452"/>
        <v>-86.489760627111522</v>
      </c>
      <c r="P992" s="310">
        <f t="shared" ca="1" si="453"/>
        <v>23</v>
      </c>
      <c r="Q992" s="304">
        <f t="shared" ca="1" si="454"/>
        <v>0</v>
      </c>
      <c r="R992" s="306">
        <f t="shared" ca="1" si="455"/>
        <v>0</v>
      </c>
      <c r="S992" s="307">
        <f t="shared" ca="1" si="456"/>
        <v>2.5949999999999998</v>
      </c>
      <c r="T992" s="304">
        <f t="shared" ca="1" si="436"/>
        <v>25.456949999999999</v>
      </c>
      <c r="U992" s="311">
        <f t="shared" ca="1" si="437"/>
        <v>0</v>
      </c>
      <c r="V992" s="306">
        <f t="shared" ca="1" si="438"/>
        <v>1.2266223524694528</v>
      </c>
      <c r="W992" s="304">
        <f t="shared" ca="1" si="439"/>
        <v>23.580166253800538</v>
      </c>
      <c r="Y992" s="314" t="str">
        <f t="shared" ca="1" si="457"/>
        <v/>
      </c>
      <c r="Z992" s="315" t="str">
        <f t="shared" ca="1" si="458"/>
        <v/>
      </c>
      <c r="AA992" s="316" t="str">
        <f t="shared" ca="1" si="459"/>
        <v/>
      </c>
      <c r="AC992" s="310" t="e">
        <f t="shared" ca="1" si="460"/>
        <v>#N/A</v>
      </c>
      <c r="AD992" s="323" t="e">
        <f t="shared" ca="1" si="461"/>
        <v>#N/A</v>
      </c>
      <c r="AE992" s="324" t="e">
        <f t="shared" ca="1" si="440"/>
        <v>#N/A</v>
      </c>
      <c r="AG992" s="306">
        <f t="shared" ca="1" si="462"/>
        <v>0.70484755546190492</v>
      </c>
      <c r="AH992" s="304">
        <f t="shared" ca="1" si="463"/>
        <v>-9.0867472609395481</v>
      </c>
    </row>
    <row r="993" spans="1:34" x14ac:dyDescent="0.2">
      <c r="A993" s="347">
        <f t="shared" ca="1" si="441"/>
        <v>1E-4</v>
      </c>
      <c r="B993" s="304">
        <f t="shared" ca="1" si="442"/>
        <v>32.560600000002182</v>
      </c>
      <c r="D993" s="306">
        <f t="shared" ca="1" si="443"/>
        <v>-0.55635485874086266</v>
      </c>
      <c r="E993" s="307">
        <f t="shared" ca="1" si="444"/>
        <v>-0.7402786688664218</v>
      </c>
      <c r="F993" s="304">
        <f t="shared" ca="1" si="445"/>
        <v>0.92603630405249593</v>
      </c>
      <c r="G993" s="306">
        <f t="shared" ca="1" si="446"/>
        <v>5.9322558189043235</v>
      </c>
      <c r="H993" s="307">
        <f t="shared" ca="1" si="447"/>
        <v>-96.708875785400608</v>
      </c>
      <c r="I993" s="304">
        <f t="shared" ca="1" si="448"/>
        <v>96.890651328066568</v>
      </c>
      <c r="J993" s="306">
        <f t="shared" ca="1" si="449"/>
        <v>588.9746359926213</v>
      </c>
      <c r="K993" s="307">
        <f t="shared" ca="1" si="450"/>
        <v>-13.244600544382642</v>
      </c>
      <c r="L993" s="304">
        <f t="shared" ca="1" si="435"/>
        <v>589.12353652372519</v>
      </c>
      <c r="M993" s="306">
        <f t="shared" ca="1" si="451"/>
        <v>-1.5095317121160998</v>
      </c>
      <c r="N993" s="304">
        <f t="shared" ca="1" si="452"/>
        <v>-86.489796145409713</v>
      </c>
      <c r="P993" s="310">
        <f t="shared" ca="1" si="453"/>
        <v>23</v>
      </c>
      <c r="Q993" s="304">
        <f t="shared" ca="1" si="454"/>
        <v>0</v>
      </c>
      <c r="R993" s="306">
        <f t="shared" ca="1" si="455"/>
        <v>0</v>
      </c>
      <c r="S993" s="307">
        <f t="shared" ca="1" si="456"/>
        <v>2.5949999999999998</v>
      </c>
      <c r="T993" s="304">
        <f t="shared" ca="1" si="436"/>
        <v>25.456949999999999</v>
      </c>
      <c r="U993" s="311">
        <f t="shared" ca="1" si="437"/>
        <v>0</v>
      </c>
      <c r="V993" s="306">
        <f t="shared" ca="1" si="438"/>
        <v>1.2266235387227795</v>
      </c>
      <c r="W993" s="304">
        <f t="shared" ca="1" si="439"/>
        <v>23.5802233645407</v>
      </c>
      <c r="Y993" s="314" t="str">
        <f t="shared" ca="1" si="457"/>
        <v/>
      </c>
      <c r="Z993" s="315" t="str">
        <f t="shared" ca="1" si="458"/>
        <v/>
      </c>
      <c r="AA993" s="316" t="str">
        <f t="shared" ca="1" si="459"/>
        <v/>
      </c>
      <c r="AC993" s="310" t="e">
        <f t="shared" ca="1" si="460"/>
        <v>#N/A</v>
      </c>
      <c r="AD993" s="323" t="e">
        <f t="shared" ca="1" si="461"/>
        <v>#N/A</v>
      </c>
      <c r="AE993" s="324" t="e">
        <f t="shared" ca="1" si="440"/>
        <v>#N/A</v>
      </c>
      <c r="AG993" s="306">
        <f t="shared" ca="1" si="462"/>
        <v>0.70482591946111128</v>
      </c>
      <c r="AH993" s="304">
        <f t="shared" ca="1" si="463"/>
        <v>-9.0867692692872986</v>
      </c>
    </row>
    <row r="994" spans="1:34" x14ac:dyDescent="0.2">
      <c r="A994" s="347">
        <f t="shared" ca="1" si="441"/>
        <v>1E-4</v>
      </c>
      <c r="B994" s="304">
        <f t="shared" ca="1" si="442"/>
        <v>32.560700000002186</v>
      </c>
      <c r="D994" s="306">
        <f t="shared" ca="1" si="443"/>
        <v>-0.55635058378636715</v>
      </c>
      <c r="E994" s="307">
        <f t="shared" ca="1" si="444"/>
        <v>-0.74025635727413963</v>
      </c>
      <c r="F994" s="304">
        <f t="shared" ca="1" si="445"/>
        <v>0.92601589973618181</v>
      </c>
      <c r="G994" s="306">
        <f t="shared" ca="1" si="446"/>
        <v>5.9322001838459446</v>
      </c>
      <c r="H994" s="307">
        <f t="shared" ca="1" si="447"/>
        <v>-96.708949811036334</v>
      </c>
      <c r="I994" s="304">
        <f t="shared" ca="1" si="448"/>
        <v>96.890721808513575</v>
      </c>
      <c r="J994" s="306">
        <f t="shared" ca="1" si="449"/>
        <v>588.9746359926213</v>
      </c>
      <c r="K994" s="307">
        <f t="shared" ca="1" si="450"/>
        <v>-13.254271435662464</v>
      </c>
      <c r="L994" s="304">
        <f t="shared" ca="1" si="435"/>
        <v>589.12375402281225</v>
      </c>
      <c r="M994" s="306">
        <f t="shared" ca="1" si="451"/>
        <v>-1.5095323320206322</v>
      </c>
      <c r="N994" s="304">
        <f t="shared" ca="1" si="452"/>
        <v>-86.489831663323116</v>
      </c>
      <c r="P994" s="310">
        <f t="shared" ca="1" si="453"/>
        <v>23</v>
      </c>
      <c r="Q994" s="304">
        <f t="shared" ca="1" si="454"/>
        <v>0</v>
      </c>
      <c r="R994" s="306">
        <f t="shared" ca="1" si="455"/>
        <v>0</v>
      </c>
      <c r="S994" s="307">
        <f t="shared" ca="1" si="456"/>
        <v>2.5949999999999998</v>
      </c>
      <c r="T994" s="304">
        <f t="shared" ca="1" si="436"/>
        <v>25.456949999999999</v>
      </c>
      <c r="U994" s="311">
        <f t="shared" ca="1" si="437"/>
        <v>0</v>
      </c>
      <c r="V994" s="306">
        <f t="shared" ca="1" si="438"/>
        <v>1.2266247249781626</v>
      </c>
      <c r="W994" s="304">
        <f t="shared" ca="1" si="439"/>
        <v>23.580280474358599</v>
      </c>
      <c r="Y994" s="314" t="str">
        <f t="shared" ca="1" si="457"/>
        <v/>
      </c>
      <c r="Z994" s="315" t="str">
        <f t="shared" ca="1" si="458"/>
        <v/>
      </c>
      <c r="AA994" s="316" t="str">
        <f t="shared" ca="1" si="459"/>
        <v/>
      </c>
      <c r="AC994" s="310" t="e">
        <f t="shared" ca="1" si="460"/>
        <v>#N/A</v>
      </c>
      <c r="AD994" s="323" t="e">
        <f t="shared" ca="1" si="461"/>
        <v>#N/A</v>
      </c>
      <c r="AE994" s="324" t="e">
        <f t="shared" ca="1" si="440"/>
        <v>#N/A</v>
      </c>
      <c r="AG994" s="306">
        <f t="shared" ca="1" si="462"/>
        <v>0.70480428380791516</v>
      </c>
      <c r="AH994" s="304">
        <f t="shared" ca="1" si="463"/>
        <v>-9.0867912772796533</v>
      </c>
    </row>
    <row r="995" spans="1:34" x14ac:dyDescent="0.2">
      <c r="A995" s="347">
        <f t="shared" ca="1" si="441"/>
        <v>1E-4</v>
      </c>
      <c r="B995" s="304">
        <f t="shared" ca="1" si="442"/>
        <v>32.560800000002189</v>
      </c>
      <c r="D995" s="306">
        <f t="shared" ca="1" si="443"/>
        <v>-0.55634630884357361</v>
      </c>
      <c r="E995" s="307">
        <f t="shared" ca="1" si="444"/>
        <v>-0.74023404604214171</v>
      </c>
      <c r="F995" s="304">
        <f t="shared" ca="1" si="445"/>
        <v>0.92599549582262475</v>
      </c>
      <c r="G995" s="306">
        <f t="shared" ca="1" si="446"/>
        <v>5.9321445492150602</v>
      </c>
      <c r="H995" s="307">
        <f t="shared" ca="1" si="447"/>
        <v>-96.709023834440941</v>
      </c>
      <c r="I995" s="304">
        <f t="shared" ca="1" si="448"/>
        <v>96.890792286797037</v>
      </c>
      <c r="J995" s="306">
        <f t="shared" ca="1" si="449"/>
        <v>588.9746359926213</v>
      </c>
      <c r="K995" s="307">
        <f t="shared" ca="1" si="450"/>
        <v>-13.263942334344737</v>
      </c>
      <c r="L995" s="304">
        <f t="shared" ca="1" si="435"/>
        <v>589.12397168074017</v>
      </c>
      <c r="M995" s="306">
        <f t="shared" ca="1" si="451"/>
        <v>-1.5095329519184491</v>
      </c>
      <c r="N995" s="304">
        <f t="shared" ca="1" si="452"/>
        <v>-86.489867180851761</v>
      </c>
      <c r="P995" s="310">
        <f t="shared" ca="1" si="453"/>
        <v>23</v>
      </c>
      <c r="Q995" s="304">
        <f t="shared" ca="1" si="454"/>
        <v>0</v>
      </c>
      <c r="R995" s="306">
        <f t="shared" ca="1" si="455"/>
        <v>0</v>
      </c>
      <c r="S995" s="307">
        <f t="shared" ca="1" si="456"/>
        <v>2.5949999999999998</v>
      </c>
      <c r="T995" s="304">
        <f t="shared" ca="1" si="436"/>
        <v>25.456949999999999</v>
      </c>
      <c r="U995" s="311">
        <f t="shared" ca="1" si="437"/>
        <v>0</v>
      </c>
      <c r="V995" s="306">
        <f t="shared" ca="1" si="438"/>
        <v>1.2266259112356011</v>
      </c>
      <c r="W995" s="304">
        <f t="shared" ca="1" si="439"/>
        <v>23.580337583254249</v>
      </c>
      <c r="Y995" s="314" t="str">
        <f t="shared" ca="1" si="457"/>
        <v/>
      </c>
      <c r="Z995" s="315" t="str">
        <f t="shared" ca="1" si="458"/>
        <v/>
      </c>
      <c r="AA995" s="316" t="str">
        <f t="shared" ca="1" si="459"/>
        <v/>
      </c>
      <c r="AC995" s="310" t="e">
        <f t="shared" ca="1" si="460"/>
        <v>#N/A</v>
      </c>
      <c r="AD995" s="323" t="e">
        <f t="shared" ca="1" si="461"/>
        <v>#N/A</v>
      </c>
      <c r="AE995" s="324" t="e">
        <f t="shared" ca="1" si="440"/>
        <v>#N/A</v>
      </c>
      <c r="AG995" s="306">
        <f t="shared" ca="1" si="462"/>
        <v>0.70478264850232364</v>
      </c>
      <c r="AH995" s="304">
        <f t="shared" ca="1" si="463"/>
        <v>-9.0868132849166088</v>
      </c>
    </row>
    <row r="996" spans="1:34" x14ac:dyDescent="0.2">
      <c r="A996" s="347">
        <f t="shared" ca="1" si="441"/>
        <v>1E-4</v>
      </c>
      <c r="B996" s="304">
        <f t="shared" ca="1" si="442"/>
        <v>32.560900000002192</v>
      </c>
      <c r="D996" s="306">
        <f t="shared" ca="1" si="443"/>
        <v>-0.55634203391248149</v>
      </c>
      <c r="E996" s="307">
        <f t="shared" ca="1" si="444"/>
        <v>-0.74021173517042271</v>
      </c>
      <c r="F996" s="304">
        <f t="shared" ca="1" si="445"/>
        <v>0.92597509231182062</v>
      </c>
      <c r="G996" s="306">
        <f t="shared" ca="1" si="446"/>
        <v>5.9320889150116694</v>
      </c>
      <c r="H996" s="307">
        <f t="shared" ca="1" si="447"/>
        <v>-96.709097855614459</v>
      </c>
      <c r="I996" s="304">
        <f t="shared" ca="1" si="448"/>
        <v>96.89086276291701</v>
      </c>
      <c r="J996" s="306">
        <f t="shared" ca="1" si="449"/>
        <v>588.9746359926213</v>
      </c>
      <c r="K996" s="307">
        <f t="shared" ca="1" si="450"/>
        <v>-13.27361324042924</v>
      </c>
      <c r="L996" s="304">
        <f t="shared" ca="1" si="435"/>
        <v>589.12418949750929</v>
      </c>
      <c r="M996" s="306">
        <f t="shared" ca="1" si="451"/>
        <v>-1.5095335718095506</v>
      </c>
      <c r="N996" s="304">
        <f t="shared" ca="1" si="452"/>
        <v>-86.489902697995632</v>
      </c>
      <c r="P996" s="310">
        <f t="shared" ca="1" si="453"/>
        <v>23</v>
      </c>
      <c r="Q996" s="304">
        <f t="shared" ca="1" si="454"/>
        <v>0</v>
      </c>
      <c r="R996" s="306">
        <f t="shared" ca="1" si="455"/>
        <v>0</v>
      </c>
      <c r="S996" s="307">
        <f t="shared" ca="1" si="456"/>
        <v>2.5949999999999998</v>
      </c>
      <c r="T996" s="304">
        <f t="shared" ca="1" si="436"/>
        <v>25.456949999999999</v>
      </c>
      <c r="U996" s="311">
        <f t="shared" ca="1" si="437"/>
        <v>0</v>
      </c>
      <c r="V996" s="306">
        <f t="shared" ca="1" si="438"/>
        <v>1.2266270974950952</v>
      </c>
      <c r="W996" s="304">
        <f t="shared" ca="1" si="439"/>
        <v>23.58039469122766</v>
      </c>
      <c r="Y996" s="314" t="str">
        <f t="shared" ca="1" si="457"/>
        <v/>
      </c>
      <c r="Z996" s="315" t="str">
        <f t="shared" ca="1" si="458"/>
        <v/>
      </c>
      <c r="AA996" s="316" t="str">
        <f t="shared" ca="1" si="459"/>
        <v/>
      </c>
      <c r="AC996" s="310" t="e">
        <f t="shared" ca="1" si="460"/>
        <v>#N/A</v>
      </c>
      <c r="AD996" s="323" t="e">
        <f t="shared" ca="1" si="461"/>
        <v>#N/A</v>
      </c>
      <c r="AE996" s="324" t="e">
        <f t="shared" ca="1" si="440"/>
        <v>#N/A</v>
      </c>
      <c r="AG996" s="306">
        <f t="shared" ca="1" si="462"/>
        <v>0.70476101354432963</v>
      </c>
      <c r="AH996" s="304">
        <f t="shared" ca="1" si="463"/>
        <v>-9.0868352921981703</v>
      </c>
    </row>
    <row r="997" spans="1:34" x14ac:dyDescent="0.2">
      <c r="A997" s="347">
        <f t="shared" ca="1" si="441"/>
        <v>1E-4</v>
      </c>
      <c r="B997" s="304">
        <f t="shared" ca="1" si="442"/>
        <v>32.561000000002196</v>
      </c>
      <c r="D997" s="306">
        <f t="shared" ca="1" si="443"/>
        <v>-0.55633775899309001</v>
      </c>
      <c r="E997" s="307">
        <f t="shared" ca="1" si="444"/>
        <v>-0.74018942465897908</v>
      </c>
      <c r="F997" s="304">
        <f t="shared" ca="1" si="445"/>
        <v>0.92595468920376656</v>
      </c>
      <c r="G997" s="306">
        <f t="shared" ca="1" si="446"/>
        <v>5.9320332812357703</v>
      </c>
      <c r="H997" s="307">
        <f t="shared" ca="1" si="447"/>
        <v>-96.70917187455693</v>
      </c>
      <c r="I997" s="304">
        <f t="shared" ca="1" si="448"/>
        <v>96.890933236873522</v>
      </c>
      <c r="J997" s="306">
        <f t="shared" ca="1" si="449"/>
        <v>588.9746359926213</v>
      </c>
      <c r="K997" s="307">
        <f t="shared" ca="1" si="450"/>
        <v>-13.28328415391575</v>
      </c>
      <c r="L997" s="304">
        <f t="shared" ca="1" si="435"/>
        <v>589.12440747311973</v>
      </c>
      <c r="M997" s="306">
        <f t="shared" ca="1" si="451"/>
        <v>-1.5095341916939367</v>
      </c>
      <c r="N997" s="304">
        <f t="shared" ca="1" si="452"/>
        <v>-86.489938214754744</v>
      </c>
      <c r="P997" s="310">
        <f t="shared" ca="1" si="453"/>
        <v>23</v>
      </c>
      <c r="Q997" s="304">
        <f t="shared" ca="1" si="454"/>
        <v>0</v>
      </c>
      <c r="R997" s="306">
        <f t="shared" ca="1" si="455"/>
        <v>0</v>
      </c>
      <c r="S997" s="307">
        <f t="shared" ca="1" si="456"/>
        <v>2.5949999999999998</v>
      </c>
      <c r="T997" s="304">
        <f t="shared" ca="1" si="436"/>
        <v>25.456949999999999</v>
      </c>
      <c r="U997" s="311">
        <f t="shared" ca="1" si="437"/>
        <v>0</v>
      </c>
      <c r="V997" s="306">
        <f t="shared" ca="1" si="438"/>
        <v>1.226628283756646</v>
      </c>
      <c r="W997" s="304">
        <f t="shared" ca="1" si="439"/>
        <v>23.580451798278851</v>
      </c>
      <c r="Y997" s="314" t="str">
        <f t="shared" ca="1" si="457"/>
        <v/>
      </c>
      <c r="Z997" s="315" t="str">
        <f t="shared" ca="1" si="458"/>
        <v/>
      </c>
      <c r="AA997" s="316" t="str">
        <f t="shared" ca="1" si="459"/>
        <v/>
      </c>
      <c r="AC997" s="310" t="e">
        <f t="shared" ca="1" si="460"/>
        <v>#N/A</v>
      </c>
      <c r="AD997" s="323" t="e">
        <f t="shared" ca="1" si="461"/>
        <v>#N/A</v>
      </c>
      <c r="AE997" s="324" t="e">
        <f t="shared" ca="1" si="440"/>
        <v>#N/A</v>
      </c>
      <c r="AG997" s="306">
        <f t="shared" ca="1" si="462"/>
        <v>0.70473937893393135</v>
      </c>
      <c r="AH997" s="304">
        <f t="shared" ca="1" si="463"/>
        <v>-9.0868572991243397</v>
      </c>
    </row>
    <row r="998" spans="1:34" x14ac:dyDescent="0.2">
      <c r="A998" s="347">
        <f t="shared" ca="1" si="441"/>
        <v>1E-4</v>
      </c>
      <c r="B998" s="304">
        <f t="shared" ca="1" si="442"/>
        <v>32.561100000002199</v>
      </c>
      <c r="D998" s="306">
        <f t="shared" ca="1" si="443"/>
        <v>-0.55633348408540284</v>
      </c>
      <c r="E998" s="307">
        <f t="shared" ca="1" si="444"/>
        <v>-0.7401671145078037</v>
      </c>
      <c r="F998" s="304">
        <f t="shared" ca="1" si="445"/>
        <v>0.92593428649845955</v>
      </c>
      <c r="G998" s="306">
        <f t="shared" ca="1" si="446"/>
        <v>5.9319776478873614</v>
      </c>
      <c r="H998" s="307">
        <f t="shared" ca="1" si="447"/>
        <v>-96.709245891268381</v>
      </c>
      <c r="I998" s="304">
        <f t="shared" ca="1" si="448"/>
        <v>96.891003708666616</v>
      </c>
      <c r="J998" s="306">
        <f t="shared" ca="1" si="449"/>
        <v>588.9746359926213</v>
      </c>
      <c r="K998" s="307">
        <f t="shared" ca="1" si="450"/>
        <v>-13.292955074804041</v>
      </c>
      <c r="L998" s="304">
        <f t="shared" ca="1" si="435"/>
        <v>589.12462560757172</v>
      </c>
      <c r="M998" s="306">
        <f t="shared" ca="1" si="451"/>
        <v>-1.5095348115716074</v>
      </c>
      <c r="N998" s="304">
        <f t="shared" ca="1" si="452"/>
        <v>-86.489973731129083</v>
      </c>
      <c r="P998" s="310">
        <f t="shared" ca="1" si="453"/>
        <v>23</v>
      </c>
      <c r="Q998" s="304">
        <f t="shared" ca="1" si="454"/>
        <v>0</v>
      </c>
      <c r="R998" s="306">
        <f t="shared" ca="1" si="455"/>
        <v>0</v>
      </c>
      <c r="S998" s="307">
        <f t="shared" ca="1" si="456"/>
        <v>2.5949999999999998</v>
      </c>
      <c r="T998" s="304">
        <f t="shared" ca="1" si="436"/>
        <v>25.456949999999999</v>
      </c>
      <c r="U998" s="311">
        <f t="shared" ca="1" si="437"/>
        <v>0</v>
      </c>
      <c r="V998" s="306">
        <f t="shared" ca="1" si="438"/>
        <v>1.2266294700202525</v>
      </c>
      <c r="W998" s="304">
        <f t="shared" ca="1" si="439"/>
        <v>23.580508904407836</v>
      </c>
      <c r="Y998" s="314" t="str">
        <f t="shared" ca="1" si="457"/>
        <v/>
      </c>
      <c r="Z998" s="315" t="str">
        <f t="shared" ca="1" si="458"/>
        <v/>
      </c>
      <c r="AA998" s="316" t="str">
        <f t="shared" ca="1" si="459"/>
        <v/>
      </c>
      <c r="AC998" s="310" t="e">
        <f t="shared" ca="1" si="460"/>
        <v>#N/A</v>
      </c>
      <c r="AD998" s="323" t="e">
        <f t="shared" ca="1" si="461"/>
        <v>#N/A</v>
      </c>
      <c r="AE998" s="324" t="e">
        <f t="shared" ca="1" si="440"/>
        <v>#N/A</v>
      </c>
      <c r="AG998" s="306">
        <f t="shared" ca="1" si="462"/>
        <v>0.70471774467111814</v>
      </c>
      <c r="AH998" s="304">
        <f t="shared" ca="1" si="463"/>
        <v>-9.0868793056951258</v>
      </c>
    </row>
    <row r="999" spans="1:34" x14ac:dyDescent="0.2">
      <c r="A999" s="347">
        <f t="shared" ca="1" si="441"/>
        <v>1E-4</v>
      </c>
      <c r="B999" s="304">
        <f t="shared" ca="1" si="442"/>
        <v>32.561200000002202</v>
      </c>
      <c r="D999" s="306">
        <f t="shared" ca="1" si="443"/>
        <v>-0.55632920918941953</v>
      </c>
      <c r="E999" s="307">
        <f t="shared" ca="1" si="444"/>
        <v>-0.74014480471688771</v>
      </c>
      <c r="F999" s="304">
        <f t="shared" ca="1" si="445"/>
        <v>0.9259138841958926</v>
      </c>
      <c r="G999" s="306">
        <f t="shared" ca="1" si="446"/>
        <v>5.9319220149664424</v>
      </c>
      <c r="H999" s="307">
        <f t="shared" ca="1" si="447"/>
        <v>-96.709319905748856</v>
      </c>
      <c r="I999" s="304">
        <f t="shared" ca="1" si="448"/>
        <v>96.891074178296293</v>
      </c>
      <c r="J999" s="306">
        <f t="shared" ca="1" si="449"/>
        <v>588.9746359926213</v>
      </c>
      <c r="K999" s="307">
        <f t="shared" ca="1" si="450"/>
        <v>-13.302626003093891</v>
      </c>
      <c r="L999" s="304">
        <f t="shared" ca="1" si="435"/>
        <v>589.12484390086524</v>
      </c>
      <c r="M999" s="306">
        <f t="shared" ca="1" si="451"/>
        <v>-1.5095354314425631</v>
      </c>
      <c r="N999" s="304">
        <f t="shared" ca="1" si="452"/>
        <v>-86.490009247118692</v>
      </c>
      <c r="P999" s="310">
        <f t="shared" ca="1" si="453"/>
        <v>23</v>
      </c>
      <c r="Q999" s="304">
        <f t="shared" ca="1" si="454"/>
        <v>0</v>
      </c>
      <c r="R999" s="306">
        <f t="shared" ca="1" si="455"/>
        <v>0</v>
      </c>
      <c r="S999" s="307">
        <f t="shared" ca="1" si="456"/>
        <v>2.5949999999999998</v>
      </c>
      <c r="T999" s="304">
        <f t="shared" ca="1" si="436"/>
        <v>25.456949999999999</v>
      </c>
      <c r="U999" s="311">
        <f t="shared" ca="1" si="437"/>
        <v>0</v>
      </c>
      <c r="V999" s="306">
        <f t="shared" ca="1" si="438"/>
        <v>1.2266306562859146</v>
      </c>
      <c r="W999" s="304">
        <f t="shared" ca="1" si="439"/>
        <v>23.580566009614603</v>
      </c>
      <c r="Y999" s="314" t="str">
        <f t="shared" ca="1" si="457"/>
        <v/>
      </c>
      <c r="Z999" s="315" t="str">
        <f t="shared" ca="1" si="458"/>
        <v/>
      </c>
      <c r="AA999" s="316" t="str">
        <f t="shared" ca="1" si="459"/>
        <v/>
      </c>
      <c r="AC999" s="310" t="e">
        <f t="shared" ca="1" si="460"/>
        <v>#N/A</v>
      </c>
      <c r="AD999" s="323" t="e">
        <f t="shared" ca="1" si="461"/>
        <v>#N/A</v>
      </c>
      <c r="AE999" s="324" t="e">
        <f t="shared" ca="1" si="440"/>
        <v>#N/A</v>
      </c>
      <c r="AG999" s="306">
        <f t="shared" ca="1" si="462"/>
        <v>0.70469611075588823</v>
      </c>
      <c r="AH999" s="304">
        <f t="shared" ca="1" si="463"/>
        <v>-9.0869013119105357</v>
      </c>
    </row>
    <row r="1000" spans="1:34" x14ac:dyDescent="0.2">
      <c r="A1000" s="347">
        <f t="shared" ca="1" si="441"/>
        <v>1E-4</v>
      </c>
      <c r="B1000" s="304">
        <f t="shared" ca="1" si="442"/>
        <v>32.561300000002205</v>
      </c>
      <c r="D1000" s="306">
        <f t="shared" ca="1" si="443"/>
        <v>-0.55632493430513863</v>
      </c>
      <c r="E1000" s="307">
        <f t="shared" ca="1" si="444"/>
        <v>-0.74012249528623997</v>
      </c>
      <c r="F1000" s="304">
        <f t="shared" ca="1" si="445"/>
        <v>0.92589348229607227</v>
      </c>
      <c r="G1000" s="306">
        <f t="shared" ca="1" si="446"/>
        <v>5.9318663824730118</v>
      </c>
      <c r="H1000" s="307">
        <f t="shared" ca="1" si="447"/>
        <v>-96.709393917998383</v>
      </c>
      <c r="I1000" s="304">
        <f t="shared" ca="1" si="448"/>
        <v>96.891144645762623</v>
      </c>
      <c r="J1000" s="306">
        <f t="shared" ca="1" si="449"/>
        <v>588.9746359926213</v>
      </c>
      <c r="K1000" s="307">
        <f t="shared" ca="1" si="450"/>
        <v>-13.312296938785078</v>
      </c>
      <c r="L1000" s="304">
        <f t="shared" ca="1" si="435"/>
        <v>589.12506235300077</v>
      </c>
      <c r="M1000" s="306">
        <f t="shared" ca="1" si="451"/>
        <v>-1.5095360513068035</v>
      </c>
      <c r="N1000" s="304">
        <f t="shared" ca="1" si="452"/>
        <v>-86.490044762723542</v>
      </c>
      <c r="P1000" s="310">
        <f t="shared" ca="1" si="453"/>
        <v>23</v>
      </c>
      <c r="Q1000" s="304">
        <f t="shared" ca="1" si="454"/>
        <v>0</v>
      </c>
      <c r="R1000" s="306">
        <f t="shared" ca="1" si="455"/>
        <v>0</v>
      </c>
      <c r="S1000" s="307">
        <f t="shared" ca="1" si="456"/>
        <v>2.5949999999999998</v>
      </c>
      <c r="T1000" s="304">
        <f t="shared" ca="1" si="436"/>
        <v>25.456949999999999</v>
      </c>
      <c r="U1000" s="311">
        <f t="shared" ca="1" si="437"/>
        <v>0</v>
      </c>
      <c r="V1000" s="306">
        <f t="shared" ca="1" si="438"/>
        <v>1.2266318425536327</v>
      </c>
      <c r="W1000" s="304">
        <f t="shared" ca="1" si="439"/>
        <v>23.580623113899186</v>
      </c>
      <c r="Y1000" s="314" t="str">
        <f t="shared" ca="1" si="457"/>
        <v/>
      </c>
      <c r="Z1000" s="315" t="str">
        <f t="shared" ca="1" si="458"/>
        <v/>
      </c>
      <c r="AA1000" s="316" t="str">
        <f t="shared" ca="1" si="459"/>
        <v/>
      </c>
      <c r="AC1000" s="310" t="e">
        <f t="shared" ca="1" si="460"/>
        <v>#N/A</v>
      </c>
      <c r="AD1000" s="323" t="e">
        <f t="shared" ca="1" si="461"/>
        <v>#N/A</v>
      </c>
      <c r="AE1000" s="324" t="e">
        <f t="shared" ca="1" si="440"/>
        <v>#N/A</v>
      </c>
      <c r="AG1000" s="306">
        <f t="shared" ca="1" si="462"/>
        <v>0.70467447718824872</v>
      </c>
      <c r="AH1000" s="304">
        <f t="shared" ca="1" si="463"/>
        <v>-9.0869233177705606</v>
      </c>
    </row>
    <row r="1001" spans="1:34" x14ac:dyDescent="0.2">
      <c r="A1001" s="347">
        <f t="shared" ca="1" si="441"/>
        <v>1E-4</v>
      </c>
      <c r="B1001" s="304">
        <f t="shared" ca="1" si="442"/>
        <v>32.561400000002209</v>
      </c>
      <c r="D1001" s="306">
        <f t="shared" ca="1" si="443"/>
        <v>-0.55632065943256415</v>
      </c>
      <c r="E1001" s="307">
        <f t="shared" ca="1" si="444"/>
        <v>-0.74010018621584628</v>
      </c>
      <c r="F1001" s="304">
        <f t="shared" ca="1" si="445"/>
        <v>0.92587308079899022</v>
      </c>
      <c r="G1001" s="306">
        <f t="shared" ca="1" si="446"/>
        <v>5.9318107504070685</v>
      </c>
      <c r="H1001" s="307">
        <f t="shared" ca="1" si="447"/>
        <v>-96.709467928017006</v>
      </c>
      <c r="I1001" s="304">
        <f t="shared" ca="1" si="448"/>
        <v>96.891215111065634</v>
      </c>
      <c r="J1001" s="306">
        <f t="shared" ca="1" si="449"/>
        <v>588.9746359926213</v>
      </c>
      <c r="K1001" s="307">
        <f t="shared" ca="1" si="450"/>
        <v>-13.321967881877379</v>
      </c>
      <c r="L1001" s="304">
        <f t="shared" ca="1" si="435"/>
        <v>589.12528096397841</v>
      </c>
      <c r="M1001" s="306">
        <f t="shared" ca="1" si="451"/>
        <v>-1.509536671164329</v>
      </c>
      <c r="N1001" s="304">
        <f t="shared" ca="1" si="452"/>
        <v>-86.490080277943648</v>
      </c>
      <c r="P1001" s="310">
        <f t="shared" ca="1" si="453"/>
        <v>23</v>
      </c>
      <c r="Q1001" s="304">
        <f t="shared" ca="1" si="454"/>
        <v>0</v>
      </c>
      <c r="R1001" s="306">
        <f t="shared" ca="1" si="455"/>
        <v>0</v>
      </c>
      <c r="S1001" s="307">
        <f t="shared" ca="1" si="456"/>
        <v>2.5949999999999998</v>
      </c>
      <c r="T1001" s="304">
        <f t="shared" ca="1" si="436"/>
        <v>25.456949999999999</v>
      </c>
      <c r="U1001" s="311">
        <f t="shared" ca="1" si="437"/>
        <v>0</v>
      </c>
      <c r="V1001" s="306">
        <f t="shared" ca="1" si="438"/>
        <v>1.2266330288234069</v>
      </c>
      <c r="W1001" s="304">
        <f t="shared" ca="1" si="439"/>
        <v>23.580680217261598</v>
      </c>
      <c r="Y1001" s="314" t="str">
        <f t="shared" ca="1" si="457"/>
        <v/>
      </c>
      <c r="Z1001" s="315" t="str">
        <f t="shared" ca="1" si="458"/>
        <v/>
      </c>
      <c r="AA1001" s="316" t="str">
        <f t="shared" ca="1" si="459"/>
        <v/>
      </c>
      <c r="AC1001" s="310" t="e">
        <f t="shared" ca="1" si="460"/>
        <v>#N/A</v>
      </c>
      <c r="AD1001" s="323" t="e">
        <f t="shared" ca="1" si="461"/>
        <v>#N/A</v>
      </c>
      <c r="AE1001" s="324" t="e">
        <f t="shared" ca="1" si="440"/>
        <v>#N/A</v>
      </c>
      <c r="AG1001" s="306">
        <f t="shared" ca="1" si="462"/>
        <v>0.70465284396818006</v>
      </c>
      <c r="AH1001" s="304">
        <f t="shared" ca="1" si="463"/>
        <v>-9.0869453232752164</v>
      </c>
    </row>
    <row r="1002" spans="1:34" x14ac:dyDescent="0.2">
      <c r="A1002" s="347">
        <f t="shared" ca="1" si="441"/>
        <v>1E-4</v>
      </c>
      <c r="B1002" s="304">
        <f t="shared" ca="1" si="442"/>
        <v>32.561500000002212</v>
      </c>
      <c r="D1002" s="306">
        <f t="shared" ca="1" si="443"/>
        <v>-0.55631638457169363</v>
      </c>
      <c r="E1002" s="307">
        <f t="shared" ca="1" si="444"/>
        <v>-0.74007787750569953</v>
      </c>
      <c r="F1002" s="304">
        <f t="shared" ca="1" si="445"/>
        <v>0.92585267970463947</v>
      </c>
      <c r="G1002" s="306">
        <f t="shared" ca="1" si="446"/>
        <v>5.9317551187686117</v>
      </c>
      <c r="H1002" s="307">
        <f t="shared" ca="1" si="447"/>
        <v>-96.709541935804751</v>
      </c>
      <c r="I1002" s="304">
        <f t="shared" ca="1" si="448"/>
        <v>96.891285574205355</v>
      </c>
      <c r="J1002" s="306">
        <f t="shared" ca="1" si="449"/>
        <v>588.9746359926213</v>
      </c>
      <c r="K1002" s="307">
        <f t="shared" ca="1" si="450"/>
        <v>-13.331638832370571</v>
      </c>
      <c r="L1002" s="304">
        <f t="shared" ca="1" si="435"/>
        <v>589.12549973379828</v>
      </c>
      <c r="M1002" s="306">
        <f t="shared" ca="1" si="451"/>
        <v>-1.5095372910151394</v>
      </c>
      <c r="N1002" s="304">
        <f t="shared" ca="1" si="452"/>
        <v>-86.490115792779022</v>
      </c>
      <c r="P1002" s="310">
        <f t="shared" ca="1" si="453"/>
        <v>23</v>
      </c>
      <c r="Q1002" s="304">
        <f t="shared" ca="1" si="454"/>
        <v>0</v>
      </c>
      <c r="R1002" s="306">
        <f t="shared" ca="1" si="455"/>
        <v>0</v>
      </c>
      <c r="S1002" s="307">
        <f t="shared" ca="1" si="456"/>
        <v>2.5949999999999998</v>
      </c>
      <c r="T1002" s="304">
        <f t="shared" ca="1" si="436"/>
        <v>25.456949999999999</v>
      </c>
      <c r="U1002" s="311">
        <f t="shared" ca="1" si="437"/>
        <v>0</v>
      </c>
      <c r="V1002" s="306">
        <f t="shared" ca="1" si="438"/>
        <v>1.2266342150952365</v>
      </c>
      <c r="W1002" s="304">
        <f t="shared" ca="1" si="439"/>
        <v>23.580737319701836</v>
      </c>
      <c r="Y1002" s="314" t="str">
        <f t="shared" ca="1" si="457"/>
        <v/>
      </c>
      <c r="Z1002" s="315" t="str">
        <f t="shared" ca="1" si="458"/>
        <v/>
      </c>
      <c r="AA1002" s="316" t="str">
        <f t="shared" ca="1" si="459"/>
        <v/>
      </c>
      <c r="AC1002" s="310" t="e">
        <f t="shared" ca="1" si="460"/>
        <v>#N/A</v>
      </c>
      <c r="AD1002" s="323" t="e">
        <f t="shared" ca="1" si="461"/>
        <v>#N/A</v>
      </c>
      <c r="AE1002" s="324" t="e">
        <f t="shared" ca="1" si="440"/>
        <v>#N/A</v>
      </c>
      <c r="AG1002" s="306">
        <f t="shared" ca="1" si="462"/>
        <v>0.7046312110956805</v>
      </c>
      <c r="AH1002" s="304">
        <f t="shared" ca="1" si="463"/>
        <v>-9.0869673284245085</v>
      </c>
    </row>
    <row r="1003" spans="1:34" x14ac:dyDescent="0.2">
      <c r="A1003" s="347">
        <f t="shared" ca="1" si="441"/>
        <v>1E-4</v>
      </c>
      <c r="B1003" s="304">
        <f t="shared" ca="1" si="442"/>
        <v>32.561600000002215</v>
      </c>
      <c r="D1003" s="306">
        <f t="shared" ca="1" si="443"/>
        <v>-0.55631210972252987</v>
      </c>
      <c r="E1003" s="307">
        <f t="shared" ca="1" si="444"/>
        <v>-0.74005556915580151</v>
      </c>
      <c r="F1003" s="304">
        <f t="shared" ca="1" si="445"/>
        <v>0.92583227901302367</v>
      </c>
      <c r="G1003" s="306">
        <f t="shared" ca="1" si="446"/>
        <v>5.9316994875576396</v>
      </c>
      <c r="H1003" s="307">
        <f t="shared" ca="1" si="447"/>
        <v>-96.709615941361662</v>
      </c>
      <c r="I1003" s="304">
        <f t="shared" ca="1" si="448"/>
        <v>96.891356035181829</v>
      </c>
      <c r="J1003" s="306">
        <f t="shared" ca="1" si="449"/>
        <v>588.9746359926213</v>
      </c>
      <c r="K1003" s="307">
        <f t="shared" ca="1" si="450"/>
        <v>-13.341309790264429</v>
      </c>
      <c r="L1003" s="304">
        <f t="shared" ca="1" si="435"/>
        <v>589.12571866246049</v>
      </c>
      <c r="M1003" s="306">
        <f t="shared" ca="1" si="451"/>
        <v>-1.5095379108592353</v>
      </c>
      <c r="N1003" s="304">
        <f t="shared" ca="1" si="452"/>
        <v>-86.490151307229667</v>
      </c>
      <c r="P1003" s="310">
        <f t="shared" ca="1" si="453"/>
        <v>23</v>
      </c>
      <c r="Q1003" s="304">
        <f t="shared" ca="1" si="454"/>
        <v>0</v>
      </c>
      <c r="R1003" s="306">
        <f t="shared" ca="1" si="455"/>
        <v>0</v>
      </c>
      <c r="S1003" s="307">
        <f t="shared" ca="1" si="456"/>
        <v>2.5949999999999998</v>
      </c>
      <c r="T1003" s="304">
        <f t="shared" ca="1" si="436"/>
        <v>25.456949999999999</v>
      </c>
      <c r="U1003" s="311">
        <f t="shared" ca="1" si="437"/>
        <v>0</v>
      </c>
      <c r="V1003" s="306">
        <f ca="1">Rho_moyen*(20000-Alt_rampe-pos_z)/(20000+Alt_rampe+pos_z)</f>
        <v>1.2266354013691221</v>
      </c>
      <c r="W1003" s="304">
        <f t="shared" ca="1" si="439"/>
        <v>23.580794421219917</v>
      </c>
      <c r="Y1003" s="314" t="str">
        <f t="shared" ca="1" si="457"/>
        <v/>
      </c>
      <c r="Z1003" s="315" t="str">
        <f t="shared" ca="1" si="458"/>
        <v/>
      </c>
      <c r="AA1003" s="316" t="str">
        <f t="shared" ca="1" si="459"/>
        <v/>
      </c>
      <c r="AC1003" s="310" t="e">
        <f t="shared" ca="1" si="460"/>
        <v>#N/A</v>
      </c>
      <c r="AD1003" s="323" t="e">
        <f t="shared" ca="1" si="461"/>
        <v>#N/A</v>
      </c>
      <c r="AE1003" s="324" t="e">
        <f t="shared" ca="1" si="440"/>
        <v>#N/A</v>
      </c>
      <c r="AG1003" s="306">
        <f t="shared" ca="1" si="462"/>
        <v>0.70460957857075357</v>
      </c>
      <c r="AH1003" s="304">
        <f t="shared" ca="1" si="463"/>
        <v>-9.086989333218435</v>
      </c>
    </row>
    <row r="1004" spans="1:34" x14ac:dyDescent="0.2">
      <c r="A1004" s="348">
        <f t="shared" ca="1" si="441"/>
        <v>1E-4</v>
      </c>
      <c r="B1004" s="305">
        <f t="shared" ca="1" si="442"/>
        <v>32.561700000002219</v>
      </c>
      <c r="D1004" s="308">
        <f t="shared" ca="1" si="443"/>
        <v>-0.55630783488507063</v>
      </c>
      <c r="E1004" s="309">
        <f t="shared" ca="1" si="444"/>
        <v>-0.74003326116614865</v>
      </c>
      <c r="F1004" s="305">
        <f t="shared" ca="1" si="445"/>
        <v>0.92581187872413917</v>
      </c>
      <c r="G1004" s="308">
        <f t="shared" ca="1" si="446"/>
        <v>5.9316438567741514</v>
      </c>
      <c r="H1004" s="309">
        <f t="shared" ca="1" si="447"/>
        <v>-96.709689944687781</v>
      </c>
      <c r="I1004" s="305">
        <f t="shared" ca="1" si="448"/>
        <v>96.891426493995084</v>
      </c>
      <c r="J1004" s="308">
        <f t="shared" ca="1" si="449"/>
        <v>588.9746359926213</v>
      </c>
      <c r="K1004" s="309">
        <f t="shared" ca="1" si="450"/>
        <v>-13.350980755558732</v>
      </c>
      <c r="L1004" s="305">
        <f t="shared" ca="1" si="435"/>
        <v>589.12593774996537</v>
      </c>
      <c r="M1004" s="308">
        <f t="shared" ca="1" si="451"/>
        <v>-1.5095385306966163</v>
      </c>
      <c r="N1004" s="305">
        <f t="shared" ca="1" si="452"/>
        <v>-86.49018682129558</v>
      </c>
      <c r="P1004" s="312">
        <f t="shared" ca="1" si="453"/>
        <v>23</v>
      </c>
      <c r="Q1004" s="305">
        <f t="shared" ca="1" si="454"/>
        <v>0</v>
      </c>
      <c r="R1004" s="308">
        <f t="shared" ca="1" si="455"/>
        <v>0</v>
      </c>
      <c r="S1004" s="309">
        <f t="shared" ca="1" si="456"/>
        <v>2.5949999999999998</v>
      </c>
      <c r="T1004" s="305">
        <f t="shared" ca="1" si="436"/>
        <v>25.456949999999999</v>
      </c>
      <c r="U1004" s="313">
        <f t="shared" ca="1" si="437"/>
        <v>0</v>
      </c>
      <c r="V1004" s="308">
        <f t="shared" ca="1" si="438"/>
        <v>1.226636587645064</v>
      </c>
      <c r="W1004" s="305">
        <f ca="1">1/2*Rho*Sref*Cx*vit_xz^2</f>
        <v>23.580851521815873</v>
      </c>
      <c r="Y1004" s="317" t="str">
        <f ca="1">IF(AND(pos_z&lt;=0,K1003&gt;0),"Impact balistique","") &amp; IF(AND(H1005&lt;0,vit_z&gt;=0),"Apogée","") &amp; IF(AND(Poussee=0,Q1003&gt;0),"Fin de propulsion","") &amp; IF(AND(L1005&gt;L_rampe,pos_xz&lt;=L_rampe),"Sortie de rampe","")</f>
        <v/>
      </c>
      <c r="Z1004" s="318" t="str">
        <f t="shared" ca="1" si="458"/>
        <v/>
      </c>
      <c r="AA1004" s="319" t="str">
        <f t="shared" ca="1" si="459"/>
        <v/>
      </c>
      <c r="AC1004" s="312" t="e">
        <f t="shared" ca="1" si="460"/>
        <v>#N/A</v>
      </c>
      <c r="AD1004" s="325" t="e">
        <f t="shared" ca="1" si="461"/>
        <v>#N/A</v>
      </c>
      <c r="AE1004" s="326" t="e">
        <f t="shared" ca="1" si="440"/>
        <v>#N/A</v>
      </c>
      <c r="AG1004" s="308">
        <f t="shared" ca="1" si="462"/>
        <v>0.7045879463933904</v>
      </c>
      <c r="AH1004" s="305">
        <f t="shared" ca="1" si="463"/>
        <v>-9.0870113376570014</v>
      </c>
    </row>
    <row r="1005" spans="1:34" x14ac:dyDescent="0.2">
      <c r="Y1005" s="303"/>
    </row>
    <row r="1010" spans="12:12" x14ac:dyDescent="0.2">
      <c r="L1010"/>
    </row>
    <row r="1034" spans="5:25" x14ac:dyDescent="0.2">
      <c r="E1034" s="300" t="s">
        <v>254</v>
      </c>
      <c r="J1034" s="301" t="s">
        <v>246</v>
      </c>
      <c r="T1034" s="300" t="s">
        <v>245</v>
      </c>
      <c r="Y1034" s="302" t="s">
        <v>248</v>
      </c>
    </row>
    <row r="1035" spans="5:25" x14ac:dyDescent="0.2">
      <c r="E1035" s="299" t="s">
        <v>258</v>
      </c>
    </row>
    <row r="1036" spans="5:25" x14ac:dyDescent="0.2">
      <c r="E1036" s="299"/>
      <c r="T1036" s="299" t="s">
        <v>251</v>
      </c>
    </row>
    <row r="1037" spans="5:25" x14ac:dyDescent="0.2">
      <c r="E1037" s="299"/>
      <c r="T1037" s="299" t="s">
        <v>255</v>
      </c>
    </row>
    <row r="1038" spans="5:25" x14ac:dyDescent="0.2">
      <c r="E1038" s="299"/>
      <c r="T1038" s="299" t="s">
        <v>256</v>
      </c>
    </row>
    <row r="1039" spans="5:25" x14ac:dyDescent="0.2">
      <c r="E1039" s="299"/>
      <c r="T1039" s="299" t="s">
        <v>262</v>
      </c>
    </row>
    <row r="1040" spans="5:25" x14ac:dyDescent="0.2">
      <c r="E1040" s="299" t="s">
        <v>257</v>
      </c>
      <c r="T1040" s="299" t="s">
        <v>247</v>
      </c>
    </row>
    <row r="1041" spans="5:20" x14ac:dyDescent="0.2">
      <c r="E1041" s="299"/>
      <c r="T1041" s="299" t="s">
        <v>263</v>
      </c>
    </row>
    <row r="1042" spans="5:20" x14ac:dyDescent="0.2">
      <c r="E1042" s="299"/>
      <c r="R1042" s="303"/>
      <c r="T1042" s="299"/>
    </row>
    <row r="1043" spans="5:20" x14ac:dyDescent="0.2">
      <c r="E1043" s="299"/>
    </row>
    <row r="1044" spans="5:20" x14ac:dyDescent="0.2">
      <c r="E1044" s="299"/>
    </row>
    <row r="1045" spans="5:20" x14ac:dyDescent="0.2">
      <c r="E1045" s="299" t="s">
        <v>260</v>
      </c>
      <c r="R1045" s="303"/>
      <c r="T1045" s="299"/>
    </row>
    <row r="1046" spans="5:20" x14ac:dyDescent="0.2">
      <c r="E1046" s="299"/>
    </row>
    <row r="1047" spans="5:20" x14ac:dyDescent="0.2">
      <c r="E1047" s="299"/>
    </row>
    <row r="1048" spans="5:20" x14ac:dyDescent="0.2">
      <c r="E1048" s="299"/>
      <c r="T1048" s="298" t="s">
        <v>253</v>
      </c>
    </row>
    <row r="1049" spans="5:20" x14ac:dyDescent="0.2">
      <c r="E1049" s="299"/>
    </row>
    <row r="1050" spans="5:20" x14ac:dyDescent="0.2">
      <c r="E1050" s="299" t="s">
        <v>261</v>
      </c>
    </row>
    <row r="1053" spans="5:20" x14ac:dyDescent="0.2">
      <c r="T1053" s="298" t="s">
        <v>268</v>
      </c>
    </row>
    <row r="1055" spans="5:20" x14ac:dyDescent="0.2">
      <c r="E1055" s="299" t="s">
        <v>250</v>
      </c>
    </row>
    <row r="1058" spans="5:20" x14ac:dyDescent="0.2">
      <c r="T1058" s="299" t="s">
        <v>269</v>
      </c>
    </row>
    <row r="1060" spans="5:20" x14ac:dyDescent="0.2">
      <c r="E1060" s="299" t="s">
        <v>259</v>
      </c>
    </row>
    <row r="1061" spans="5:20" x14ac:dyDescent="0.2">
      <c r="E1061" s="299"/>
    </row>
    <row r="1062" spans="5:20" x14ac:dyDescent="0.2">
      <c r="E1062" s="299"/>
    </row>
    <row r="1063" spans="5:20" x14ac:dyDescent="0.2">
      <c r="E1063" s="299"/>
    </row>
    <row r="1064" spans="5:20" x14ac:dyDescent="0.2">
      <c r="E1064" s="299"/>
    </row>
    <row r="1065" spans="5:20" x14ac:dyDescent="0.2">
      <c r="E1065" s="299" t="s">
        <v>249</v>
      </c>
    </row>
    <row r="1066" spans="5:20" x14ac:dyDescent="0.2">
      <c r="E1066" s="299"/>
    </row>
    <row r="1067" spans="5:20" x14ac:dyDescent="0.2">
      <c r="E1067" s="299"/>
    </row>
    <row r="1068" spans="5:20" x14ac:dyDescent="0.2">
      <c r="E1068" s="299"/>
    </row>
    <row r="1069" spans="5:20" x14ac:dyDescent="0.2">
      <c r="E1069" s="299"/>
    </row>
    <row r="1070" spans="5:20" x14ac:dyDescent="0.2">
      <c r="E1070" s="299" t="s">
        <v>252</v>
      </c>
    </row>
    <row r="1071" spans="5:20" x14ac:dyDescent="0.2">
      <c r="E1071" s="299"/>
    </row>
    <row r="1072" spans="5:20" x14ac:dyDescent="0.2">
      <c r="E1072" s="299"/>
    </row>
    <row r="1073" spans="5:5" x14ac:dyDescent="0.2">
      <c r="E1073" s="299"/>
    </row>
    <row r="1074" spans="5:5" x14ac:dyDescent="0.2">
      <c r="E1074" s="299"/>
    </row>
    <row r="1075" spans="5:5" x14ac:dyDescent="0.2">
      <c r="E1075" s="299" t="s">
        <v>264</v>
      </c>
    </row>
  </sheetData>
  <sheetProtection password="C6AC" sheet="1"/>
  <mergeCells count="5">
    <mergeCell ref="D1:N1"/>
    <mergeCell ref="P1:W1"/>
    <mergeCell ref="AG1:AH1"/>
    <mergeCell ref="Y2:AA2"/>
    <mergeCell ref="AC1:AE1"/>
  </mergeCells>
  <phoneticPr fontId="8" type="noConversion"/>
  <conditionalFormatting sqref="A4:XFD1004">
    <cfRule type="expression" dxfId="5" priority="7" stopIfTrue="1">
      <formula>OR($Y4="Sortie de rampe",$Z4="Para")</formula>
    </cfRule>
    <cfRule type="expression" dxfId="4" priority="8" stopIfTrue="1">
      <formula>OR($Y4="Fin de propulsion",$Y4="Impact balistique",$AA4="Satellite")</formula>
    </cfRule>
    <cfRule type="expression" dxfId="3" priority="9" stopIfTrue="1">
      <formula>$Y4="Apogée"</formula>
    </cfRule>
  </conditionalFormatting>
  <hyperlinks>
    <hyperlink ref="J1034" r:id="rId1" xr:uid="{00000000-0004-0000-0400-000000000000}"/>
    <hyperlink ref="Y1034" r:id="rId2" xr:uid="{00000000-0004-0000-0400-000001000000}"/>
  </hyperlinks>
  <pageMargins left="0.39370078740157483" right="0.39370078740157483" top="0.39370078740157483" bottom="0.39370078740157483" header="0" footer="0"/>
  <pageSetup paperSize="9" scale="29" firstPageNumber="0" fitToHeight="5" orientation="portrait" horizontalDpi="300" verticalDpi="300" r:id="rId3"/>
  <headerFooter alignWithMargins="0"/>
  <drawing r:id="rId4"/>
  <legacyDrawing r:id="rId5"/>
  <oleObjects>
    <mc:AlternateContent xmlns:mc="http://schemas.openxmlformats.org/markup-compatibility/2006">
      <mc:Choice Requires="x14">
        <oleObject progId="Equation.3" shapeId="3091" r:id="rId6">
          <objectPr defaultSize="0" autoPict="0" r:id="rId7">
            <anchor moveWithCells="1">
              <from>
                <xdr:col>18</xdr:col>
                <xdr:colOff>9525</xdr:colOff>
                <xdr:row>1010</xdr:row>
                <xdr:rowOff>104775</xdr:rowOff>
              </from>
              <to>
                <xdr:col>20</xdr:col>
                <xdr:colOff>295275</xdr:colOff>
                <xdr:row>1013</xdr:row>
                <xdr:rowOff>28575</xdr:rowOff>
              </to>
            </anchor>
          </objectPr>
        </oleObject>
      </mc:Choice>
      <mc:Fallback>
        <oleObject progId="Equation.3" shapeId="3091" r:id="rId6"/>
      </mc:Fallback>
    </mc:AlternateContent>
    <mc:AlternateContent xmlns:mc="http://schemas.openxmlformats.org/markup-compatibility/2006">
      <mc:Choice Requires="x14">
        <oleObject progId="Equation.3" shapeId="3092" r:id="rId8">
          <objectPr defaultSize="0" autoPict="0" r:id="rId9">
            <anchor moveWithCells="1">
              <from>
                <xdr:col>21</xdr:col>
                <xdr:colOff>28575</xdr:colOff>
                <xdr:row>1024</xdr:row>
                <xdr:rowOff>161925</xdr:rowOff>
              </from>
              <to>
                <xdr:col>25</xdr:col>
                <xdr:colOff>457200</xdr:colOff>
                <xdr:row>1026</xdr:row>
                <xdr:rowOff>76200</xdr:rowOff>
              </to>
            </anchor>
          </objectPr>
        </oleObject>
      </mc:Choice>
      <mc:Fallback>
        <oleObject progId="Equation.3" shapeId="3092" r:id="rId8"/>
      </mc:Fallback>
    </mc:AlternateContent>
    <mc:AlternateContent xmlns:mc="http://schemas.openxmlformats.org/markup-compatibility/2006">
      <mc:Choice Requires="x14">
        <oleObject progId="Equation.3" shapeId="3096" r:id="rId10">
          <objectPr defaultSize="0" autoPict="0" r:id="rId11">
            <anchor moveWithCells="1">
              <from>
                <xdr:col>16</xdr:col>
                <xdr:colOff>257175</xdr:colOff>
                <xdr:row>1006</xdr:row>
                <xdr:rowOff>28575</xdr:rowOff>
              </from>
              <to>
                <xdr:col>24</xdr:col>
                <xdr:colOff>152400</xdr:colOff>
                <xdr:row>1007</xdr:row>
                <xdr:rowOff>104775</xdr:rowOff>
              </to>
            </anchor>
          </objectPr>
        </oleObject>
      </mc:Choice>
      <mc:Fallback>
        <oleObject progId="Equation.3" shapeId="3096" r:id="rId10"/>
      </mc:Fallback>
    </mc:AlternateContent>
    <mc:AlternateContent xmlns:mc="http://schemas.openxmlformats.org/markup-compatibility/2006">
      <mc:Choice Requires="x14">
        <oleObject progId="Equation.3" shapeId="3112" r:id="rId12">
          <objectPr defaultSize="0" autoPict="0" r:id="rId13">
            <anchor moveWithCells="1">
              <from>
                <xdr:col>7</xdr:col>
                <xdr:colOff>9525</xdr:colOff>
                <xdr:row>1017</xdr:row>
                <xdr:rowOff>161925</xdr:rowOff>
              </from>
              <to>
                <xdr:col>10</xdr:col>
                <xdr:colOff>581025</xdr:colOff>
                <xdr:row>1019</xdr:row>
                <xdr:rowOff>142875</xdr:rowOff>
              </to>
            </anchor>
          </objectPr>
        </oleObject>
      </mc:Choice>
      <mc:Fallback>
        <oleObject progId="Equation.3" shapeId="3112" r:id="rId12"/>
      </mc:Fallback>
    </mc:AlternateContent>
    <mc:AlternateContent xmlns:mc="http://schemas.openxmlformats.org/markup-compatibility/2006">
      <mc:Choice Requires="x14">
        <oleObject progId="Equation.3" shapeId="3114" r:id="rId14">
          <objectPr defaultSize="0" autoPict="0" r:id="rId15">
            <anchor moveWithCells="1">
              <from>
                <xdr:col>7</xdr:col>
                <xdr:colOff>9525</xdr:colOff>
                <xdr:row>1014</xdr:row>
                <xdr:rowOff>180975</xdr:rowOff>
              </from>
              <to>
                <xdr:col>11</xdr:col>
                <xdr:colOff>266700</xdr:colOff>
                <xdr:row>1016</xdr:row>
                <xdr:rowOff>66675</xdr:rowOff>
              </to>
            </anchor>
          </objectPr>
        </oleObject>
      </mc:Choice>
      <mc:Fallback>
        <oleObject progId="Equation.3" shapeId="3114" r:id="rId14"/>
      </mc:Fallback>
    </mc:AlternateContent>
    <mc:AlternateContent xmlns:mc="http://schemas.openxmlformats.org/markup-compatibility/2006">
      <mc:Choice Requires="x14">
        <oleObject progId="Equation.3" shapeId="3115" r:id="rId16">
          <objectPr defaultSize="0" autoPict="0" r:id="rId17">
            <anchor moveWithCells="1">
              <from>
                <xdr:col>7</xdr:col>
                <xdr:colOff>9525</xdr:colOff>
                <xdr:row>1016</xdr:row>
                <xdr:rowOff>76200</xdr:rowOff>
              </from>
              <to>
                <xdr:col>11</xdr:col>
                <xdr:colOff>238125</xdr:colOff>
                <xdr:row>1017</xdr:row>
                <xdr:rowOff>161925</xdr:rowOff>
              </to>
            </anchor>
          </objectPr>
        </oleObject>
      </mc:Choice>
      <mc:Fallback>
        <oleObject progId="Equation.3" shapeId="3115" r:id="rId16"/>
      </mc:Fallback>
    </mc:AlternateContent>
    <mc:AlternateContent xmlns:mc="http://schemas.openxmlformats.org/markup-compatibility/2006">
      <mc:Choice Requires="x14">
        <oleObject progId="Equation.3" shapeId="3119" r:id="rId18">
          <objectPr defaultSize="0" autoPict="0" r:id="rId19">
            <anchor moveWithCells="1">
              <from>
                <xdr:col>10</xdr:col>
                <xdr:colOff>0</xdr:colOff>
                <xdr:row>1022</xdr:row>
                <xdr:rowOff>66675</xdr:rowOff>
              </from>
              <to>
                <xdr:col>17</xdr:col>
                <xdr:colOff>276225</xdr:colOff>
                <xdr:row>1024</xdr:row>
                <xdr:rowOff>161925</xdr:rowOff>
              </to>
            </anchor>
          </objectPr>
        </oleObject>
      </mc:Choice>
      <mc:Fallback>
        <oleObject progId="Equation.3" shapeId="3119" r:id="rId18"/>
      </mc:Fallback>
    </mc:AlternateContent>
    <mc:AlternateContent xmlns:mc="http://schemas.openxmlformats.org/markup-compatibility/2006">
      <mc:Choice Requires="x14">
        <oleObject progId="Equation.3" shapeId="3120" r:id="rId20">
          <objectPr defaultSize="0" autoPict="0" r:id="rId21">
            <anchor moveWithCells="1">
              <from>
                <xdr:col>4</xdr:col>
                <xdr:colOff>0</xdr:colOff>
                <xdr:row>1008</xdr:row>
                <xdr:rowOff>0</xdr:rowOff>
              </from>
              <to>
                <xdr:col>11</xdr:col>
                <xdr:colOff>238125</xdr:colOff>
                <xdr:row>1010</xdr:row>
                <xdr:rowOff>85725</xdr:rowOff>
              </to>
            </anchor>
          </objectPr>
        </oleObject>
      </mc:Choice>
      <mc:Fallback>
        <oleObject progId="Equation.3" shapeId="3120" r:id="rId20"/>
      </mc:Fallback>
    </mc:AlternateContent>
    <mc:AlternateContent xmlns:mc="http://schemas.openxmlformats.org/markup-compatibility/2006">
      <mc:Choice Requires="x14">
        <oleObject progId="Equation.3" shapeId="3121" r:id="rId22">
          <objectPr defaultSize="0" autoPict="0" r:id="rId23">
            <anchor moveWithCells="1">
              <from>
                <xdr:col>4</xdr:col>
                <xdr:colOff>0</xdr:colOff>
                <xdr:row>1010</xdr:row>
                <xdr:rowOff>104775</xdr:rowOff>
              </from>
              <to>
                <xdr:col>12</xdr:col>
                <xdr:colOff>238125</xdr:colOff>
                <xdr:row>1013</xdr:row>
                <xdr:rowOff>0</xdr:rowOff>
              </to>
            </anchor>
          </objectPr>
        </oleObject>
      </mc:Choice>
      <mc:Fallback>
        <oleObject progId="Equation.3" shapeId="3121" r:id="rId22"/>
      </mc:Fallback>
    </mc:AlternateContent>
    <mc:AlternateContent xmlns:mc="http://schemas.openxmlformats.org/markup-compatibility/2006">
      <mc:Choice Requires="x14">
        <oleObject progId="Equation.3" shapeId="3122" r:id="rId24">
          <objectPr defaultSize="0" autoPict="0" r:id="rId25">
            <anchor moveWithCells="1">
              <from>
                <xdr:col>1</xdr:col>
                <xdr:colOff>9525</xdr:colOff>
                <xdr:row>1006</xdr:row>
                <xdr:rowOff>104775</xdr:rowOff>
              </from>
              <to>
                <xdr:col>3</xdr:col>
                <xdr:colOff>542925</xdr:colOff>
                <xdr:row>1007</xdr:row>
                <xdr:rowOff>180975</xdr:rowOff>
              </to>
            </anchor>
          </objectPr>
        </oleObject>
      </mc:Choice>
      <mc:Fallback>
        <oleObject progId="Equation.3" shapeId="3122" r:id="rId24"/>
      </mc:Fallback>
    </mc:AlternateContent>
    <mc:AlternateContent xmlns:mc="http://schemas.openxmlformats.org/markup-compatibility/2006">
      <mc:Choice Requires="x14">
        <oleObject progId="Equation.3" shapeId="3124" r:id="rId26">
          <objectPr defaultSize="0" autoPict="0" r:id="rId27">
            <anchor moveWithCells="1">
              <from>
                <xdr:col>10</xdr:col>
                <xdr:colOff>0</xdr:colOff>
                <xdr:row>1024</xdr:row>
                <xdr:rowOff>180975</xdr:rowOff>
              </from>
              <to>
                <xdr:col>16</xdr:col>
                <xdr:colOff>0</xdr:colOff>
                <xdr:row>1026</xdr:row>
                <xdr:rowOff>142875</xdr:rowOff>
              </to>
            </anchor>
          </objectPr>
        </oleObject>
      </mc:Choice>
      <mc:Fallback>
        <oleObject progId="Equation.3" shapeId="3124" r:id="rId26"/>
      </mc:Fallback>
    </mc:AlternateContent>
    <mc:AlternateContent xmlns:mc="http://schemas.openxmlformats.org/markup-compatibility/2006">
      <mc:Choice Requires="x14">
        <oleObject progId="Equation.3" shapeId="3125" r:id="rId28">
          <objectPr defaultSize="0" autoPict="0" r:id="rId29">
            <anchor moveWithCells="1">
              <from>
                <xdr:col>18</xdr:col>
                <xdr:colOff>9525</xdr:colOff>
                <xdr:row>1013</xdr:row>
                <xdr:rowOff>28575</xdr:rowOff>
              </from>
              <to>
                <xdr:col>21</xdr:col>
                <xdr:colOff>28575</xdr:colOff>
                <xdr:row>1014</xdr:row>
                <xdr:rowOff>114300</xdr:rowOff>
              </to>
            </anchor>
          </objectPr>
        </oleObject>
      </mc:Choice>
      <mc:Fallback>
        <oleObject progId="Equation.3" shapeId="3125" r:id="rId28"/>
      </mc:Fallback>
    </mc:AlternateContent>
    <mc:AlternateContent xmlns:mc="http://schemas.openxmlformats.org/markup-compatibility/2006">
      <mc:Choice Requires="x14">
        <oleObject progId="Equation.3" shapeId="3127" r:id="rId30">
          <objectPr defaultSize="0" autoPict="0" r:id="rId31">
            <anchor moveWithCells="1">
              <from>
                <xdr:col>1</xdr:col>
                <xdr:colOff>9525</xdr:colOff>
                <xdr:row>1005</xdr:row>
                <xdr:rowOff>9525</xdr:rowOff>
              </from>
              <to>
                <xdr:col>10</xdr:col>
                <xdr:colOff>409575</xdr:colOff>
                <xdr:row>1006</xdr:row>
                <xdr:rowOff>85725</xdr:rowOff>
              </to>
            </anchor>
          </objectPr>
        </oleObject>
      </mc:Choice>
      <mc:Fallback>
        <oleObject progId="Equation.3" shapeId="3127" r:id="rId30"/>
      </mc:Fallback>
    </mc:AlternateContent>
    <mc:AlternateContent xmlns:mc="http://schemas.openxmlformats.org/markup-compatibility/2006">
      <mc:Choice Requires="x14">
        <oleObject progId="Equation.3" shapeId="3129" r:id="rId32">
          <objectPr defaultSize="0" autoPict="0" r:id="rId33">
            <anchor moveWithCells="1">
              <from>
                <xdr:col>4</xdr:col>
                <xdr:colOff>0</xdr:colOff>
                <xdr:row>1013</xdr:row>
                <xdr:rowOff>9525</xdr:rowOff>
              </from>
              <to>
                <xdr:col>8</xdr:col>
                <xdr:colOff>190500</xdr:colOff>
                <xdr:row>1014</xdr:row>
                <xdr:rowOff>161925</xdr:rowOff>
              </to>
            </anchor>
          </objectPr>
        </oleObject>
      </mc:Choice>
      <mc:Fallback>
        <oleObject progId="Equation.3" shapeId="3129" r:id="rId32"/>
      </mc:Fallback>
    </mc:AlternateContent>
    <mc:AlternateContent xmlns:mc="http://schemas.openxmlformats.org/markup-compatibility/2006">
      <mc:Choice Requires="x14">
        <oleObject progId="Equation.3" shapeId="3131" r:id="rId34">
          <objectPr defaultSize="0" autoPict="0" r:id="rId35">
            <anchor moveWithCells="1">
              <from>
                <xdr:col>20</xdr:col>
                <xdr:colOff>9525</xdr:colOff>
                <xdr:row>1018</xdr:row>
                <xdr:rowOff>47625</xdr:rowOff>
              </from>
              <to>
                <xdr:col>24</xdr:col>
                <xdr:colOff>1076325</xdr:colOff>
                <xdr:row>1019</xdr:row>
                <xdr:rowOff>142875</xdr:rowOff>
              </to>
            </anchor>
          </objectPr>
        </oleObject>
      </mc:Choice>
      <mc:Fallback>
        <oleObject progId="Equation.3" shapeId="3131" r:id="rId34"/>
      </mc:Fallback>
    </mc:AlternateContent>
    <mc:AlternateContent xmlns:mc="http://schemas.openxmlformats.org/markup-compatibility/2006">
      <mc:Choice Requires="x14">
        <oleObject progId="Equation.3" shapeId="3134" r:id="rId36">
          <objectPr defaultSize="0" autoPict="0" r:id="rId37">
            <anchor moveWithCells="1">
              <from>
                <xdr:col>10</xdr:col>
                <xdr:colOff>0</xdr:colOff>
                <xdr:row>1019</xdr:row>
                <xdr:rowOff>142875</xdr:rowOff>
              </from>
              <to>
                <xdr:col>20</xdr:col>
                <xdr:colOff>581025</xdr:colOff>
                <xdr:row>1022</xdr:row>
                <xdr:rowOff>47625</xdr:rowOff>
              </to>
            </anchor>
          </objectPr>
        </oleObject>
      </mc:Choice>
      <mc:Fallback>
        <oleObject progId="Equation.3" shapeId="3134" r:id="rId36"/>
      </mc:Fallback>
    </mc:AlternateContent>
    <mc:AlternateContent xmlns:mc="http://schemas.openxmlformats.org/markup-compatibility/2006">
      <mc:Choice Requires="x14">
        <oleObject progId="Equation.3" shapeId="3135" r:id="rId38">
          <objectPr defaultSize="0" autoPict="0" r:id="rId39">
            <anchor moveWithCells="1">
              <from>
                <xdr:col>12</xdr:col>
                <xdr:colOff>0</xdr:colOff>
                <xdr:row>1018</xdr:row>
                <xdr:rowOff>47625</xdr:rowOff>
              </from>
              <to>
                <xdr:col>19</xdr:col>
                <xdr:colOff>180975</xdr:colOff>
                <xdr:row>1019</xdr:row>
                <xdr:rowOff>142875</xdr:rowOff>
              </to>
            </anchor>
          </objectPr>
        </oleObject>
      </mc:Choice>
      <mc:Fallback>
        <oleObject progId="Equation.3" shapeId="3135" r:id="rId38"/>
      </mc:Fallback>
    </mc:AlternateContent>
    <mc:AlternateContent xmlns:mc="http://schemas.openxmlformats.org/markup-compatibility/2006">
      <mc:Choice Requires="x14">
        <oleObject progId="Equation.3" shapeId="3141" r:id="rId40">
          <objectPr defaultSize="0" autoPict="0" r:id="rId41">
            <anchor moveWithCells="1">
              <from>
                <xdr:col>33</xdr:col>
                <xdr:colOff>9525</xdr:colOff>
                <xdr:row>1007</xdr:row>
                <xdr:rowOff>123825</xdr:rowOff>
              </from>
              <to>
                <xdr:col>37</xdr:col>
                <xdr:colOff>276225</xdr:colOff>
                <xdr:row>1010</xdr:row>
                <xdr:rowOff>76200</xdr:rowOff>
              </to>
            </anchor>
          </objectPr>
        </oleObject>
      </mc:Choice>
      <mc:Fallback>
        <oleObject progId="Equation.3" shapeId="3141" r:id="rId40"/>
      </mc:Fallback>
    </mc:AlternateContent>
    <mc:AlternateContent xmlns:mc="http://schemas.openxmlformats.org/markup-compatibility/2006">
      <mc:Choice Requires="x14">
        <oleObject progId="Equation.3" shapeId="3142" r:id="rId42">
          <objectPr defaultSize="0" autoPict="0" r:id="rId43">
            <anchor moveWithCells="1">
              <from>
                <xdr:col>33</xdr:col>
                <xdr:colOff>9525</xdr:colOff>
                <xdr:row>1010</xdr:row>
                <xdr:rowOff>85725</xdr:rowOff>
              </from>
              <to>
                <xdr:col>35</xdr:col>
                <xdr:colOff>723900</xdr:colOff>
                <xdr:row>1013</xdr:row>
                <xdr:rowOff>47625</xdr:rowOff>
              </to>
            </anchor>
          </objectPr>
        </oleObject>
      </mc:Choice>
      <mc:Fallback>
        <oleObject progId="Equation.3" shapeId="3142" r:id="rId42"/>
      </mc:Fallback>
    </mc:AlternateContent>
    <mc:AlternateContent xmlns:mc="http://schemas.openxmlformats.org/markup-compatibility/2006">
      <mc:Choice Requires="x14">
        <oleObject progId="Equation.3" shapeId="3157" r:id="rId44">
          <objectPr defaultSize="0" autoPict="0" r:id="rId45">
            <anchor moveWithCells="1">
              <from>
                <xdr:col>4</xdr:col>
                <xdr:colOff>0</xdr:colOff>
                <xdr:row>1035</xdr:row>
                <xdr:rowOff>28575</xdr:rowOff>
              </from>
              <to>
                <xdr:col>11</xdr:col>
                <xdr:colOff>561975</xdr:colOff>
                <xdr:row>1038</xdr:row>
                <xdr:rowOff>28575</xdr:rowOff>
              </to>
            </anchor>
          </objectPr>
        </oleObject>
      </mc:Choice>
      <mc:Fallback>
        <oleObject progId="Equation.3" shapeId="3157" r:id="rId44"/>
      </mc:Fallback>
    </mc:AlternateContent>
    <mc:AlternateContent xmlns:mc="http://schemas.openxmlformats.org/markup-compatibility/2006">
      <mc:Choice Requires="x14">
        <oleObject progId="Equation.3" shapeId="3158" r:id="rId46">
          <objectPr defaultSize="0" autoPict="0" r:id="rId47">
            <anchor moveWithCells="1">
              <from>
                <xdr:col>4</xdr:col>
                <xdr:colOff>0</xdr:colOff>
                <xdr:row>1040</xdr:row>
                <xdr:rowOff>28575</xdr:rowOff>
              </from>
              <to>
                <xdr:col>12</xdr:col>
                <xdr:colOff>28575</xdr:colOff>
                <xdr:row>1043</xdr:row>
                <xdr:rowOff>28575</xdr:rowOff>
              </to>
            </anchor>
          </objectPr>
        </oleObject>
      </mc:Choice>
      <mc:Fallback>
        <oleObject progId="Equation.3" shapeId="3158" r:id="rId46"/>
      </mc:Fallback>
    </mc:AlternateContent>
    <mc:AlternateContent xmlns:mc="http://schemas.openxmlformats.org/markup-compatibility/2006">
      <mc:Choice Requires="x14">
        <oleObject progId="Equation.3" shapeId="3161" r:id="rId48">
          <objectPr defaultSize="0" autoPict="0" r:id="rId49">
            <anchor moveWithCells="1">
              <from>
                <xdr:col>18</xdr:col>
                <xdr:colOff>9525</xdr:colOff>
                <xdr:row>1014</xdr:row>
                <xdr:rowOff>123825</xdr:rowOff>
              </from>
              <to>
                <xdr:col>20</xdr:col>
                <xdr:colOff>333375</xdr:colOff>
                <xdr:row>1016</xdr:row>
                <xdr:rowOff>9525</xdr:rowOff>
              </to>
            </anchor>
          </objectPr>
        </oleObject>
      </mc:Choice>
      <mc:Fallback>
        <oleObject progId="Equation.3" shapeId="3161" r:id="rId48"/>
      </mc:Fallback>
    </mc:AlternateContent>
    <mc:AlternateContent xmlns:mc="http://schemas.openxmlformats.org/markup-compatibility/2006">
      <mc:Choice Requires="x14">
        <oleObject progId="Equation.3" shapeId="3162" r:id="rId50">
          <objectPr defaultSize="0" autoPict="0" r:id="rId51">
            <anchor moveWithCells="1">
              <from>
                <xdr:col>16</xdr:col>
                <xdr:colOff>257175</xdr:colOff>
                <xdr:row>1007</xdr:row>
                <xdr:rowOff>114300</xdr:rowOff>
              </from>
              <to>
                <xdr:col>32</xdr:col>
                <xdr:colOff>161925</xdr:colOff>
                <xdr:row>1010</xdr:row>
                <xdr:rowOff>85725</xdr:rowOff>
              </to>
            </anchor>
          </objectPr>
        </oleObject>
      </mc:Choice>
      <mc:Fallback>
        <oleObject progId="Equation.3" shapeId="3162" r:id="rId50"/>
      </mc:Fallback>
    </mc:AlternateContent>
    <mc:AlternateContent xmlns:mc="http://schemas.openxmlformats.org/markup-compatibility/2006">
      <mc:Choice Requires="x14">
        <oleObject progId="Equation.3" shapeId="3167" r:id="rId52">
          <objectPr defaultSize="0" autoPict="0" r:id="rId53">
            <anchor moveWithCells="1">
              <from>
                <xdr:col>4</xdr:col>
                <xdr:colOff>0</xdr:colOff>
                <xdr:row>1055</xdr:row>
                <xdr:rowOff>28575</xdr:rowOff>
              </from>
              <to>
                <xdr:col>12</xdr:col>
                <xdr:colOff>333375</xdr:colOff>
                <xdr:row>1058</xdr:row>
                <xdr:rowOff>47625</xdr:rowOff>
              </to>
            </anchor>
          </objectPr>
        </oleObject>
      </mc:Choice>
      <mc:Fallback>
        <oleObject progId="Equation.3" shapeId="3167" r:id="rId52"/>
      </mc:Fallback>
    </mc:AlternateContent>
    <mc:AlternateContent xmlns:mc="http://schemas.openxmlformats.org/markup-compatibility/2006">
      <mc:Choice Requires="x14">
        <oleObject progId="Equation.3" shapeId="3168" r:id="rId54">
          <objectPr defaultSize="0" autoPict="0" r:id="rId55">
            <anchor moveWithCells="1">
              <from>
                <xdr:col>4</xdr:col>
                <xdr:colOff>0</xdr:colOff>
                <xdr:row>1060</xdr:row>
                <xdr:rowOff>28575</xdr:rowOff>
              </from>
              <to>
                <xdr:col>15</xdr:col>
                <xdr:colOff>47625</xdr:colOff>
                <xdr:row>1063</xdr:row>
                <xdr:rowOff>47625</xdr:rowOff>
              </to>
            </anchor>
          </objectPr>
        </oleObject>
      </mc:Choice>
      <mc:Fallback>
        <oleObject progId="Equation.3" shapeId="3168" r:id="rId54"/>
      </mc:Fallback>
    </mc:AlternateContent>
    <mc:AlternateContent xmlns:mc="http://schemas.openxmlformats.org/markup-compatibility/2006">
      <mc:Choice Requires="x14">
        <oleObject progId="Equation.3" shapeId="3169" r:id="rId56">
          <objectPr defaultSize="0" autoPict="0" r:id="rId57">
            <anchor moveWithCells="1">
              <from>
                <xdr:col>4</xdr:col>
                <xdr:colOff>0</xdr:colOff>
                <xdr:row>1065</xdr:row>
                <xdr:rowOff>28575</xdr:rowOff>
              </from>
              <to>
                <xdr:col>16</xdr:col>
                <xdr:colOff>676275</xdr:colOff>
                <xdr:row>1068</xdr:row>
                <xdr:rowOff>47625</xdr:rowOff>
              </to>
            </anchor>
          </objectPr>
        </oleObject>
      </mc:Choice>
      <mc:Fallback>
        <oleObject progId="Equation.3" shapeId="3169" r:id="rId56"/>
      </mc:Fallback>
    </mc:AlternateContent>
    <mc:AlternateContent xmlns:mc="http://schemas.openxmlformats.org/markup-compatibility/2006">
      <mc:Choice Requires="x14">
        <oleObject progId="Equation.3" shapeId="3173" r:id="rId58">
          <objectPr defaultSize="0" autoPict="0" r:id="rId59">
            <anchor moveWithCells="1">
              <from>
                <xdr:col>4</xdr:col>
                <xdr:colOff>0</xdr:colOff>
                <xdr:row>1045</xdr:row>
                <xdr:rowOff>28575</xdr:rowOff>
              </from>
              <to>
                <xdr:col>16</xdr:col>
                <xdr:colOff>104775</xdr:colOff>
                <xdr:row>1048</xdr:row>
                <xdr:rowOff>28575</xdr:rowOff>
              </to>
            </anchor>
          </objectPr>
        </oleObject>
      </mc:Choice>
      <mc:Fallback>
        <oleObject progId="Equation.3" shapeId="3173" r:id="rId58"/>
      </mc:Fallback>
    </mc:AlternateContent>
    <mc:AlternateContent xmlns:mc="http://schemas.openxmlformats.org/markup-compatibility/2006">
      <mc:Choice Requires="x14">
        <oleObject progId="Equation.3" shapeId="3174" r:id="rId60">
          <objectPr defaultSize="0" autoPict="0" r:id="rId61">
            <anchor moveWithCells="1">
              <from>
                <xdr:col>4</xdr:col>
                <xdr:colOff>0</xdr:colOff>
                <xdr:row>1050</xdr:row>
                <xdr:rowOff>28575</xdr:rowOff>
              </from>
              <to>
                <xdr:col>16</xdr:col>
                <xdr:colOff>390525</xdr:colOff>
                <xdr:row>1053</xdr:row>
                <xdr:rowOff>47625</xdr:rowOff>
              </to>
            </anchor>
          </objectPr>
        </oleObject>
      </mc:Choice>
      <mc:Fallback>
        <oleObject progId="Equation.3" shapeId="3174" r:id="rId60"/>
      </mc:Fallback>
    </mc:AlternateContent>
    <mc:AlternateContent xmlns:mc="http://schemas.openxmlformats.org/markup-compatibility/2006">
      <mc:Choice Requires="x14">
        <oleObject progId="Equation.3" shapeId="3178" r:id="rId62">
          <objectPr defaultSize="0" autoPict="0" r:id="rId63">
            <anchor moveWithCells="1">
              <from>
                <xdr:col>4</xdr:col>
                <xdr:colOff>0</xdr:colOff>
                <xdr:row>1070</xdr:row>
                <xdr:rowOff>28575</xdr:rowOff>
              </from>
              <to>
                <xdr:col>12</xdr:col>
                <xdr:colOff>409575</xdr:colOff>
                <xdr:row>1073</xdr:row>
                <xdr:rowOff>47625</xdr:rowOff>
              </to>
            </anchor>
          </objectPr>
        </oleObject>
      </mc:Choice>
      <mc:Fallback>
        <oleObject progId="Equation.3" shapeId="3178" r:id="rId62"/>
      </mc:Fallback>
    </mc:AlternateContent>
    <mc:AlternateContent xmlns:mc="http://schemas.openxmlformats.org/markup-compatibility/2006">
      <mc:Choice Requires="x14">
        <oleObject progId="Equation.3" shapeId="3188" r:id="rId64">
          <objectPr defaultSize="0" autoPict="0" r:id="rId65">
            <anchor moveWithCells="1">
              <from>
                <xdr:col>19</xdr:col>
                <xdr:colOff>0</xdr:colOff>
                <xdr:row>1053</xdr:row>
                <xdr:rowOff>28575</xdr:rowOff>
              </from>
              <to>
                <xdr:col>32</xdr:col>
                <xdr:colOff>419100</xdr:colOff>
                <xdr:row>1056</xdr:row>
                <xdr:rowOff>28575</xdr:rowOff>
              </to>
            </anchor>
          </objectPr>
        </oleObject>
      </mc:Choice>
      <mc:Fallback>
        <oleObject progId="Equation.3" shapeId="3188" r:id="rId64"/>
      </mc:Fallback>
    </mc:AlternateContent>
    <mc:AlternateContent xmlns:mc="http://schemas.openxmlformats.org/markup-compatibility/2006">
      <mc:Choice Requires="x14">
        <oleObject progId="Equation.3" shapeId="3192" r:id="rId66">
          <objectPr defaultSize="0" autoPict="0" r:id="rId67">
            <anchor moveWithCells="1">
              <from>
                <xdr:col>21</xdr:col>
                <xdr:colOff>28575</xdr:colOff>
                <xdr:row>1022</xdr:row>
                <xdr:rowOff>47625</xdr:rowOff>
              </from>
              <to>
                <xdr:col>32</xdr:col>
                <xdr:colOff>266700</xdr:colOff>
                <xdr:row>1024</xdr:row>
                <xdr:rowOff>142875</xdr:rowOff>
              </to>
            </anchor>
          </objectPr>
        </oleObject>
      </mc:Choice>
      <mc:Fallback>
        <oleObject progId="Equation.3" shapeId="3192" r:id="rId66"/>
      </mc:Fallback>
    </mc:AlternateContent>
    <mc:AlternateContent xmlns:mc="http://schemas.openxmlformats.org/markup-compatibility/2006">
      <mc:Choice Requires="x14">
        <oleObject progId="Equation.3" shapeId="3220" r:id="rId68">
          <objectPr defaultSize="0" autoPict="0" r:id="rId69">
            <anchor moveWithCells="1">
              <from>
                <xdr:col>33</xdr:col>
                <xdr:colOff>0</xdr:colOff>
                <xdr:row>1017</xdr:row>
                <xdr:rowOff>28575</xdr:rowOff>
              </from>
              <to>
                <xdr:col>36</xdr:col>
                <xdr:colOff>161925</xdr:colOff>
                <xdr:row>1020</xdr:row>
                <xdr:rowOff>28575</xdr:rowOff>
              </to>
            </anchor>
          </objectPr>
        </oleObject>
      </mc:Choice>
      <mc:Fallback>
        <oleObject progId="Equation.3" shapeId="3220" r:id="rId68"/>
      </mc:Fallback>
    </mc:AlternateContent>
    <mc:AlternateContent xmlns:mc="http://schemas.openxmlformats.org/markup-compatibility/2006">
      <mc:Choice Requires="x14">
        <oleObject progId="Equation.3" shapeId="3222" r:id="rId70">
          <objectPr defaultSize="0" autoPict="0" r:id="rId71">
            <anchor moveWithCells="1">
              <from>
                <xdr:col>33</xdr:col>
                <xdr:colOff>0</xdr:colOff>
                <xdr:row>1014</xdr:row>
                <xdr:rowOff>0</xdr:rowOff>
              </from>
              <to>
                <xdr:col>36</xdr:col>
                <xdr:colOff>695325</xdr:colOff>
                <xdr:row>1017</xdr:row>
                <xdr:rowOff>0</xdr:rowOff>
              </to>
            </anchor>
          </objectPr>
        </oleObject>
      </mc:Choice>
      <mc:Fallback>
        <oleObject progId="Equation.3" shapeId="3222" r:id="rId70"/>
      </mc:Fallback>
    </mc:AlternateContent>
    <mc:AlternateContent xmlns:mc="http://schemas.openxmlformats.org/markup-compatibility/2006">
      <mc:Choice Requires="x14">
        <oleObject progId="Equation.3" shapeId="3223" r:id="rId72">
          <objectPr defaultSize="0" autoPict="0" r:id="rId73">
            <anchor moveWithCells="1">
              <from>
                <xdr:col>33</xdr:col>
                <xdr:colOff>0</xdr:colOff>
                <xdr:row>1020</xdr:row>
                <xdr:rowOff>47625</xdr:rowOff>
              </from>
              <to>
                <xdr:col>35</xdr:col>
                <xdr:colOff>142875</xdr:colOff>
                <xdr:row>1023</xdr:row>
                <xdr:rowOff>47625</xdr:rowOff>
              </to>
            </anchor>
          </objectPr>
        </oleObject>
      </mc:Choice>
      <mc:Fallback>
        <oleObject progId="Equation.3" shapeId="3223" r:id="rId72"/>
      </mc:Fallback>
    </mc:AlternateContent>
    <mc:AlternateContent xmlns:mc="http://schemas.openxmlformats.org/markup-compatibility/2006">
      <mc:Choice Requires="x14">
        <oleObject progId="Equation.3" shapeId="3225" r:id="rId74">
          <objectPr defaultSize="0" autoPict="0" r:id="rId75">
            <anchor moveWithCells="1">
              <from>
                <xdr:col>33</xdr:col>
                <xdr:colOff>0</xdr:colOff>
                <xdr:row>1023</xdr:row>
                <xdr:rowOff>66675</xdr:rowOff>
              </from>
              <to>
                <xdr:col>36</xdr:col>
                <xdr:colOff>47625</xdr:colOff>
                <xdr:row>1026</xdr:row>
                <xdr:rowOff>66675</xdr:rowOff>
              </to>
            </anchor>
          </objectPr>
        </oleObject>
      </mc:Choice>
      <mc:Fallback>
        <oleObject progId="Equation.3" shapeId="3225" r:id="rId74"/>
      </mc:Fallback>
    </mc:AlternateContent>
    <mc:AlternateContent xmlns:mc="http://schemas.openxmlformats.org/markup-compatibility/2006">
      <mc:Choice Requires="x14">
        <oleObject progId="Equation.3" shapeId="3281" r:id="rId76">
          <objectPr defaultSize="0" autoPict="0" r:id="rId77">
            <anchor moveWithCells="1">
              <from>
                <xdr:col>19</xdr:col>
                <xdr:colOff>0</xdr:colOff>
                <xdr:row>1048</xdr:row>
                <xdr:rowOff>28575</xdr:rowOff>
              </from>
              <to>
                <xdr:col>34</xdr:col>
                <xdr:colOff>352425</xdr:colOff>
                <xdr:row>1051</xdr:row>
                <xdr:rowOff>85725</xdr:rowOff>
              </to>
            </anchor>
          </objectPr>
        </oleObject>
      </mc:Choice>
      <mc:Fallback>
        <oleObject progId="Equation.3" shapeId="3281" r:id="rId76"/>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8">
    <pageSetUpPr fitToPage="1"/>
  </sheetPr>
  <dimension ref="A1:M81"/>
  <sheetViews>
    <sheetView showGridLines="0" zoomScaleNormal="100" workbookViewId="0">
      <selection activeCell="E13" sqref="E13"/>
    </sheetView>
  </sheetViews>
  <sheetFormatPr baseColWidth="10" defaultRowHeight="12.75" x14ac:dyDescent="0.2"/>
  <cols>
    <col min="1" max="1" width="2.140625" customWidth="1"/>
    <col min="2" max="2" width="16.140625" customWidth="1"/>
    <col min="3" max="4" width="11.42578125" customWidth="1"/>
  </cols>
  <sheetData>
    <row r="1" spans="1:13" x14ac:dyDescent="0.2">
      <c r="A1" s="51"/>
      <c r="B1" s="52"/>
      <c r="C1" s="53"/>
      <c r="D1" s="52"/>
      <c r="E1" s="72"/>
      <c r="F1" s="72"/>
      <c r="G1" s="72"/>
      <c r="H1" s="72"/>
      <c r="I1" s="72"/>
      <c r="J1" s="72"/>
      <c r="K1" s="72"/>
      <c r="L1" s="72"/>
      <c r="M1" s="73"/>
    </row>
    <row r="2" spans="1:13" ht="12.75" customHeight="1" x14ac:dyDescent="0.2">
      <c r="A2" s="56"/>
      <c r="B2" s="2"/>
      <c r="C2" s="598" t="s">
        <v>281</v>
      </c>
      <c r="D2" s="598"/>
      <c r="M2" s="75"/>
    </row>
    <row r="3" spans="1:13" ht="12.75" customHeight="1" x14ac:dyDescent="0.2">
      <c r="A3" s="56"/>
      <c r="B3" s="2"/>
      <c r="C3" s="598"/>
      <c r="D3" s="598"/>
      <c r="M3" s="75"/>
    </row>
    <row r="4" spans="1:13" x14ac:dyDescent="0.2">
      <c r="A4" s="56"/>
      <c r="B4" s="2"/>
      <c r="C4" s="603" t="str">
        <f>IF(Lang="Français","Abaques de performance",IF(Lang="English","Performance charts",""))</f>
        <v>Abaques de performance</v>
      </c>
      <c r="D4" s="603"/>
      <c r="M4" s="75"/>
    </row>
    <row r="5" spans="1:13" x14ac:dyDescent="0.2">
      <c r="A5" s="56"/>
      <c r="B5" s="2"/>
      <c r="C5" s="603" t="str">
        <f>IF(Lang="Français","Calcul analytique simple",IF(Lang="English","Analytical computation",""))</f>
        <v>Calcul analytique simple</v>
      </c>
      <c r="D5" s="603"/>
      <c r="M5" s="75"/>
    </row>
    <row r="6" spans="1:13" x14ac:dyDescent="0.2">
      <c r="A6" s="56"/>
      <c r="B6" s="87"/>
      <c r="C6" s="1"/>
      <c r="D6" s="1"/>
      <c r="M6" s="75"/>
    </row>
    <row r="7" spans="1:13" x14ac:dyDescent="0.2">
      <c r="A7" s="59"/>
      <c r="B7" s="6"/>
      <c r="C7" s="599" t="str">
        <f>IF(Lang="Français","Fusée",IF(Lang="English","Rocket",""))</f>
        <v>Fusée</v>
      </c>
      <c r="D7" s="599"/>
      <c r="M7" s="75"/>
    </row>
    <row r="8" spans="1:13" ht="15.75" x14ac:dyDescent="0.25">
      <c r="A8" s="59"/>
      <c r="B8" s="140" t="str">
        <f>IF(Lang="Français","Nom",IF(Lang="English","Name",""))</f>
        <v>Nom</v>
      </c>
      <c r="C8" s="600" t="str">
        <f>Nom</f>
        <v>SP02-Alpha</v>
      </c>
      <c r="D8" s="600"/>
      <c r="M8" s="75"/>
    </row>
    <row r="9" spans="1:13" ht="15.75" x14ac:dyDescent="0.25">
      <c r="A9" s="59"/>
      <c r="B9" s="140" t="s">
        <v>4</v>
      </c>
      <c r="C9" s="600" t="str">
        <f>Club</f>
        <v>L'AéroIPSA</v>
      </c>
      <c r="D9" s="600"/>
      <c r="M9" s="75"/>
    </row>
    <row r="10" spans="1:13" ht="15.75" x14ac:dyDescent="0.25">
      <c r="A10" s="59"/>
      <c r="B10" s="140" t="s">
        <v>563</v>
      </c>
      <c r="C10" s="666" t="str">
        <f>Matricule</f>
        <v>MF0</v>
      </c>
      <c r="D10" s="667"/>
      <c r="M10" s="75"/>
    </row>
    <row r="11" spans="1:13" x14ac:dyDescent="0.2">
      <c r="A11" s="59"/>
      <c r="B11" s="140" t="str">
        <f>IF(Lang="Français","Masse sans propu",IF(Lang="English","Mass without M",""))</f>
        <v>Masse sans propu</v>
      </c>
      <c r="C11" s="662">
        <f>MasseSans</f>
        <v>2.5950000000000002</v>
      </c>
      <c r="D11" s="662"/>
      <c r="M11" s="75"/>
    </row>
    <row r="12" spans="1:13" x14ac:dyDescent="0.2">
      <c r="A12" s="59"/>
      <c r="B12" s="140" t="str">
        <f>IF(Lang="Français","Masse totale",IF(Lang="English","Total mass",""))</f>
        <v>Masse totale</v>
      </c>
      <c r="C12" s="665" t="str">
        <f ca="1">MassePlein &amp; " kg ±" &amp; MasseSans &amp; " kg"</f>
        <v>2,5951 kg ±2,595 kg</v>
      </c>
      <c r="D12" s="665"/>
      <c r="M12" s="75"/>
    </row>
    <row r="13" spans="1:13" x14ac:dyDescent="0.2">
      <c r="A13" s="59"/>
      <c r="B13" s="227" t="str">
        <f>IF(Lang="Français","Propulseur",IF(Lang="English","Motor",""))</f>
        <v>Propulseur</v>
      </c>
      <c r="C13" s="628" t="str">
        <f>Propu</f>
        <v>Aucun (2e ét. inerte)</v>
      </c>
      <c r="D13" s="629"/>
      <c r="M13" s="75"/>
    </row>
    <row r="14" spans="1:13" x14ac:dyDescent="0.2">
      <c r="A14" s="59"/>
      <c r="B14" s="1"/>
      <c r="C14" s="1"/>
      <c r="D14" s="1"/>
      <c r="M14" s="75"/>
    </row>
    <row r="15" spans="1:13" x14ac:dyDescent="0.2">
      <c r="A15" s="74"/>
      <c r="C15" s="599" t="str">
        <f>IF(Lang="Français","Traînée Aérdynamique",IF(Lang="English","Drag",""))</f>
        <v>Traînée Aérdynamique</v>
      </c>
      <c r="D15" s="599"/>
      <c r="M15" s="75"/>
    </row>
    <row r="16" spans="1:13" x14ac:dyDescent="0.2">
      <c r="A16" s="74"/>
      <c r="B16" s="139" t="str">
        <f>IF(Lang="Français","Diamètre Ø",IF(Lang="English","Diameter Ø",""))</f>
        <v>Diamètre Ø</v>
      </c>
      <c r="C16" s="663">
        <f>D_ref</f>
        <v>84</v>
      </c>
      <c r="D16" s="663"/>
      <c r="M16" s="75"/>
    </row>
    <row r="17" spans="1:13" x14ac:dyDescent="0.2">
      <c r="A17" s="74"/>
      <c r="B17" s="140" t="s">
        <v>5</v>
      </c>
      <c r="C17" s="664">
        <f>Cx</f>
        <v>0.6</v>
      </c>
      <c r="D17" s="664"/>
      <c r="M17" s="75"/>
    </row>
    <row r="18" spans="1:13" x14ac:dyDescent="0.2">
      <c r="A18" s="74"/>
      <c r="M18" s="75"/>
    </row>
    <row r="19" spans="1:13" x14ac:dyDescent="0.2">
      <c r="A19" s="74"/>
      <c r="M19" s="75"/>
    </row>
    <row r="20" spans="1:13" x14ac:dyDescent="0.2">
      <c r="A20" s="74"/>
      <c r="M20" s="75"/>
    </row>
    <row r="21" spans="1:13" x14ac:dyDescent="0.2">
      <c r="A21" s="74"/>
      <c r="M21" s="75"/>
    </row>
    <row r="22" spans="1:13" x14ac:dyDescent="0.2">
      <c r="A22" s="74"/>
      <c r="M22" s="75"/>
    </row>
    <row r="23" spans="1:13" x14ac:dyDescent="0.2">
      <c r="A23" s="74"/>
      <c r="M23" s="75"/>
    </row>
    <row r="24" spans="1:13" x14ac:dyDescent="0.2">
      <c r="A24" s="74"/>
      <c r="M24" s="75"/>
    </row>
    <row r="25" spans="1:13" x14ac:dyDescent="0.2">
      <c r="A25" s="74"/>
      <c r="M25" s="75"/>
    </row>
    <row r="26" spans="1:13" x14ac:dyDescent="0.2">
      <c r="A26" s="74"/>
      <c r="M26" s="75"/>
    </row>
    <row r="27" spans="1:13" x14ac:dyDescent="0.2">
      <c r="A27" s="74"/>
      <c r="M27" s="75"/>
    </row>
    <row r="28" spans="1:13" x14ac:dyDescent="0.2">
      <c r="A28" s="74"/>
      <c r="M28" s="75"/>
    </row>
    <row r="29" spans="1:13" x14ac:dyDescent="0.2">
      <c r="A29" s="74"/>
      <c r="M29" s="75"/>
    </row>
    <row r="30" spans="1:13" x14ac:dyDescent="0.2">
      <c r="A30" s="74"/>
      <c r="M30" s="75"/>
    </row>
    <row r="31" spans="1:13" x14ac:dyDescent="0.2">
      <c r="A31" s="74"/>
      <c r="M31" s="75"/>
    </row>
    <row r="32" spans="1:13" x14ac:dyDescent="0.2">
      <c r="A32" s="74"/>
      <c r="M32" s="75"/>
    </row>
    <row r="33" spans="1:13" x14ac:dyDescent="0.2">
      <c r="A33" s="74"/>
      <c r="M33" s="75"/>
    </row>
    <row r="34" spans="1:13" x14ac:dyDescent="0.2">
      <c r="A34" s="74"/>
      <c r="M34" s="75"/>
    </row>
    <row r="35" spans="1:13" x14ac:dyDescent="0.2">
      <c r="A35" s="74"/>
      <c r="M35" s="75"/>
    </row>
    <row r="36" spans="1:13" x14ac:dyDescent="0.2">
      <c r="A36" s="74"/>
      <c r="M36" s="75"/>
    </row>
    <row r="37" spans="1:13" ht="13.5" thickBot="1" x14ac:dyDescent="0.25">
      <c r="A37" s="77"/>
      <c r="B37" s="78"/>
      <c r="C37" s="78"/>
      <c r="D37" s="78"/>
      <c r="E37" s="78"/>
      <c r="F37" s="78"/>
      <c r="G37" s="78"/>
      <c r="H37" s="78"/>
      <c r="I37" s="78"/>
      <c r="J37" s="78"/>
      <c r="K37" s="78"/>
      <c r="L37" s="78"/>
      <c r="M37" s="79"/>
    </row>
    <row r="41" spans="1:13" x14ac:dyDescent="0.2">
      <c r="B41" s="419" t="s">
        <v>61</v>
      </c>
      <c r="C41" s="170" t="s">
        <v>285</v>
      </c>
      <c r="D41" s="134" t="s">
        <v>282</v>
      </c>
      <c r="E41" s="134" t="s">
        <v>286</v>
      </c>
      <c r="F41" s="134" t="s">
        <v>287</v>
      </c>
      <c r="G41" s="134" t="s">
        <v>13</v>
      </c>
      <c r="H41" s="134" t="s">
        <v>283</v>
      </c>
      <c r="I41" s="134" t="s">
        <v>284</v>
      </c>
      <c r="J41" s="134" t="s">
        <v>299</v>
      </c>
      <c r="K41" s="134" t="s">
        <v>300</v>
      </c>
      <c r="L41" s="134" t="s">
        <v>302</v>
      </c>
      <c r="M41" s="134" t="s">
        <v>290</v>
      </c>
    </row>
    <row r="42" spans="1:13" x14ac:dyDescent="0.2">
      <c r="B42" s="420" t="s">
        <v>291</v>
      </c>
      <c r="C42" s="170" t="s">
        <v>292</v>
      </c>
      <c r="D42" s="134" t="s">
        <v>293</v>
      </c>
      <c r="E42" s="134" t="s">
        <v>294</v>
      </c>
      <c r="F42" s="134" t="s">
        <v>295</v>
      </c>
      <c r="G42" s="134" t="s">
        <v>296</v>
      </c>
      <c r="H42" s="134" t="s">
        <v>297</v>
      </c>
      <c r="I42" s="134" t="s">
        <v>298</v>
      </c>
      <c r="J42" s="134" t="s">
        <v>288</v>
      </c>
      <c r="K42" s="134" t="s">
        <v>289</v>
      </c>
      <c r="L42" s="134"/>
      <c r="M42" s="134"/>
    </row>
    <row r="43" spans="1:13" x14ac:dyDescent="0.2">
      <c r="B43" s="425">
        <f t="shared" ref="B43:B51" ca="1" si="0">MAX(D_ref*0.5, Diam_propu)</f>
        <v>42</v>
      </c>
      <c r="C43" s="403">
        <f t="shared" ref="C43:C69" ca="1" si="1">1/2*Rho_moyen*PI()*D_var^2/4*Cx/10^6</f>
        <v>5.0915006738566377E-4</v>
      </c>
      <c r="D43" s="400">
        <f ca="1">MpropuPlein+0*MasseSans</f>
        <v>1E-4</v>
      </c>
      <c r="E43" s="400">
        <f t="shared" ref="E43:E69" ca="1" si="2">m_var - 0.5*m_poudre</f>
        <v>5.0000000000000002E-5</v>
      </c>
      <c r="F43" s="400">
        <f t="shared" ref="F43:F69" ca="1" si="3">m_var - m_poudre</f>
        <v>0</v>
      </c>
      <c r="G43" s="407">
        <f t="shared" ref="G43:G69" ca="1" si="4">MAX(0, (I_total/Temps_fin_propu)/m_prop-g)</f>
        <v>10.19</v>
      </c>
      <c r="H43" s="406">
        <f t="shared" ref="H43:H69" ca="1" si="5">Q_var/m_prop</f>
        <v>10.183001347713274</v>
      </c>
      <c r="I43" s="403" t="e">
        <f t="shared" ref="I43:I69" ca="1" si="6">Q_var/m_bal</f>
        <v>#DIV/0!</v>
      </c>
      <c r="J43" s="403">
        <f t="shared" ref="J43:J69" ca="1" si="7">1/(2*b_prop)*LN(  ((EXP(2*SQRT(a_prop*b_prop)*Temps_fin_propu)+1)^2)  /  (((1+1)^2)*EXP(2*SQRT(a_prop*b_prop)*Temps_fin_propu)))</f>
        <v>0.93227453964675222</v>
      </c>
      <c r="K43" s="410">
        <f t="shared" ref="K43:K69" ca="1" si="8">SQRT(a_prop/b_prop)  *  (EXP(2*SQRT(a_prop*b_prop)*Temps_fin_propu)-1)/(EXP(2*SQRT(a_prop*b_prop)*Temps_fin_propu)+1)</f>
        <v>1.0003435820197859</v>
      </c>
      <c r="L43" s="413" t="e">
        <f t="shared" ref="L43:L69" ca="1" si="9">alt_prop + 1/(2*b_bal) * LN(1+b_bal/g*V_prop^2)</f>
        <v>#DIV/0!</v>
      </c>
      <c r="M43" s="416" t="e">
        <f t="shared" ref="M43:M69" ca="1" si="10">Temps_fin_propu + ATAN(SQRT(b_bal/g)*V_prop)/SQRT(b_bal*g)</f>
        <v>#DIV/0!</v>
      </c>
    </row>
    <row r="44" spans="1:13" x14ac:dyDescent="0.2">
      <c r="B44" s="426">
        <f t="shared" ca="1" si="0"/>
        <v>42</v>
      </c>
      <c r="C44" s="404">
        <f t="shared" ca="1" si="1"/>
        <v>5.0915006738566377E-4</v>
      </c>
      <c r="D44" s="401">
        <f ca="1">MpropuPlein+0.25*MasseSans</f>
        <v>0.64885000000000004</v>
      </c>
      <c r="E44" s="401">
        <f t="shared" ca="1" si="2"/>
        <v>0.64880000000000004</v>
      </c>
      <c r="F44" s="401">
        <f t="shared" ca="1" si="3"/>
        <v>0.64875000000000005</v>
      </c>
      <c r="G44" s="408">
        <f t="shared" ca="1" si="4"/>
        <v>0</v>
      </c>
      <c r="H44" s="404">
        <f t="shared" ca="1" si="5"/>
        <v>7.8475657735151627E-4</v>
      </c>
      <c r="I44" s="404">
        <f t="shared" ca="1" si="6"/>
        <v>7.8481705955400956E-4</v>
      </c>
      <c r="J44" s="404">
        <f t="shared" ca="1" si="7"/>
        <v>0</v>
      </c>
      <c r="K44" s="411">
        <f t="shared" ca="1" si="8"/>
        <v>0</v>
      </c>
      <c r="L44" s="414">
        <f t="shared" ca="1" si="9"/>
        <v>0</v>
      </c>
      <c r="M44" s="417">
        <f t="shared" ca="1" si="10"/>
        <v>1</v>
      </c>
    </row>
    <row r="45" spans="1:13" x14ac:dyDescent="0.2">
      <c r="B45" s="426">
        <f t="shared" ca="1" si="0"/>
        <v>42</v>
      </c>
      <c r="C45" s="404">
        <f t="shared" ca="1" si="1"/>
        <v>5.0915006738566377E-4</v>
      </c>
      <c r="D45" s="401">
        <f ca="1">MpropuPlein+0.5*MasseSans</f>
        <v>1.2976000000000001</v>
      </c>
      <c r="E45" s="401">
        <f t="shared" ca="1" si="2"/>
        <v>1.29755</v>
      </c>
      <c r="F45" s="401">
        <f t="shared" ca="1" si="3"/>
        <v>1.2975000000000001</v>
      </c>
      <c r="G45" s="408">
        <f t="shared" ca="1" si="4"/>
        <v>0</v>
      </c>
      <c r="H45" s="404">
        <f t="shared" ca="1" si="5"/>
        <v>3.9239340864372378E-4</v>
      </c>
      <c r="I45" s="404">
        <f t="shared" ca="1" si="6"/>
        <v>3.9240852977700478E-4</v>
      </c>
      <c r="J45" s="404">
        <f t="shared" ca="1" si="7"/>
        <v>0</v>
      </c>
      <c r="K45" s="411">
        <f t="shared" ca="1" si="8"/>
        <v>0</v>
      </c>
      <c r="L45" s="414">
        <f t="shared" ca="1" si="9"/>
        <v>0</v>
      </c>
      <c r="M45" s="417">
        <f t="shared" ca="1" si="10"/>
        <v>1</v>
      </c>
    </row>
    <row r="46" spans="1:13" x14ac:dyDescent="0.2">
      <c r="B46" s="426">
        <f t="shared" ca="1" si="0"/>
        <v>42</v>
      </c>
      <c r="C46" s="404">
        <f t="shared" ca="1" si="1"/>
        <v>5.0915006738566377E-4</v>
      </c>
      <c r="D46" s="401">
        <f ca="1">MpropuPlein+0.75*MasseSans</f>
        <v>1.94635</v>
      </c>
      <c r="E46" s="401">
        <f t="shared" ca="1" si="2"/>
        <v>1.9462999999999999</v>
      </c>
      <c r="F46" s="401">
        <f t="shared" ca="1" si="3"/>
        <v>1.94625</v>
      </c>
      <c r="G46" s="408">
        <f t="shared" ca="1" si="4"/>
        <v>0</v>
      </c>
      <c r="H46" s="404">
        <f t="shared" ca="1" si="5"/>
        <v>2.6159896592799865E-4</v>
      </c>
      <c r="I46" s="404">
        <f t="shared" ca="1" si="6"/>
        <v>2.6160568651800324E-4</v>
      </c>
      <c r="J46" s="404">
        <f t="shared" ca="1" si="7"/>
        <v>0</v>
      </c>
      <c r="K46" s="411">
        <f t="shared" ca="1" si="8"/>
        <v>0</v>
      </c>
      <c r="L46" s="414">
        <f t="shared" ca="1" si="9"/>
        <v>0</v>
      </c>
      <c r="M46" s="417">
        <f t="shared" ca="1" si="10"/>
        <v>1</v>
      </c>
    </row>
    <row r="47" spans="1:13" x14ac:dyDescent="0.2">
      <c r="B47" s="426">
        <f t="shared" ca="1" si="0"/>
        <v>42</v>
      </c>
      <c r="C47" s="404">
        <f t="shared" ca="1" si="1"/>
        <v>5.0915006738566377E-4</v>
      </c>
      <c r="D47" s="401">
        <f ca="1">MpropuPlein+1*MasseSans</f>
        <v>2.5951000000000004</v>
      </c>
      <c r="E47" s="401">
        <f t="shared" ca="1" si="2"/>
        <v>2.5950500000000005</v>
      </c>
      <c r="F47" s="401">
        <f t="shared" ca="1" si="3"/>
        <v>2.5950000000000002</v>
      </c>
      <c r="G47" s="408">
        <f t="shared" ca="1" si="4"/>
        <v>0</v>
      </c>
      <c r="H47" s="404">
        <f t="shared" ca="1" si="5"/>
        <v>1.962004845323457E-4</v>
      </c>
      <c r="I47" s="404">
        <f t="shared" ca="1" si="6"/>
        <v>1.9620426488850239E-4</v>
      </c>
      <c r="J47" s="404">
        <f t="shared" ca="1" si="7"/>
        <v>0</v>
      </c>
      <c r="K47" s="411">
        <f t="shared" ca="1" si="8"/>
        <v>0</v>
      </c>
      <c r="L47" s="414">
        <f t="shared" ca="1" si="9"/>
        <v>0</v>
      </c>
      <c r="M47" s="417">
        <f t="shared" ca="1" si="10"/>
        <v>1</v>
      </c>
    </row>
    <row r="48" spans="1:13" x14ac:dyDescent="0.2">
      <c r="B48" s="426">
        <f t="shared" ca="1" si="0"/>
        <v>42</v>
      </c>
      <c r="C48" s="404">
        <f t="shared" ca="1" si="1"/>
        <v>5.0915006738566377E-4</v>
      </c>
      <c r="D48" s="401">
        <f ca="1">MpropuPlein+1.25*MasseSans</f>
        <v>3.2438500000000006</v>
      </c>
      <c r="E48" s="401">
        <f t="shared" ca="1" si="2"/>
        <v>3.2438000000000007</v>
      </c>
      <c r="F48" s="401">
        <f t="shared" ca="1" si="3"/>
        <v>3.2437500000000004</v>
      </c>
      <c r="G48" s="408">
        <f t="shared" ca="1" si="4"/>
        <v>0</v>
      </c>
      <c r="H48" s="404">
        <f t="shared" ca="1" si="5"/>
        <v>1.5696099247353834E-4</v>
      </c>
      <c r="I48" s="404">
        <f t="shared" ca="1" si="6"/>
        <v>1.5696341191080192E-4</v>
      </c>
      <c r="J48" s="404">
        <f t="shared" ca="1" si="7"/>
        <v>0</v>
      </c>
      <c r="K48" s="411">
        <f t="shared" ca="1" si="8"/>
        <v>0</v>
      </c>
      <c r="L48" s="414">
        <f t="shared" ca="1" si="9"/>
        <v>0</v>
      </c>
      <c r="M48" s="417">
        <f t="shared" ca="1" si="10"/>
        <v>1</v>
      </c>
    </row>
    <row r="49" spans="2:13" x14ac:dyDescent="0.2">
      <c r="B49" s="426">
        <f t="shared" ca="1" si="0"/>
        <v>42</v>
      </c>
      <c r="C49" s="404">
        <f t="shared" ca="1" si="1"/>
        <v>5.0915006738566377E-4</v>
      </c>
      <c r="D49" s="401">
        <f ca="1">MpropuPlein+1.5*MasseSans</f>
        <v>3.8926000000000003</v>
      </c>
      <c r="E49" s="401">
        <f t="shared" ca="1" si="2"/>
        <v>3.8925500000000004</v>
      </c>
      <c r="F49" s="401">
        <f t="shared" ca="1" si="3"/>
        <v>3.8925000000000001</v>
      </c>
      <c r="G49" s="408">
        <f t="shared" ca="1" si="4"/>
        <v>0</v>
      </c>
      <c r="H49" s="404">
        <f t="shared" ca="1" si="5"/>
        <v>1.3080116308991887E-4</v>
      </c>
      <c r="I49" s="404">
        <f t="shared" ca="1" si="6"/>
        <v>1.3080284325900162E-4</v>
      </c>
      <c r="J49" s="404">
        <f t="shared" ca="1" si="7"/>
        <v>0</v>
      </c>
      <c r="K49" s="411">
        <f t="shared" ca="1" si="8"/>
        <v>0</v>
      </c>
      <c r="L49" s="414">
        <f t="shared" ca="1" si="9"/>
        <v>0</v>
      </c>
      <c r="M49" s="417">
        <f t="shared" ca="1" si="10"/>
        <v>1</v>
      </c>
    </row>
    <row r="50" spans="2:13" x14ac:dyDescent="0.2">
      <c r="B50" s="426">
        <f t="shared" ca="1" si="0"/>
        <v>42</v>
      </c>
      <c r="C50" s="404">
        <f t="shared" ca="1" si="1"/>
        <v>5.0915006738566377E-4</v>
      </c>
      <c r="D50" s="401">
        <f ca="1">MpropuPlein+1.75*MasseSans</f>
        <v>4.5413500000000004</v>
      </c>
      <c r="E50" s="401">
        <f t="shared" ca="1" si="2"/>
        <v>4.5413000000000006</v>
      </c>
      <c r="F50" s="401">
        <f t="shared" ca="1" si="3"/>
        <v>4.5412500000000007</v>
      </c>
      <c r="G50" s="408">
        <f t="shared" ca="1" si="4"/>
        <v>0</v>
      </c>
      <c r="H50" s="404">
        <f t="shared" ca="1" si="5"/>
        <v>1.1211548838122646E-4</v>
      </c>
      <c r="I50" s="404">
        <f t="shared" ca="1" si="6"/>
        <v>1.1211672279342993E-4</v>
      </c>
      <c r="J50" s="404">
        <f t="shared" ca="1" si="7"/>
        <v>0</v>
      </c>
      <c r="K50" s="411">
        <f t="shared" ca="1" si="8"/>
        <v>0</v>
      </c>
      <c r="L50" s="414">
        <f t="shared" ca="1" si="9"/>
        <v>0</v>
      </c>
      <c r="M50" s="417">
        <f t="shared" ca="1" si="10"/>
        <v>1</v>
      </c>
    </row>
    <row r="51" spans="2:13" x14ac:dyDescent="0.2">
      <c r="B51" s="427">
        <f t="shared" ca="1" si="0"/>
        <v>42</v>
      </c>
      <c r="C51" s="405">
        <f t="shared" ca="1" si="1"/>
        <v>5.0915006738566377E-4</v>
      </c>
      <c r="D51" s="402">
        <f ca="1">MpropuPlein+2*MasseSans</f>
        <v>5.1901000000000002</v>
      </c>
      <c r="E51" s="402">
        <f t="shared" ca="1" si="2"/>
        <v>5.1900500000000003</v>
      </c>
      <c r="F51" s="402">
        <f t="shared" ca="1" si="3"/>
        <v>5.19</v>
      </c>
      <c r="G51" s="409">
        <f t="shared" ca="1" si="4"/>
        <v>0</v>
      </c>
      <c r="H51" s="405">
        <f t="shared" ca="1" si="5"/>
        <v>9.8101187346107216E-5</v>
      </c>
      <c r="I51" s="405">
        <f t="shared" ca="1" si="6"/>
        <v>9.8102132444251194E-5</v>
      </c>
      <c r="J51" s="405">
        <f t="shared" ca="1" si="7"/>
        <v>0</v>
      </c>
      <c r="K51" s="412">
        <f t="shared" ca="1" si="8"/>
        <v>0</v>
      </c>
      <c r="L51" s="415">
        <f t="shared" ca="1" si="9"/>
        <v>0</v>
      </c>
      <c r="M51" s="418">
        <f t="shared" ca="1" si="10"/>
        <v>1</v>
      </c>
    </row>
    <row r="52" spans="2:13" x14ac:dyDescent="0.2">
      <c r="B52" s="425">
        <f t="shared" ref="B52:B60" si="11">D_ref</f>
        <v>84</v>
      </c>
      <c r="C52" s="403">
        <f t="shared" si="1"/>
        <v>2.0366002695426551E-3</v>
      </c>
      <c r="D52" s="400">
        <f ca="1">MpropuPlein+0*MasseSans</f>
        <v>1E-4</v>
      </c>
      <c r="E52" s="400">
        <f t="shared" ca="1" si="2"/>
        <v>5.0000000000000002E-5</v>
      </c>
      <c r="F52" s="400">
        <f t="shared" ca="1" si="3"/>
        <v>0</v>
      </c>
      <c r="G52" s="407">
        <f t="shared" ca="1" si="4"/>
        <v>10.19</v>
      </c>
      <c r="H52" s="403">
        <f t="shared" ca="1" si="5"/>
        <v>40.732005390853097</v>
      </c>
      <c r="I52" s="403" t="e">
        <f t="shared" ca="1" si="6"/>
        <v>#DIV/0!</v>
      </c>
      <c r="J52" s="403">
        <f t="shared" ca="1" si="7"/>
        <v>0.48315453109175244</v>
      </c>
      <c r="K52" s="410">
        <f t="shared" ca="1" si="8"/>
        <v>0.50017179242982535</v>
      </c>
      <c r="L52" s="413" t="e">
        <f t="shared" ca="1" si="9"/>
        <v>#DIV/0!</v>
      </c>
      <c r="M52" s="416" t="e">
        <f t="shared" ca="1" si="10"/>
        <v>#DIV/0!</v>
      </c>
    </row>
    <row r="53" spans="2:13" x14ac:dyDescent="0.2">
      <c r="B53" s="426">
        <f t="shared" si="11"/>
        <v>84</v>
      </c>
      <c r="C53" s="404">
        <f t="shared" si="1"/>
        <v>2.0366002695426551E-3</v>
      </c>
      <c r="D53" s="401">
        <f ca="1">MpropuPlein+0.25*MasseSans</f>
        <v>0.64885000000000004</v>
      </c>
      <c r="E53" s="401">
        <f t="shared" ca="1" si="2"/>
        <v>0.64880000000000004</v>
      </c>
      <c r="F53" s="401">
        <f t="shared" ca="1" si="3"/>
        <v>0.64875000000000005</v>
      </c>
      <c r="G53" s="408">
        <f t="shared" ca="1" si="4"/>
        <v>0</v>
      </c>
      <c r="H53" s="404">
        <f t="shared" ca="1" si="5"/>
        <v>3.1390263094060651E-3</v>
      </c>
      <c r="I53" s="404">
        <f t="shared" ca="1" si="6"/>
        <v>3.1392682382160382E-3</v>
      </c>
      <c r="J53" s="404">
        <f t="shared" ca="1" si="7"/>
        <v>0</v>
      </c>
      <c r="K53" s="411">
        <f t="shared" ca="1" si="8"/>
        <v>0</v>
      </c>
      <c r="L53" s="414">
        <f t="shared" ca="1" si="9"/>
        <v>0</v>
      </c>
      <c r="M53" s="417">
        <f t="shared" ca="1" si="10"/>
        <v>1</v>
      </c>
    </row>
    <row r="54" spans="2:13" x14ac:dyDescent="0.2">
      <c r="B54" s="426">
        <f t="shared" si="11"/>
        <v>84</v>
      </c>
      <c r="C54" s="404">
        <f t="shared" si="1"/>
        <v>2.0366002695426551E-3</v>
      </c>
      <c r="D54" s="401">
        <f ca="1">MpropuPlein+0.5*MasseSans</f>
        <v>1.2976000000000001</v>
      </c>
      <c r="E54" s="401">
        <f t="shared" ca="1" si="2"/>
        <v>1.29755</v>
      </c>
      <c r="F54" s="401">
        <f t="shared" ca="1" si="3"/>
        <v>1.2975000000000001</v>
      </c>
      <c r="G54" s="408">
        <f t="shared" ca="1" si="4"/>
        <v>0</v>
      </c>
      <c r="H54" s="404">
        <f t="shared" ca="1" si="5"/>
        <v>1.5695736345748951E-3</v>
      </c>
      <c r="I54" s="404">
        <f t="shared" ca="1" si="6"/>
        <v>1.5696341191080191E-3</v>
      </c>
      <c r="J54" s="404">
        <f t="shared" ca="1" si="7"/>
        <v>0</v>
      </c>
      <c r="K54" s="411">
        <f t="shared" ca="1" si="8"/>
        <v>0</v>
      </c>
      <c r="L54" s="414">
        <f t="shared" ca="1" si="9"/>
        <v>0</v>
      </c>
      <c r="M54" s="417">
        <f t="shared" ca="1" si="10"/>
        <v>1</v>
      </c>
    </row>
    <row r="55" spans="2:13" x14ac:dyDescent="0.2">
      <c r="B55" s="426">
        <f t="shared" si="11"/>
        <v>84</v>
      </c>
      <c r="C55" s="404">
        <f t="shared" si="1"/>
        <v>2.0366002695426551E-3</v>
      </c>
      <c r="D55" s="401">
        <f ca="1">MpropuPlein+0.75*MasseSans</f>
        <v>1.94635</v>
      </c>
      <c r="E55" s="401">
        <f t="shared" ca="1" si="2"/>
        <v>1.9462999999999999</v>
      </c>
      <c r="F55" s="401">
        <f t="shared" ca="1" si="3"/>
        <v>1.94625</v>
      </c>
      <c r="G55" s="408">
        <f t="shared" ca="1" si="4"/>
        <v>0</v>
      </c>
      <c r="H55" s="404">
        <f t="shared" ca="1" si="5"/>
        <v>1.0463958637119946E-3</v>
      </c>
      <c r="I55" s="404">
        <f t="shared" ca="1" si="6"/>
        <v>1.046422746072013E-3</v>
      </c>
      <c r="J55" s="404">
        <f t="shared" ca="1" si="7"/>
        <v>0</v>
      </c>
      <c r="K55" s="411">
        <f t="shared" ca="1" si="8"/>
        <v>0</v>
      </c>
      <c r="L55" s="414">
        <f t="shared" ca="1" si="9"/>
        <v>0</v>
      </c>
      <c r="M55" s="417">
        <f t="shared" ca="1" si="10"/>
        <v>1</v>
      </c>
    </row>
    <row r="56" spans="2:13" x14ac:dyDescent="0.2">
      <c r="B56" s="426">
        <f t="shared" si="11"/>
        <v>84</v>
      </c>
      <c r="C56" s="404">
        <f t="shared" si="1"/>
        <v>2.0366002695426551E-3</v>
      </c>
      <c r="D56" s="401">
        <f ca="1">MpropuPlein+1*MasseSans</f>
        <v>2.5951000000000004</v>
      </c>
      <c r="E56" s="401">
        <f t="shared" ca="1" si="2"/>
        <v>2.5950500000000005</v>
      </c>
      <c r="F56" s="401">
        <f t="shared" ca="1" si="3"/>
        <v>2.5950000000000002</v>
      </c>
      <c r="G56" s="408">
        <f t="shared" ca="1" si="4"/>
        <v>0</v>
      </c>
      <c r="H56" s="404">
        <f t="shared" ca="1" si="5"/>
        <v>7.8480193812938278E-4</v>
      </c>
      <c r="I56" s="404">
        <f t="shared" ca="1" si="6"/>
        <v>7.8481705955400956E-4</v>
      </c>
      <c r="J56" s="404">
        <f t="shared" ca="1" si="7"/>
        <v>0</v>
      </c>
      <c r="K56" s="411">
        <f t="shared" ca="1" si="8"/>
        <v>0</v>
      </c>
      <c r="L56" s="414">
        <f t="shared" ca="1" si="9"/>
        <v>0</v>
      </c>
      <c r="M56" s="417">
        <f t="shared" ca="1" si="10"/>
        <v>1</v>
      </c>
    </row>
    <row r="57" spans="2:13" x14ac:dyDescent="0.2">
      <c r="B57" s="426">
        <f t="shared" si="11"/>
        <v>84</v>
      </c>
      <c r="C57" s="404">
        <f t="shared" si="1"/>
        <v>2.0366002695426551E-3</v>
      </c>
      <c r="D57" s="401">
        <f ca="1">MpropuPlein+1.25*MasseSans</f>
        <v>3.2438500000000006</v>
      </c>
      <c r="E57" s="401">
        <f t="shared" ca="1" si="2"/>
        <v>3.2438000000000007</v>
      </c>
      <c r="F57" s="401">
        <f t="shared" ca="1" si="3"/>
        <v>3.2437500000000004</v>
      </c>
      <c r="G57" s="408">
        <f t="shared" ca="1" si="4"/>
        <v>0</v>
      </c>
      <c r="H57" s="404">
        <f t="shared" ca="1" si="5"/>
        <v>6.2784396989415338E-4</v>
      </c>
      <c r="I57" s="404">
        <f t="shared" ca="1" si="6"/>
        <v>6.2785364764320767E-4</v>
      </c>
      <c r="J57" s="404">
        <f t="shared" ca="1" si="7"/>
        <v>0</v>
      </c>
      <c r="K57" s="411">
        <f t="shared" ca="1" si="8"/>
        <v>0</v>
      </c>
      <c r="L57" s="414">
        <f t="shared" ca="1" si="9"/>
        <v>0</v>
      </c>
      <c r="M57" s="417">
        <f t="shared" ca="1" si="10"/>
        <v>1</v>
      </c>
    </row>
    <row r="58" spans="2:13" x14ac:dyDescent="0.2">
      <c r="B58" s="426">
        <f t="shared" si="11"/>
        <v>84</v>
      </c>
      <c r="C58" s="404">
        <f t="shared" si="1"/>
        <v>2.0366002695426551E-3</v>
      </c>
      <c r="D58" s="401">
        <f ca="1">MpropuPlein+1.5*MasseSans</f>
        <v>3.8926000000000003</v>
      </c>
      <c r="E58" s="401">
        <f t="shared" ca="1" si="2"/>
        <v>3.8925500000000004</v>
      </c>
      <c r="F58" s="401">
        <f t="shared" ca="1" si="3"/>
        <v>3.8925000000000001</v>
      </c>
      <c r="G58" s="408">
        <f t="shared" ca="1" si="4"/>
        <v>0</v>
      </c>
      <c r="H58" s="404">
        <f t="shared" ca="1" si="5"/>
        <v>5.2320465235967549E-4</v>
      </c>
      <c r="I58" s="404">
        <f t="shared" ca="1" si="6"/>
        <v>5.2321137303600648E-4</v>
      </c>
      <c r="J58" s="404">
        <f t="shared" ca="1" si="7"/>
        <v>0</v>
      </c>
      <c r="K58" s="411">
        <f t="shared" ca="1" si="8"/>
        <v>0</v>
      </c>
      <c r="L58" s="414">
        <f t="shared" ca="1" si="9"/>
        <v>0</v>
      </c>
      <c r="M58" s="417">
        <f t="shared" ca="1" si="10"/>
        <v>1</v>
      </c>
    </row>
    <row r="59" spans="2:13" x14ac:dyDescent="0.2">
      <c r="B59" s="426">
        <f t="shared" si="11"/>
        <v>84</v>
      </c>
      <c r="C59" s="404">
        <f t="shared" si="1"/>
        <v>2.0366002695426551E-3</v>
      </c>
      <c r="D59" s="401">
        <f ca="1">MpropuPlein+1.75*MasseSans</f>
        <v>4.5413500000000004</v>
      </c>
      <c r="E59" s="401">
        <f t="shared" ca="1" si="2"/>
        <v>4.5413000000000006</v>
      </c>
      <c r="F59" s="401">
        <f t="shared" ca="1" si="3"/>
        <v>4.5412500000000007</v>
      </c>
      <c r="G59" s="408">
        <f t="shared" ca="1" si="4"/>
        <v>0</v>
      </c>
      <c r="H59" s="404">
        <f t="shared" ca="1" si="5"/>
        <v>4.4846195352490583E-4</v>
      </c>
      <c r="I59" s="404">
        <f t="shared" ca="1" si="6"/>
        <v>4.4846689117371974E-4</v>
      </c>
      <c r="J59" s="404">
        <f t="shared" ca="1" si="7"/>
        <v>0</v>
      </c>
      <c r="K59" s="411">
        <f t="shared" ca="1" si="8"/>
        <v>0</v>
      </c>
      <c r="L59" s="414">
        <f t="shared" ca="1" si="9"/>
        <v>0</v>
      </c>
      <c r="M59" s="417">
        <f t="shared" ca="1" si="10"/>
        <v>1</v>
      </c>
    </row>
    <row r="60" spans="2:13" x14ac:dyDescent="0.2">
      <c r="B60" s="427">
        <f t="shared" si="11"/>
        <v>84</v>
      </c>
      <c r="C60" s="405">
        <f t="shared" si="1"/>
        <v>2.0366002695426551E-3</v>
      </c>
      <c r="D60" s="402">
        <f ca="1">MpropuPlein+2*MasseSans</f>
        <v>5.1901000000000002</v>
      </c>
      <c r="E60" s="402">
        <f t="shared" ca="1" si="2"/>
        <v>5.1900500000000003</v>
      </c>
      <c r="F60" s="402">
        <f t="shared" ca="1" si="3"/>
        <v>5.19</v>
      </c>
      <c r="G60" s="409">
        <f t="shared" ca="1" si="4"/>
        <v>0</v>
      </c>
      <c r="H60" s="405">
        <f t="shared" ca="1" si="5"/>
        <v>3.9240474938442887E-4</v>
      </c>
      <c r="I60" s="405">
        <f t="shared" ca="1" si="6"/>
        <v>3.9240852977700478E-4</v>
      </c>
      <c r="J60" s="405">
        <f t="shared" ca="1" si="7"/>
        <v>0</v>
      </c>
      <c r="K60" s="412">
        <f t="shared" ca="1" si="8"/>
        <v>0</v>
      </c>
      <c r="L60" s="415">
        <f t="shared" ca="1" si="9"/>
        <v>0</v>
      </c>
      <c r="M60" s="418">
        <f t="shared" ca="1" si="10"/>
        <v>1</v>
      </c>
    </row>
    <row r="61" spans="2:13" x14ac:dyDescent="0.2">
      <c r="B61" s="425">
        <f t="shared" ref="B61:B69" si="12">D_ref*1.5</f>
        <v>126</v>
      </c>
      <c r="C61" s="403">
        <f t="shared" si="1"/>
        <v>4.5823506064709748E-3</v>
      </c>
      <c r="D61" s="400">
        <f ca="1">MpropuPlein+0*MasseSans</f>
        <v>1E-4</v>
      </c>
      <c r="E61" s="400">
        <f t="shared" ca="1" si="2"/>
        <v>5.0000000000000002E-5</v>
      </c>
      <c r="F61" s="400">
        <f t="shared" ca="1" si="3"/>
        <v>0</v>
      </c>
      <c r="G61" s="407">
        <f t="shared" ca="1" si="4"/>
        <v>10.19</v>
      </c>
      <c r="H61" s="403">
        <f t="shared" ca="1" si="5"/>
        <v>91.647012129419494</v>
      </c>
      <c r="I61" s="403" t="e">
        <f t="shared" ca="1" si="6"/>
        <v>#DIV/0!</v>
      </c>
      <c r="J61" s="403">
        <f t="shared" ca="1" si="7"/>
        <v>0.32588463435851783</v>
      </c>
      <c r="K61" s="410">
        <f t="shared" ca="1" si="8"/>
        <v>0.33344786161988355</v>
      </c>
      <c r="L61" s="413" t="e">
        <f t="shared" ca="1" si="9"/>
        <v>#DIV/0!</v>
      </c>
      <c r="M61" s="416" t="e">
        <f t="shared" ca="1" si="10"/>
        <v>#DIV/0!</v>
      </c>
    </row>
    <row r="62" spans="2:13" x14ac:dyDescent="0.2">
      <c r="B62" s="426">
        <f t="shared" si="12"/>
        <v>126</v>
      </c>
      <c r="C62" s="404">
        <f t="shared" si="1"/>
        <v>4.5823506064709748E-3</v>
      </c>
      <c r="D62" s="401">
        <f ca="1">MpropuPlein+0.25*MasseSans</f>
        <v>0.64885000000000004</v>
      </c>
      <c r="E62" s="401">
        <f t="shared" ca="1" si="2"/>
        <v>0.64880000000000004</v>
      </c>
      <c r="F62" s="401">
        <f t="shared" ca="1" si="3"/>
        <v>0.64875000000000005</v>
      </c>
      <c r="G62" s="408">
        <f t="shared" ca="1" si="4"/>
        <v>0</v>
      </c>
      <c r="H62" s="404">
        <f t="shared" ca="1" si="5"/>
        <v>7.0628091961636476E-3</v>
      </c>
      <c r="I62" s="404">
        <f t="shared" ca="1" si="6"/>
        <v>7.0633535359860876E-3</v>
      </c>
      <c r="J62" s="404">
        <f t="shared" ca="1" si="7"/>
        <v>0</v>
      </c>
      <c r="K62" s="411">
        <f t="shared" ca="1" si="8"/>
        <v>0</v>
      </c>
      <c r="L62" s="414">
        <f t="shared" ca="1" si="9"/>
        <v>0</v>
      </c>
      <c r="M62" s="417">
        <f t="shared" ca="1" si="10"/>
        <v>1</v>
      </c>
    </row>
    <row r="63" spans="2:13" x14ac:dyDescent="0.2">
      <c r="B63" s="426">
        <f t="shared" si="12"/>
        <v>126</v>
      </c>
      <c r="C63" s="404">
        <f t="shared" si="1"/>
        <v>4.5823506064709748E-3</v>
      </c>
      <c r="D63" s="401">
        <f ca="1">MpropuPlein+0.5*MasseSans</f>
        <v>1.2976000000000001</v>
      </c>
      <c r="E63" s="401">
        <f t="shared" ca="1" si="2"/>
        <v>1.29755</v>
      </c>
      <c r="F63" s="401">
        <f t="shared" ca="1" si="3"/>
        <v>1.2975000000000001</v>
      </c>
      <c r="G63" s="408">
        <f t="shared" ca="1" si="4"/>
        <v>0</v>
      </c>
      <c r="H63" s="404">
        <f t="shared" ca="1" si="5"/>
        <v>3.5315406777935146E-3</v>
      </c>
      <c r="I63" s="404">
        <f t="shared" ca="1" si="6"/>
        <v>3.5316767679930438E-3</v>
      </c>
      <c r="J63" s="404">
        <f t="shared" ca="1" si="7"/>
        <v>0</v>
      </c>
      <c r="K63" s="411">
        <f t="shared" ca="1" si="8"/>
        <v>0</v>
      </c>
      <c r="L63" s="414">
        <f t="shared" ca="1" si="9"/>
        <v>0</v>
      </c>
      <c r="M63" s="417">
        <f t="shared" ca="1" si="10"/>
        <v>1</v>
      </c>
    </row>
    <row r="64" spans="2:13" x14ac:dyDescent="0.2">
      <c r="B64" s="426">
        <f t="shared" si="12"/>
        <v>126</v>
      </c>
      <c r="C64" s="404">
        <f t="shared" si="1"/>
        <v>4.5823506064709748E-3</v>
      </c>
      <c r="D64" s="401">
        <f ca="1">MpropuPlein+0.75*MasseSans</f>
        <v>1.94635</v>
      </c>
      <c r="E64" s="401">
        <f t="shared" ca="1" si="2"/>
        <v>1.9462999999999999</v>
      </c>
      <c r="F64" s="401">
        <f t="shared" ca="1" si="3"/>
        <v>1.94625</v>
      </c>
      <c r="G64" s="408">
        <f t="shared" ca="1" si="4"/>
        <v>0</v>
      </c>
      <c r="H64" s="404">
        <f t="shared" ca="1" si="5"/>
        <v>2.3543906933519883E-3</v>
      </c>
      <c r="I64" s="404">
        <f t="shared" ca="1" si="6"/>
        <v>2.3544511786620292E-3</v>
      </c>
      <c r="J64" s="404">
        <f t="shared" ca="1" si="7"/>
        <v>0</v>
      </c>
      <c r="K64" s="411">
        <f t="shared" ca="1" si="8"/>
        <v>0</v>
      </c>
      <c r="L64" s="414">
        <f t="shared" ca="1" si="9"/>
        <v>0</v>
      </c>
      <c r="M64" s="417">
        <f t="shared" ca="1" si="10"/>
        <v>1</v>
      </c>
    </row>
    <row r="65" spans="2:13" x14ac:dyDescent="0.2">
      <c r="B65" s="426">
        <f t="shared" si="12"/>
        <v>126</v>
      </c>
      <c r="C65" s="404">
        <f t="shared" si="1"/>
        <v>4.5823506064709748E-3</v>
      </c>
      <c r="D65" s="401">
        <f ca="1">MpropuPlein+1*MasseSans</f>
        <v>2.5951000000000004</v>
      </c>
      <c r="E65" s="401">
        <f t="shared" ca="1" si="2"/>
        <v>2.5950500000000005</v>
      </c>
      <c r="F65" s="401">
        <f t="shared" ca="1" si="3"/>
        <v>2.5950000000000002</v>
      </c>
      <c r="G65" s="408">
        <f t="shared" ca="1" si="4"/>
        <v>0</v>
      </c>
      <c r="H65" s="404">
        <f t="shared" ca="1" si="5"/>
        <v>1.7658043607911116E-3</v>
      </c>
      <c r="I65" s="404">
        <f t="shared" ca="1" si="6"/>
        <v>1.7658383839965219E-3</v>
      </c>
      <c r="J65" s="404">
        <f t="shared" ca="1" si="7"/>
        <v>0</v>
      </c>
      <c r="K65" s="411">
        <f t="shared" ca="1" si="8"/>
        <v>0</v>
      </c>
      <c r="L65" s="414">
        <f t="shared" ca="1" si="9"/>
        <v>0</v>
      </c>
      <c r="M65" s="417">
        <f t="shared" ca="1" si="10"/>
        <v>1</v>
      </c>
    </row>
    <row r="66" spans="2:13" x14ac:dyDescent="0.2">
      <c r="B66" s="426">
        <f t="shared" si="12"/>
        <v>126</v>
      </c>
      <c r="C66" s="404">
        <f t="shared" si="1"/>
        <v>4.5823506064709748E-3</v>
      </c>
      <c r="D66" s="401">
        <f ca="1">MpropuPlein+1.25*MasseSans</f>
        <v>3.2438500000000006</v>
      </c>
      <c r="E66" s="401">
        <f t="shared" ca="1" si="2"/>
        <v>3.2438000000000007</v>
      </c>
      <c r="F66" s="401">
        <f t="shared" ca="1" si="3"/>
        <v>3.2437500000000004</v>
      </c>
      <c r="G66" s="408">
        <f t="shared" ca="1" si="4"/>
        <v>0</v>
      </c>
      <c r="H66" s="404">
        <f t="shared" ca="1" si="5"/>
        <v>1.4126489322618453E-3</v>
      </c>
      <c r="I66" s="404">
        <f t="shared" ca="1" si="6"/>
        <v>1.4126707071972174E-3</v>
      </c>
      <c r="J66" s="404">
        <f t="shared" ca="1" si="7"/>
        <v>0</v>
      </c>
      <c r="K66" s="411">
        <f t="shared" ca="1" si="8"/>
        <v>0</v>
      </c>
      <c r="L66" s="414">
        <f t="shared" ca="1" si="9"/>
        <v>0</v>
      </c>
      <c r="M66" s="417">
        <f t="shared" ca="1" si="10"/>
        <v>1</v>
      </c>
    </row>
    <row r="67" spans="2:13" x14ac:dyDescent="0.2">
      <c r="B67" s="426">
        <f t="shared" si="12"/>
        <v>126</v>
      </c>
      <c r="C67" s="404">
        <f t="shared" si="1"/>
        <v>4.5823506064709748E-3</v>
      </c>
      <c r="D67" s="401">
        <f ca="1">MpropuPlein+1.5*MasseSans</f>
        <v>3.8926000000000003</v>
      </c>
      <c r="E67" s="401">
        <f t="shared" ca="1" si="2"/>
        <v>3.8925500000000004</v>
      </c>
      <c r="F67" s="401">
        <f t="shared" ca="1" si="3"/>
        <v>3.8925000000000001</v>
      </c>
      <c r="G67" s="408">
        <f t="shared" ca="1" si="4"/>
        <v>0</v>
      </c>
      <c r="H67" s="404">
        <f t="shared" ca="1" si="5"/>
        <v>1.1772104678092702E-3</v>
      </c>
      <c r="I67" s="404">
        <f t="shared" ca="1" si="6"/>
        <v>1.1772255893310146E-3</v>
      </c>
      <c r="J67" s="404">
        <f t="shared" ca="1" si="7"/>
        <v>0</v>
      </c>
      <c r="K67" s="411">
        <f t="shared" ca="1" si="8"/>
        <v>0</v>
      </c>
      <c r="L67" s="414">
        <f t="shared" ca="1" si="9"/>
        <v>0</v>
      </c>
      <c r="M67" s="417">
        <f t="shared" ca="1" si="10"/>
        <v>1</v>
      </c>
    </row>
    <row r="68" spans="2:13" x14ac:dyDescent="0.2">
      <c r="B68" s="426">
        <f t="shared" si="12"/>
        <v>126</v>
      </c>
      <c r="C68" s="404">
        <f t="shared" si="1"/>
        <v>4.5823506064709748E-3</v>
      </c>
      <c r="D68" s="401">
        <f ca="1">MpropuPlein+1.75*MasseSans</f>
        <v>4.5413500000000004</v>
      </c>
      <c r="E68" s="401">
        <f t="shared" ca="1" si="2"/>
        <v>4.5413000000000006</v>
      </c>
      <c r="F68" s="401">
        <f t="shared" ca="1" si="3"/>
        <v>4.5412500000000007</v>
      </c>
      <c r="G68" s="408">
        <f t="shared" ca="1" si="4"/>
        <v>0</v>
      </c>
      <c r="H68" s="404">
        <f t="shared" ca="1" si="5"/>
        <v>1.0090393954310384E-3</v>
      </c>
      <c r="I68" s="404">
        <f t="shared" ca="1" si="6"/>
        <v>1.0090505051408695E-3</v>
      </c>
      <c r="J68" s="404">
        <f t="shared" ca="1" si="7"/>
        <v>0</v>
      </c>
      <c r="K68" s="411">
        <f t="shared" ca="1" si="8"/>
        <v>0</v>
      </c>
      <c r="L68" s="414">
        <f t="shared" ca="1" si="9"/>
        <v>0</v>
      </c>
      <c r="M68" s="417">
        <f t="shared" ca="1" si="10"/>
        <v>1</v>
      </c>
    </row>
    <row r="69" spans="2:13" x14ac:dyDescent="0.2">
      <c r="B69" s="427">
        <f t="shared" si="12"/>
        <v>126</v>
      </c>
      <c r="C69" s="405">
        <f t="shared" si="1"/>
        <v>4.5823506064709748E-3</v>
      </c>
      <c r="D69" s="402">
        <f ca="1">MpropuPlein+2*MasseSans</f>
        <v>5.1901000000000002</v>
      </c>
      <c r="E69" s="402">
        <f t="shared" ca="1" si="2"/>
        <v>5.1900500000000003</v>
      </c>
      <c r="F69" s="402">
        <f t="shared" ca="1" si="3"/>
        <v>5.19</v>
      </c>
      <c r="G69" s="409">
        <f t="shared" ca="1" si="4"/>
        <v>0</v>
      </c>
      <c r="H69" s="405">
        <f t="shared" ca="1" si="5"/>
        <v>8.8291068611496507E-4</v>
      </c>
      <c r="I69" s="405">
        <f t="shared" ca="1" si="6"/>
        <v>8.8291919199826095E-4</v>
      </c>
      <c r="J69" s="405">
        <f t="shared" ca="1" si="7"/>
        <v>0</v>
      </c>
      <c r="K69" s="412">
        <f t="shared" ca="1" si="8"/>
        <v>0</v>
      </c>
      <c r="L69" s="415">
        <f t="shared" ca="1" si="9"/>
        <v>0</v>
      </c>
      <c r="M69" s="418">
        <f t="shared" ca="1" si="10"/>
        <v>1</v>
      </c>
    </row>
    <row r="73" spans="2:13" x14ac:dyDescent="0.2">
      <c r="B73" s="24" t="str">
        <f>IF(Lang="Français","Textes pour les graphiques :","Texts for graphics :")</f>
        <v>Textes pour les graphiques :</v>
      </c>
    </row>
    <row r="75" spans="2:13" x14ac:dyDescent="0.2">
      <c r="B75" t="str">
        <f>IF(Lang="Français","Masse totale",IF(Lang="English","Total Mass",""))</f>
        <v>Masse totale</v>
      </c>
    </row>
    <row r="76" spans="2:13" x14ac:dyDescent="0.2">
      <c r="B76" t="str">
        <f>IF(Lang="Français","Vitesse max",IF(Lang="English","Max Velocity",""))</f>
        <v>Vitesse max</v>
      </c>
    </row>
    <row r="77" spans="2:13" x14ac:dyDescent="0.2">
      <c r="B77" t="str">
        <f>Abaco!$B$76 &amp; " / " &amp; Abaco!$B$75</f>
        <v>Vitesse max / Masse totale</v>
      </c>
    </row>
    <row r="78" spans="2:13" x14ac:dyDescent="0.2">
      <c r="B78" t="str">
        <f>IF(Lang="Français","Altitude max",IF(Lang="English","Max Altitude",""))</f>
        <v>Altitude max</v>
      </c>
    </row>
    <row r="79" spans="2:13" x14ac:dyDescent="0.2">
      <c r="B79" t="str">
        <f>Abaco!$B$78 &amp; " / " &amp; Abaco!$B$75</f>
        <v>Altitude max / Masse totale</v>
      </c>
    </row>
    <row r="80" spans="2:13" x14ac:dyDescent="0.2">
      <c r="B80" t="str">
        <f>IF(Lang="Français","Temps de culmination",IF(Lang="English","Apogee time",""))</f>
        <v>Temps de culmination</v>
      </c>
    </row>
    <row r="81" spans="2:2" x14ac:dyDescent="0.2">
      <c r="B81" t="str">
        <f>Abaco!$B$80 &amp; " / " &amp; Abaco!$B$75</f>
        <v>Temps de culmination / Masse totale</v>
      </c>
    </row>
  </sheetData>
  <sheetProtection algorithmName="SHA-512" hashValue="+PTrTvch0rD/oo5wbJAiLSXEwsZuHYCw11E5jJpN7UFv8bqEgAVA+seu72dez5dZDB7fUdwejfBNAFZdr7g5pg==" saltValue="gnM8LKYZzdY29Fufgy5vJQ==" spinCount="100000" sheet="1"/>
  <mergeCells count="13">
    <mergeCell ref="C10:D10"/>
    <mergeCell ref="C9:D9"/>
    <mergeCell ref="C2:D3"/>
    <mergeCell ref="C4:D4"/>
    <mergeCell ref="C5:D5"/>
    <mergeCell ref="C7:D7"/>
    <mergeCell ref="C8:D8"/>
    <mergeCell ref="C11:D11"/>
    <mergeCell ref="C13:D13"/>
    <mergeCell ref="C15:D15"/>
    <mergeCell ref="C16:D16"/>
    <mergeCell ref="C17:D17"/>
    <mergeCell ref="C12:D12"/>
  </mergeCells>
  <dataValidations count="3">
    <dataValidation type="decimal" errorStyle="warning" showErrorMessage="1" errorTitle="Cx" error="Le Cx est souvent compris entre 0 et 1._x000a_Cx may be between 0 &amp; 1." sqref="C17:D17" xr:uid="{00000000-0002-0000-0500-000000000000}">
      <formula1>0</formula1>
      <formula2>1</formula2>
    </dataValidation>
    <dataValidation operator="greaterThanOrEqual" sqref="C11:D12" xr:uid="{00000000-0002-0000-0500-000001000000}"/>
    <dataValidation sqref="C13:D13" xr:uid="{00000000-0002-0000-0500-000002000000}"/>
  </dataValidations>
  <hyperlinks>
    <hyperlink ref="B13" location="Stabilito!C17" display="Stabilito!C17" xr:uid="{00000000-0004-0000-0500-000000000000}"/>
  </hyperlinks>
  <pageMargins left="0.70866141732283472" right="0.70866141732283472" top="0.74803149606299213" bottom="0.74803149606299213" header="0.31496062992125984" footer="0.31496062992125984"/>
  <pageSetup paperSize="9" scale="92" orientation="landscape" r:id="rId1"/>
  <drawing r:id="rId2"/>
  <legacyDrawing r:id="rId3"/>
  <oleObjects>
    <mc:AlternateContent xmlns:mc="http://schemas.openxmlformats.org/markup-compatibility/2006">
      <mc:Choice Requires="x14">
        <oleObject progId="Equation.3" shapeId="2604101" r:id="rId4">
          <objectPr defaultSize="0" autoPict="0" r:id="rId5">
            <anchor moveWithCells="1">
              <from>
                <xdr:col>8</xdr:col>
                <xdr:colOff>390525</xdr:colOff>
                <xdr:row>70</xdr:row>
                <xdr:rowOff>28575</xdr:rowOff>
              </from>
              <to>
                <xdr:col>12</xdr:col>
                <xdr:colOff>904875</xdr:colOff>
                <xdr:row>87</xdr:row>
                <xdr:rowOff>9525</xdr:rowOff>
              </to>
            </anchor>
          </objectPr>
        </oleObject>
      </mc:Choice>
      <mc:Fallback>
        <oleObject progId="Equation.3" shapeId="2604101" r:id="rId4"/>
      </mc:Fallback>
    </mc:AlternateContent>
  </oleObjects>
  <mc:AlternateContent xmlns:mc="http://schemas.openxmlformats.org/markup-compatibility/2006">
    <mc:Choice Requires="x14">
      <controls>
        <mc:AlternateContent xmlns:mc="http://schemas.openxmlformats.org/markup-compatibility/2006">
          <mc:Choice Requires="x14">
            <control shapeId="2604063" r:id="rId6" name="Spinner 31">
              <controlPr defaultSize="0" print="0" autoPict="0">
                <anchor moveWithCells="1" sizeWithCells="1">
                  <from>
                    <xdr:col>3</xdr:col>
                    <xdr:colOff>657225</xdr:colOff>
                    <xdr:row>9</xdr:row>
                    <xdr:rowOff>200025</xdr:rowOff>
                  </from>
                  <to>
                    <xdr:col>4</xdr:col>
                    <xdr:colOff>0</xdr:colOff>
                    <xdr:row>11</xdr:row>
                    <xdr:rowOff>0</xdr:rowOff>
                  </to>
                </anchor>
              </controlPr>
            </control>
          </mc:Choice>
        </mc:AlternateContent>
        <mc:AlternateContent xmlns:mc="http://schemas.openxmlformats.org/markup-compatibility/2006">
          <mc:Choice Requires="x14">
            <control shapeId="2604202" r:id="rId7" name="Spinner 170">
              <controlPr defaultSize="0" print="0" autoPict="0">
                <anchor moveWithCells="1" sizeWithCells="1">
                  <from>
                    <xdr:col>3</xdr:col>
                    <xdr:colOff>657225</xdr:colOff>
                    <xdr:row>11</xdr:row>
                    <xdr:rowOff>0</xdr:rowOff>
                  </from>
                  <to>
                    <xdr:col>4</xdr:col>
                    <xdr:colOff>0</xdr:colOff>
                    <xdr:row>12</xdr:row>
                    <xdr:rowOff>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6">
    <pageSetUpPr fitToPage="1"/>
  </sheetPr>
  <dimension ref="C2:H61"/>
  <sheetViews>
    <sheetView showGridLines="0" topLeftCell="A31" workbookViewId="0">
      <selection activeCell="G46" sqref="G46"/>
    </sheetView>
  </sheetViews>
  <sheetFormatPr baseColWidth="10" defaultRowHeight="12.75" x14ac:dyDescent="0.2"/>
  <cols>
    <col min="1" max="1" width="2.140625" customWidth="1"/>
    <col min="2" max="2" width="16.140625" customWidth="1"/>
    <col min="3" max="4" width="13.5703125" customWidth="1"/>
  </cols>
  <sheetData>
    <row r="2" spans="3:8" x14ac:dyDescent="0.2">
      <c r="C2" s="598" t="s">
        <v>178</v>
      </c>
      <c r="D2" s="598"/>
    </row>
    <row r="3" spans="3:8" x14ac:dyDescent="0.2">
      <c r="C3" s="598"/>
      <c r="D3" s="598"/>
    </row>
    <row r="5" spans="3:8" x14ac:dyDescent="0.2">
      <c r="C5" s="13" t="str">
        <f>IF(Lang="Français","Stabilité de fusée à ailerons","Stability of finned rocket")</f>
        <v>Stabilité de fusée à ailerons</v>
      </c>
    </row>
    <row r="6" spans="3:8" x14ac:dyDescent="0.2">
      <c r="C6" s="2" t="str">
        <f>IF(Lang="Français","Calculs de Stabilité basés sur les équations de Barrowman","Stability calculs are based on Barrowman equations")</f>
        <v>Calculs de Stabilité basés sur les équations de Barrowman</v>
      </c>
    </row>
    <row r="7" spans="3:8" x14ac:dyDescent="0.2">
      <c r="C7" s="13" t="str">
        <f>IF(Lang="Français","Trajectographie de fusée","Rocket Trajectography")</f>
        <v>Trajectographie de fusée</v>
      </c>
    </row>
    <row r="8" spans="3:8" x14ac:dyDescent="0.2">
      <c r="C8" s="2" t="str">
        <f>IF(Lang="Français","Trajectoire dans un plan par calcul pas à pas","Trajectory in a plane, step by step computation")</f>
        <v>Trajectoire dans un plan par calcul pas à pas</v>
      </c>
    </row>
    <row r="9" spans="3:8" x14ac:dyDescent="0.2">
      <c r="C9" s="2"/>
    </row>
    <row r="10" spans="3:8" x14ac:dyDescent="0.2">
      <c r="C10" s="14" t="str">
        <f>IF(Lang="Français","Documentation et équations :","Documentation and equations are aviable in french:")</f>
        <v>Documentation et équations :</v>
      </c>
    </row>
    <row r="11" spans="3:8" x14ac:dyDescent="0.2">
      <c r="C11" t="str">
        <f>IF(Lang="Français","voir le dossier technique Planète-Sciences ''Le Vol de la Fusée, Stabilité &amp; Trajectographie''","dossier technique Planète-Sciences ''Le Vol de la Fusée, Stabilité &amp; Trajectographie''")</f>
        <v>voir le dossier technique Planète-Sciences ''Le Vol de la Fusée, Stabilité &amp; Trajectographie''</v>
      </c>
    </row>
    <row r="12" spans="3:8" x14ac:dyDescent="0.2">
      <c r="C12" t="str">
        <f>IF(Lang="Français","Néanmoins, les équations d'intégration du mouvement utilisées sont légèrement différentes !","")</f>
        <v>Néanmoins, les équations d'intégration du mouvement utilisées sont légèrement différentes !</v>
      </c>
    </row>
    <row r="13" spans="3:8" x14ac:dyDescent="0.2">
      <c r="C13" t="str">
        <f>IF(Lang="Français","Logiciels et dossier technique téléchargeables sur :","Softwares and french documentation can be downloaded at:")</f>
        <v>Logiciels et dossier technique téléchargeables sur :</v>
      </c>
      <c r="H13" s="15" t="s">
        <v>39</v>
      </c>
    </row>
    <row r="15" spans="3:8" x14ac:dyDescent="0.2">
      <c r="C15" s="14" t="str">
        <f>IF(Lang="Français","Pour les experts :","For experts:")</f>
        <v>Pour les experts :</v>
      </c>
    </row>
    <row r="16" spans="3:8" x14ac:dyDescent="0.2">
      <c r="C16" t="str">
        <f>IF(Lang="Français","Pour les curieux et les experts, vous pouvez déprotéger les feuilles de calcul (mot de passe : anstj),","Curious people can unlock excel sheets with this password : anstj")</f>
        <v>Pour les curieux et les experts, vous pouvez déprotéger les feuilles de calcul (mot de passe : anstj),</v>
      </c>
    </row>
    <row r="17" spans="3:8" x14ac:dyDescent="0.2">
      <c r="C17" t="str">
        <f>IF(Lang="Français","et faire vos modifications personnelles (ajout de moteur...).","and do your personal modification (adding a motor...)")</f>
        <v>et faire vos modifications personnelles (ajout de moteur...).</v>
      </c>
    </row>
    <row r="18" spans="3:8" x14ac:dyDescent="0.2">
      <c r="C18" t="s">
        <v>419</v>
      </c>
    </row>
    <row r="19" spans="3:8" x14ac:dyDescent="0.2">
      <c r="C19" t="str">
        <f>IF(Lang="Français","Merci néanmoins de diffuser uniquement la version officielle protégée (fichier initial).","Please avoid distributing unlocked version.")</f>
        <v>Merci néanmoins de diffuser uniquement la version officielle protégée (fichier initial).</v>
      </c>
    </row>
    <row r="20" spans="3:8" x14ac:dyDescent="0.2">
      <c r="C20" t="str">
        <f>IF(Lang="Français","Aucune Macro. Mise en forme conditionnelle, Noms de zone.","No macro. Conditionnal formating, named zones.")</f>
        <v>Aucune Macro. Mise en forme conditionnelle, Noms de zone.</v>
      </c>
    </row>
    <row r="21" spans="3:8" x14ac:dyDescent="0.2">
      <c r="C21" s="48" t="str">
        <f>IF(Lang="Français","Pour changer les choix des menus déroulants et les restrictions des cellules jaunes, cf. Données&gt; Validations…", "To change choices menu &amp; yellow cells restrictions, go to data validation.")</f>
        <v>Pour changer les choix des menus déroulants et les restrictions des cellules jaunes, cf. Données&gt; Validations…</v>
      </c>
    </row>
    <row r="22" spans="3:8" x14ac:dyDescent="0.2">
      <c r="C22" s="48" t="str">
        <f>IF(Lang="Français","Les unités sont réglés dans le Format de la cellule.","Units are set in cell number Format")</f>
        <v>Les unités sont réglés dans le Format de la cellule.</v>
      </c>
      <c r="H22" s="15" t="s">
        <v>37</v>
      </c>
    </row>
    <row r="23" spans="3:8" x14ac:dyDescent="0.2">
      <c r="C23" t="str">
        <f>IF(Lang="Français","Vous pouvez proposer vos améliorations en envoyant votre fichier à : ","Send all remarks and improvements proposals to:")</f>
        <v xml:space="preserve">Vous pouvez proposer vos améliorations en envoyant votre fichier à : </v>
      </c>
      <c r="H23" s="15"/>
    </row>
    <row r="25" spans="3:8" x14ac:dyDescent="0.2">
      <c r="C25" s="14" t="str">
        <f>IF(Lang="Français","Licence :","License:")</f>
        <v>Licence :</v>
      </c>
      <c r="D25" s="16"/>
    </row>
    <row r="26" spans="3:8" x14ac:dyDescent="0.2">
      <c r="C26" t="str">
        <f>IF(Lang="Français","Ce logiciel est placé sous la licence Creative Commons BY-SA","This software is placed under Creative Commons licence BY-SA")</f>
        <v>Ce logiciel est placé sous la licence Creative Commons BY-SA</v>
      </c>
      <c r="H26" s="68" t="s">
        <v>122</v>
      </c>
    </row>
    <row r="28" spans="3:8" x14ac:dyDescent="0.2">
      <c r="C28" s="14" t="str">
        <f>IF(Lang="Français","Compatibilité :","Compatibility:")</f>
        <v>Compatibilité :</v>
      </c>
    </row>
    <row r="29" spans="3:8" x14ac:dyDescent="0.2">
      <c r="C29" t="s">
        <v>152</v>
      </c>
    </row>
    <row r="30" spans="3:8" x14ac:dyDescent="0.2">
      <c r="C30" t="s">
        <v>301</v>
      </c>
    </row>
    <row r="31" spans="3:8" x14ac:dyDescent="0.2">
      <c r="C31" s="49" t="s">
        <v>110</v>
      </c>
    </row>
    <row r="33" spans="3:6" x14ac:dyDescent="0.2">
      <c r="C33" s="14" t="str">
        <f>IF(Lang="Français","Historique :","History:")</f>
        <v>Historique :</v>
      </c>
    </row>
    <row r="34" spans="3:6" x14ac:dyDescent="0.2">
      <c r="C34" t="s">
        <v>102</v>
      </c>
      <c r="D34" t="s">
        <v>42</v>
      </c>
      <c r="E34" s="47" t="s">
        <v>101</v>
      </c>
      <c r="F34" t="str">
        <f>IF(Lang="Français","Essais personnels, héritage d'une feuille de calcul de Vincent Girard, ESO","Personnel tests")</f>
        <v>Essais personnels, héritage d'une feuille de calcul de Vincent Girard, ESO</v>
      </c>
    </row>
    <row r="35" spans="3:6" x14ac:dyDescent="0.2">
      <c r="C35" t="s">
        <v>103</v>
      </c>
      <c r="D35" t="s">
        <v>42</v>
      </c>
      <c r="E35" s="16">
        <v>39483</v>
      </c>
      <c r="F35" t="str">
        <f>IF(Lang="Français","Equations de Barrowman généralisées (D_ref), masquage inter-ailerons, bilingue fr-en","Generalized Barrowman equations (D_ref), fin-fin interaction, english translation")</f>
        <v>Equations de Barrowman généralisées (D_ref), masquage inter-ailerons, bilingue fr-en</v>
      </c>
    </row>
    <row r="36" spans="3:6" x14ac:dyDescent="0.2">
      <c r="C36" t="s">
        <v>104</v>
      </c>
      <c r="D36" t="s">
        <v>42</v>
      </c>
      <c r="E36" s="16">
        <v>39507</v>
      </c>
      <c r="F36" t="str">
        <f>IF(Lang="Français","Schéma de la fusée, estimation analytique de la trajecto, diagramme des critères","Rocket schematic, analytical trajecto, criterions diagram")</f>
        <v>Schéma de la fusée, estimation analytique de la trajecto, diagramme des critères</v>
      </c>
    </row>
    <row r="37" spans="3:6" x14ac:dyDescent="0.2">
      <c r="C37" t="s">
        <v>105</v>
      </c>
      <c r="D37" t="s">
        <v>42</v>
      </c>
      <c r="E37" s="16">
        <v>39694</v>
      </c>
      <c r="F37" t="str">
        <f>IF(Lang="Français","Mise en forme","Formatting")</f>
        <v>Mise en forme</v>
      </c>
    </row>
    <row r="38" spans="3:6" x14ac:dyDescent="0.2">
      <c r="C38" t="s">
        <v>106</v>
      </c>
      <c r="D38" t="s">
        <v>42</v>
      </c>
      <c r="E38" s="16">
        <v>39643</v>
      </c>
      <c r="F38" t="str">
        <f>IF(Lang="Français","Essais personnels, héritage d'une feuille de calcul de Félicien Roux, ESO","Personal tests")</f>
        <v>Essais personnels, héritage d'une feuille de calcul de Félicien Roux, ESO</v>
      </c>
    </row>
    <row r="39" spans="3:6" x14ac:dyDescent="0.2">
      <c r="C39" t="s">
        <v>107</v>
      </c>
      <c r="D39" t="s">
        <v>42</v>
      </c>
      <c r="E39" s="16">
        <v>39755</v>
      </c>
      <c r="F39" t="str">
        <f>IF(Lang="Français","Réécriture équations, traduction, érgonomie","Equations, traduction, ergonomy")</f>
        <v>Réécriture équations, traduction, érgonomie</v>
      </c>
    </row>
    <row r="40" spans="3:6" x14ac:dyDescent="0.2">
      <c r="C40" t="s">
        <v>108</v>
      </c>
      <c r="D40" t="s">
        <v>42</v>
      </c>
      <c r="E40" s="16">
        <v>39756</v>
      </c>
      <c r="F40" t="str">
        <f>IF(Lang="Français","Conditions Initiales pour vol 2e étage, 1ère publication","Initial Conditions, 1st publication")</f>
        <v>Conditions Initiales pour vol 2e étage, 1ère publication</v>
      </c>
    </row>
    <row r="41" spans="3:6" x14ac:dyDescent="0.2">
      <c r="C41" t="s">
        <v>109</v>
      </c>
      <c r="D41" t="s">
        <v>42</v>
      </c>
      <c r="E41" s="16">
        <v>40658</v>
      </c>
      <c r="F41" t="s">
        <v>52</v>
      </c>
    </row>
    <row r="42" spans="3:6" x14ac:dyDescent="0.2">
      <c r="C42" t="s">
        <v>179</v>
      </c>
      <c r="D42" t="s">
        <v>42</v>
      </c>
      <c r="E42" s="16">
        <v>40868</v>
      </c>
      <c r="F42" t="str">
        <f>IF(Lang="Français","Fusion Stabilito+Trajecto, mise en forme, Ctrl, RC, H2O, Abaco","Merge Stabilito+Trajecto, formatting, Ctrl, RC, H2O, Abaco")</f>
        <v>Fusion Stabilito+Trajecto, mise en forme, Ctrl, RC, H2O, Abaco</v>
      </c>
    </row>
    <row r="43" spans="3:6" x14ac:dyDescent="0.2">
      <c r="C43" t="s">
        <v>327</v>
      </c>
      <c r="D43" t="s">
        <v>42</v>
      </c>
      <c r="E43" s="16">
        <v>41194</v>
      </c>
      <c r="F43" t="s">
        <v>331</v>
      </c>
    </row>
    <row r="44" spans="3:6" x14ac:dyDescent="0.2">
      <c r="C44" t="s">
        <v>328</v>
      </c>
      <c r="D44" t="s">
        <v>42</v>
      </c>
      <c r="E44" s="16">
        <v>41329</v>
      </c>
      <c r="F44" t="s">
        <v>332</v>
      </c>
    </row>
    <row r="45" spans="3:6" x14ac:dyDescent="0.2">
      <c r="C45" t="s">
        <v>416</v>
      </c>
      <c r="D45" t="s">
        <v>395</v>
      </c>
      <c r="E45" s="16">
        <v>41947</v>
      </c>
      <c r="F45" t="s">
        <v>415</v>
      </c>
    </row>
    <row r="46" spans="3:6" x14ac:dyDescent="0.2">
      <c r="C46" t="s">
        <v>420</v>
      </c>
      <c r="D46" t="s">
        <v>395</v>
      </c>
      <c r="E46" s="16">
        <v>41965</v>
      </c>
      <c r="F46" t="s">
        <v>418</v>
      </c>
    </row>
    <row r="47" spans="3:6" x14ac:dyDescent="0.2">
      <c r="C47" t="s">
        <v>542</v>
      </c>
      <c r="D47" t="s">
        <v>395</v>
      </c>
      <c r="E47" s="16">
        <v>43048</v>
      </c>
      <c r="F47" t="s">
        <v>543</v>
      </c>
    </row>
    <row r="48" spans="3:6" x14ac:dyDescent="0.2">
      <c r="C48" t="s">
        <v>546</v>
      </c>
      <c r="D48" t="s">
        <v>395</v>
      </c>
      <c r="E48" s="16">
        <v>44160</v>
      </c>
      <c r="F48" t="s">
        <v>547</v>
      </c>
    </row>
    <row r="49" spans="3:6" x14ac:dyDescent="0.2">
      <c r="C49" t="s">
        <v>555</v>
      </c>
      <c r="D49" t="s">
        <v>553</v>
      </c>
      <c r="E49" s="16">
        <v>45300</v>
      </c>
      <c r="F49" t="s">
        <v>554</v>
      </c>
    </row>
    <row r="50" spans="3:6" x14ac:dyDescent="0.2">
      <c r="C50" t="s">
        <v>557</v>
      </c>
      <c r="D50" t="s">
        <v>395</v>
      </c>
      <c r="E50" s="16">
        <v>45322</v>
      </c>
      <c r="F50" t="s">
        <v>562</v>
      </c>
    </row>
    <row r="51" spans="3:6" x14ac:dyDescent="0.2">
      <c r="C51" t="s">
        <v>566</v>
      </c>
      <c r="D51" t="s">
        <v>395</v>
      </c>
      <c r="E51" s="16">
        <v>45325</v>
      </c>
      <c r="F51" t="s">
        <v>565</v>
      </c>
    </row>
    <row r="52" spans="3:6" x14ac:dyDescent="0.2">
      <c r="E52" s="16"/>
    </row>
    <row r="53" spans="3:6" x14ac:dyDescent="0.2">
      <c r="C53" s="14" t="str">
        <f>IF(Lang="Français","Paramètres de référence :","Reference parameters:")</f>
        <v>Paramètres de référence :</v>
      </c>
    </row>
    <row r="54" spans="3:6" x14ac:dyDescent="0.2">
      <c r="C54" s="62" t="str">
        <f>IF(Lang="Français","Gravité g :","Gravity g")</f>
        <v>Gravité g :</v>
      </c>
      <c r="E54" s="62">
        <v>9.81</v>
      </c>
      <c r="F54" s="62" t="s">
        <v>7</v>
      </c>
    </row>
    <row r="55" spans="3:6" x14ac:dyDescent="0.2">
      <c r="C55" s="62" t="str">
        <f>IF(Lang="Français","Masse volumique de l'air ρ :","Air density ρ")</f>
        <v>Masse volumique de l'air ρ :</v>
      </c>
      <c r="E55" s="63">
        <v>1.2250000000000001</v>
      </c>
      <c r="F55" s="62" t="s">
        <v>8</v>
      </c>
    </row>
    <row r="56" spans="3:6" x14ac:dyDescent="0.2">
      <c r="C56" s="48"/>
    </row>
    <row r="57" spans="3:6" x14ac:dyDescent="0.2">
      <c r="C57" s="48"/>
    </row>
    <row r="58" spans="3:6" x14ac:dyDescent="0.2">
      <c r="C58" s="48"/>
    </row>
    <row r="59" spans="3:6" x14ac:dyDescent="0.2">
      <c r="C59" s="48"/>
    </row>
    <row r="60" spans="3:6" x14ac:dyDescent="0.2">
      <c r="C60" s="48"/>
    </row>
    <row r="61" spans="3:6" x14ac:dyDescent="0.2">
      <c r="C61" s="48"/>
    </row>
  </sheetData>
  <sheetProtection algorithmName="SHA-512" hashValue="dcP9v4DQ6JuvC6eLIBXnlatxcJ77hQrkAMZATd7/biqbQNTpo5JLWb/f1rwPyt3T541dwFzTLWfTsEIfUWsRvA==" saltValue="abKm4XUCT8zC5fp4rZeuTQ==" spinCount="100000" sheet="1" objects="1" scenarios="1"/>
  <mergeCells count="1">
    <mergeCell ref="C2:D3"/>
  </mergeCells>
  <phoneticPr fontId="8" type="noConversion"/>
  <hyperlinks>
    <hyperlink ref="H13" r:id="rId1" xr:uid="{00000000-0004-0000-0600-000000000000}"/>
    <hyperlink ref="H22" r:id="rId2" xr:uid="{00000000-0004-0000-0600-000001000000}"/>
    <hyperlink ref="H26" r:id="rId3" xr:uid="{00000000-0004-0000-0600-000002000000}"/>
  </hyperlinks>
  <pageMargins left="0.39370078740157483" right="0.39370078740157483" top="0.39370078740157483" bottom="0.39370078740157483" header="0" footer="0"/>
  <pageSetup scale="73" firstPageNumber="0" orientation="portrait" horizontalDpi="300" verticalDpi="300" r:id="rId4"/>
  <headerFooter alignWithMargins="0"/>
  <drawing r:id="rId5"/>
  <legacyDrawing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7">
    <pageSetUpPr fitToPage="1"/>
  </sheetPr>
  <dimension ref="B1:U134"/>
  <sheetViews>
    <sheetView showGridLines="0" zoomScaleNormal="100" workbookViewId="0">
      <selection activeCell="L39" sqref="L39"/>
    </sheetView>
  </sheetViews>
  <sheetFormatPr baseColWidth="10" defaultColWidth="11.5703125" defaultRowHeight="12.75" x14ac:dyDescent="0.2"/>
  <cols>
    <col min="1" max="2" width="2.140625" customWidth="1"/>
    <col min="3" max="3" width="12.5703125" customWidth="1"/>
    <col min="4" max="4" width="21" customWidth="1"/>
    <col min="7" max="7" width="26.5703125" customWidth="1"/>
    <col min="8" max="9" width="6.85546875" customWidth="1"/>
    <col min="10" max="10" width="10" customWidth="1"/>
    <col min="11" max="11" width="13" customWidth="1"/>
    <col min="12" max="12" width="21.140625" customWidth="1"/>
    <col min="14" max="14" width="2.140625" customWidth="1"/>
    <col min="18" max="19" width="16.140625" customWidth="1"/>
  </cols>
  <sheetData>
    <row r="1" spans="2:21" ht="13.5" thickBot="1" x14ac:dyDescent="0.25">
      <c r="O1" s="6"/>
      <c r="P1" s="48"/>
      <c r="Q1" s="48"/>
      <c r="R1" s="48"/>
      <c r="S1" s="48"/>
      <c r="T1" s="48"/>
      <c r="U1" s="48"/>
    </row>
    <row r="2" spans="2:21" ht="13.5" thickBot="1" x14ac:dyDescent="0.25">
      <c r="B2" s="71"/>
      <c r="C2" s="72"/>
      <c r="D2" s="72"/>
      <c r="E2" s="72"/>
      <c r="F2" s="72"/>
      <c r="G2" s="72"/>
      <c r="H2" s="72"/>
      <c r="I2" s="72"/>
      <c r="J2" s="72"/>
      <c r="K2" s="72"/>
      <c r="L2" s="72"/>
      <c r="M2" s="72"/>
      <c r="N2" s="73"/>
      <c r="O2" s="6"/>
      <c r="P2" s="48"/>
      <c r="Q2" s="48"/>
      <c r="R2" s="48"/>
      <c r="S2" s="48"/>
      <c r="T2" s="48"/>
      <c r="U2" s="48"/>
    </row>
    <row r="3" spans="2:21" ht="15.75" customHeight="1" thickBot="1" x14ac:dyDescent="0.25">
      <c r="B3" s="74"/>
      <c r="D3" s="2" t="s">
        <v>429</v>
      </c>
      <c r="N3" s="75"/>
      <c r="O3" s="6"/>
      <c r="P3" s="273" t="s">
        <v>340</v>
      </c>
      <c r="Q3" s="441">
        <f>Long_ogive</f>
        <v>252</v>
      </c>
      <c r="R3" s="48"/>
      <c r="S3" s="48"/>
      <c r="T3" s="48"/>
      <c r="U3" s="48"/>
    </row>
    <row r="4" spans="2:21" ht="15.75" customHeight="1" x14ac:dyDescent="0.2">
      <c r="B4" s="74"/>
      <c r="D4" s="2" t="s">
        <v>564</v>
      </c>
      <c r="E4" t="str">
        <f>Matricule</f>
        <v>MF0</v>
      </c>
      <c r="N4" s="75"/>
      <c r="O4" s="6"/>
      <c r="P4" s="273"/>
      <c r="Q4" s="436"/>
      <c r="R4" s="48"/>
      <c r="S4" s="48"/>
      <c r="T4" s="48"/>
      <c r="U4" s="48"/>
    </row>
    <row r="5" spans="2:21" ht="15.75" customHeight="1" x14ac:dyDescent="0.2">
      <c r="B5" s="74"/>
      <c r="D5" t="s">
        <v>462</v>
      </c>
      <c r="E5" t="str">
        <f>Propu</f>
        <v>Aucun (2e ét. inerte)</v>
      </c>
      <c r="G5" t="s">
        <v>459</v>
      </c>
      <c r="H5">
        <f>MasseSans</f>
        <v>2.5950000000000002</v>
      </c>
      <c r="N5" s="75"/>
      <c r="O5" s="6"/>
      <c r="P5" s="273"/>
      <c r="Q5" s="436"/>
      <c r="R5" s="48"/>
      <c r="S5" s="48"/>
      <c r="T5" s="48"/>
      <c r="U5" s="48"/>
    </row>
    <row r="6" spans="2:21" x14ac:dyDescent="0.2">
      <c r="B6" s="74"/>
      <c r="D6" t="s">
        <v>455</v>
      </c>
      <c r="E6" s="2" t="str">
        <f>Trajecto!H34</f>
        <v>Brun/Orange…</v>
      </c>
      <c r="G6" t="s">
        <v>460</v>
      </c>
      <c r="H6">
        <f>D_ref</f>
        <v>84</v>
      </c>
      <c r="N6" s="75"/>
      <c r="O6" s="6"/>
      <c r="P6" s="273"/>
      <c r="Q6" s="436"/>
      <c r="R6" s="48"/>
      <c r="S6" s="48"/>
      <c r="T6" s="48"/>
      <c r="U6" s="48"/>
    </row>
    <row r="7" spans="2:21" x14ac:dyDescent="0.2">
      <c r="B7" s="74"/>
      <c r="D7" t="s">
        <v>457</v>
      </c>
      <c r="E7" s="2" t="str">
        <f>Trajecto!H35</f>
        <v>Rouge…</v>
      </c>
      <c r="G7" t="s">
        <v>5</v>
      </c>
      <c r="H7">
        <f>Cx</f>
        <v>0.6</v>
      </c>
      <c r="N7" s="75"/>
      <c r="O7" s="6"/>
      <c r="P7" s="273"/>
      <c r="Q7" s="436"/>
      <c r="R7" s="48"/>
      <c r="S7" s="48"/>
      <c r="T7" s="48"/>
      <c r="U7" s="48"/>
    </row>
    <row r="8" spans="2:21" x14ac:dyDescent="0.2">
      <c r="B8" s="74"/>
      <c r="D8" t="s">
        <v>458</v>
      </c>
      <c r="E8" s="2">
        <f>S_para</f>
        <v>0.48049999999999998</v>
      </c>
      <c r="G8" t="s">
        <v>461</v>
      </c>
      <c r="H8">
        <f>L_rampe</f>
        <v>2.5</v>
      </c>
      <c r="N8" s="75"/>
      <c r="O8" s="6"/>
      <c r="P8" s="273"/>
      <c r="Q8" s="436"/>
      <c r="R8" s="48"/>
      <c r="S8" s="48"/>
      <c r="T8" s="48"/>
      <c r="U8" s="48"/>
    </row>
    <row r="9" spans="2:21" x14ac:dyDescent="0.2">
      <c r="B9" s="74"/>
      <c r="D9" t="s">
        <v>456</v>
      </c>
      <c r="E9" s="2"/>
      <c r="G9" t="s">
        <v>146</v>
      </c>
      <c r="H9" s="532" t="str">
        <f>Forme_ogive</f>
        <v>Conique (droite)</v>
      </c>
      <c r="N9" s="75"/>
      <c r="O9" s="6"/>
      <c r="P9" s="273"/>
      <c r="Q9" s="436"/>
      <c r="R9" s="48"/>
      <c r="S9" s="48"/>
      <c r="T9" s="48"/>
      <c r="U9" s="48"/>
    </row>
    <row r="10" spans="2:21" x14ac:dyDescent="0.2">
      <c r="B10" s="74"/>
      <c r="F10" s="3"/>
      <c r="G10" s="6"/>
      <c r="N10" s="75"/>
      <c r="O10" s="521"/>
      <c r="P10" s="48"/>
      <c r="Q10" s="436"/>
      <c r="R10" s="48"/>
      <c r="S10" s="48"/>
      <c r="T10" s="48"/>
      <c r="U10" s="48"/>
    </row>
    <row r="11" spans="2:21" ht="13.5" thickBot="1" x14ac:dyDescent="0.25">
      <c r="B11" s="74"/>
      <c r="C11" s="12"/>
      <c r="D11" s="275" t="s">
        <v>454</v>
      </c>
      <c r="E11" s="243">
        <f>MasseSans</f>
        <v>2.5950000000000002</v>
      </c>
      <c r="F11" s="246" t="s">
        <v>123</v>
      </c>
      <c r="G11" s="246" t="s">
        <v>125</v>
      </c>
      <c r="H11" s="672" t="e">
        <f ca="1">Vsortie_de_rampe</f>
        <v>#N/A</v>
      </c>
      <c r="I11" s="673"/>
      <c r="J11" s="76"/>
      <c r="N11" s="75"/>
      <c r="P11" s="48"/>
      <c r="Q11" s="436"/>
      <c r="R11" s="48"/>
      <c r="S11" s="48"/>
      <c r="T11" s="48"/>
      <c r="U11" s="440">
        <f>IF(RIGHT(Nb_diam,1)=",", "", X_j)</f>
        <v>0</v>
      </c>
    </row>
    <row r="12" spans="2:21" ht="13.5" thickBot="1" x14ac:dyDescent="0.25">
      <c r="B12" s="74"/>
      <c r="C12" s="12"/>
      <c r="D12" s="276"/>
      <c r="E12" s="244"/>
      <c r="F12" s="6" t="s">
        <v>123</v>
      </c>
      <c r="G12" s="6" t="s">
        <v>126</v>
      </c>
      <c r="H12" s="674">
        <f>Finesse</f>
        <v>11.80952380952381</v>
      </c>
      <c r="I12" s="675"/>
      <c r="J12" s="76"/>
      <c r="N12" s="75"/>
      <c r="O12" s="6"/>
      <c r="P12" s="273" t="s">
        <v>341</v>
      </c>
      <c r="Q12" s="441">
        <f>D_og</f>
        <v>84</v>
      </c>
      <c r="R12" s="48"/>
      <c r="S12" s="48"/>
      <c r="T12" s="48"/>
      <c r="U12" s="436"/>
    </row>
    <row r="13" spans="2:21" x14ac:dyDescent="0.2">
      <c r="B13" s="74"/>
      <c r="C13" s="12"/>
      <c r="D13" s="276" t="s">
        <v>5</v>
      </c>
      <c r="E13" s="244">
        <f>Cx</f>
        <v>0.6</v>
      </c>
      <c r="F13" s="6" t="s">
        <v>123</v>
      </c>
      <c r="G13" s="6" t="s">
        <v>433</v>
      </c>
      <c r="H13" s="674">
        <f>Cn</f>
        <v>15.602161052846441</v>
      </c>
      <c r="I13" s="675"/>
      <c r="J13" s="76"/>
      <c r="N13" s="75"/>
      <c r="O13" s="6"/>
      <c r="P13" s="48"/>
      <c r="Q13" s="436"/>
      <c r="R13" s="48"/>
      <c r="S13" s="48"/>
      <c r="T13" s="48"/>
      <c r="U13" s="440">
        <f>IF(RIGHT(Nb_diam,1)=",", "", X_r)</f>
        <v>0</v>
      </c>
    </row>
    <row r="14" spans="2:21" x14ac:dyDescent="0.2">
      <c r="B14" s="74"/>
      <c r="C14" s="12"/>
      <c r="D14" s="276" t="s">
        <v>143</v>
      </c>
      <c r="E14" s="244">
        <f>L_rampe</f>
        <v>2.5</v>
      </c>
      <c r="F14" s="6" t="s">
        <v>123</v>
      </c>
      <c r="G14" s="6" t="s">
        <v>127</v>
      </c>
      <c r="H14" s="247">
        <f ca="1">MS_min</f>
        <v>2.8691865906184071</v>
      </c>
      <c r="I14" s="254">
        <f ca="1">MS_max</f>
        <v>2.869376508981035</v>
      </c>
      <c r="J14" s="76"/>
      <c r="K14" s="76"/>
      <c r="N14" s="75"/>
      <c r="P14" s="48"/>
      <c r="Q14" s="436"/>
      <c r="R14" s="48"/>
      <c r="S14" s="48"/>
      <c r="T14" s="48"/>
      <c r="U14" s="436"/>
    </row>
    <row r="15" spans="2:21" x14ac:dyDescent="0.2">
      <c r="B15" s="74"/>
      <c r="C15" s="12"/>
      <c r="D15" s="276" t="s">
        <v>144</v>
      </c>
      <c r="E15" s="244">
        <f>ep_ail</f>
        <v>3</v>
      </c>
      <c r="F15" s="6" t="s">
        <v>123</v>
      </c>
      <c r="G15" s="6" t="s">
        <v>124</v>
      </c>
      <c r="H15" s="247">
        <f ca="1">MS_Cn_min</f>
        <v>44.765511277495776</v>
      </c>
      <c r="I15" s="254">
        <f ca="1">MS_Cn_max</f>
        <v>44.768474414376392</v>
      </c>
      <c r="J15" s="76"/>
      <c r="K15" s="76"/>
      <c r="N15" s="75"/>
      <c r="P15" s="48"/>
      <c r="Q15" s="436"/>
      <c r="R15" s="48"/>
      <c r="S15" s="48"/>
      <c r="T15" s="48"/>
    </row>
    <row r="16" spans="2:21" x14ac:dyDescent="0.2">
      <c r="B16" s="74"/>
      <c r="C16" s="12"/>
      <c r="D16" s="276" t="s">
        <v>145</v>
      </c>
      <c r="E16" s="244">
        <f>Q_ail</f>
        <v>4</v>
      </c>
      <c r="F16" s="6" t="s">
        <v>128</v>
      </c>
      <c r="G16" s="6" t="s">
        <v>129</v>
      </c>
      <c r="H16" s="247">
        <f ca="1">V_para</f>
        <v>9.3004388634592026</v>
      </c>
      <c r="I16" s="253">
        <f>V_satellite</f>
        <v>10.960038730752361</v>
      </c>
      <c r="J16" s="76"/>
      <c r="N16" s="75"/>
      <c r="P16" s="48"/>
      <c r="Q16" s="436"/>
      <c r="R16" s="48"/>
      <c r="S16" s="48"/>
      <c r="T16" s="48"/>
      <c r="U16" s="440">
        <f>IF(RIGHT(Nb_diam,1)=",", "", l_j)</f>
        <v>0</v>
      </c>
    </row>
    <row r="17" spans="2:21" x14ac:dyDescent="0.2">
      <c r="B17" s="74"/>
      <c r="C17" s="12"/>
      <c r="D17" s="276" t="s">
        <v>146</v>
      </c>
      <c r="E17" s="272" t="str">
        <f>Forme_ogive</f>
        <v>Conique (droite)</v>
      </c>
      <c r="F17" s="6" t="s">
        <v>130</v>
      </c>
      <c r="G17" s="6" t="s">
        <v>131</v>
      </c>
      <c r="H17" s="674">
        <f>T_para</f>
        <v>14</v>
      </c>
      <c r="I17" s="675"/>
      <c r="J17" s="258"/>
      <c r="N17" s="75"/>
      <c r="P17" s="434" t="s">
        <v>342</v>
      </c>
      <c r="Q17" s="440">
        <f>IF(RIGHT(Nb_diam,1)=",", "", D2j)</f>
        <v>0</v>
      </c>
      <c r="R17" s="48"/>
      <c r="S17" s="48"/>
      <c r="T17" s="48"/>
      <c r="U17" s="436"/>
    </row>
    <row r="18" spans="2:21" x14ac:dyDescent="0.2">
      <c r="B18" s="74"/>
      <c r="C18" s="12"/>
      <c r="D18" s="276" t="s">
        <v>148</v>
      </c>
      <c r="E18" s="244">
        <f ca="1">XpropuRef-Long_propu</f>
        <v>942</v>
      </c>
      <c r="F18" s="12" t="s">
        <v>130</v>
      </c>
      <c r="G18" s="12" t="s">
        <v>427</v>
      </c>
      <c r="H18" s="602">
        <f ca="1">T_para-Combustion-Depotage</f>
        <v>14</v>
      </c>
      <c r="I18" s="680"/>
      <c r="N18" s="75"/>
      <c r="P18" s="48"/>
      <c r="Q18" s="436"/>
      <c r="R18" s="48"/>
      <c r="S18" s="48"/>
    </row>
    <row r="19" spans="2:21" x14ac:dyDescent="0.2">
      <c r="B19" s="74"/>
      <c r="C19" s="531"/>
      <c r="D19" s="269"/>
      <c r="E19" s="271"/>
      <c r="F19" s="519" t="s">
        <v>132</v>
      </c>
      <c r="G19" s="274" t="s">
        <v>426</v>
      </c>
      <c r="H19" s="681">
        <f ca="1">Portee_balistique</f>
        <v>588.9746359926213</v>
      </c>
      <c r="I19" s="682"/>
      <c r="N19" s="75"/>
      <c r="P19" s="48"/>
      <c r="Q19" s="436"/>
      <c r="R19" s="48"/>
      <c r="S19" s="48"/>
      <c r="T19" s="48"/>
    </row>
    <row r="20" spans="2:21" x14ac:dyDescent="0.2">
      <c r="B20" s="74"/>
      <c r="C20" s="12"/>
      <c r="D20" s="6"/>
      <c r="E20" s="6"/>
      <c r="H20" s="518"/>
      <c r="I20" s="518"/>
      <c r="N20" s="75"/>
      <c r="P20" s="48"/>
      <c r="Q20" s="436"/>
      <c r="R20" s="48"/>
      <c r="S20" s="48"/>
      <c r="T20" s="48"/>
      <c r="U20" s="440">
        <f>IF(RIGHT(Nb_diam,1)=",", "", l_r)</f>
        <v>0</v>
      </c>
    </row>
    <row r="21" spans="2:21" x14ac:dyDescent="0.2">
      <c r="B21" s="74"/>
      <c r="C21" s="12"/>
      <c r="D21" s="6"/>
      <c r="E21" s="263"/>
      <c r="F21" s="3"/>
      <c r="G21" s="6"/>
      <c r="H21" s="518"/>
      <c r="I21" s="518"/>
      <c r="N21" s="75"/>
      <c r="O21" s="273"/>
      <c r="P21" s="436"/>
      <c r="Q21" s="48"/>
      <c r="R21" s="48"/>
      <c r="S21" s="48"/>
      <c r="T21" s="226"/>
      <c r="U21" s="436"/>
    </row>
    <row r="22" spans="2:21" x14ac:dyDescent="0.2">
      <c r="B22" s="74"/>
      <c r="C22" s="526" t="s">
        <v>453</v>
      </c>
      <c r="D22" s="526" t="s">
        <v>437</v>
      </c>
      <c r="E22" s="527"/>
      <c r="F22" s="528" t="s">
        <v>442</v>
      </c>
      <c r="G22" s="526" t="s">
        <v>447</v>
      </c>
      <c r="I22" s="529"/>
      <c r="J22" s="530" t="s">
        <v>156</v>
      </c>
      <c r="K22" s="526" t="s">
        <v>157</v>
      </c>
      <c r="N22" s="75"/>
      <c r="O22" s="273"/>
      <c r="P22" s="436"/>
      <c r="Q22" s="48"/>
      <c r="R22" s="48"/>
      <c r="S22" s="48"/>
      <c r="T22" s="226"/>
      <c r="U22" s="436"/>
    </row>
    <row r="23" spans="2:21" x14ac:dyDescent="0.2">
      <c r="B23" s="74"/>
      <c r="C23" s="526" t="s">
        <v>452</v>
      </c>
      <c r="D23" s="527">
        <f>XcgSans</f>
        <v>528</v>
      </c>
      <c r="E23" s="527" t="s">
        <v>38</v>
      </c>
      <c r="F23" s="528">
        <f>m_ail</f>
        <v>170</v>
      </c>
      <c r="G23" s="526">
        <f>m_can</f>
        <v>180</v>
      </c>
      <c r="I23" s="529" t="s">
        <v>448</v>
      </c>
      <c r="J23" s="528">
        <f>l_j</f>
        <v>0</v>
      </c>
      <c r="K23" s="526">
        <f>l_r</f>
        <v>0</v>
      </c>
      <c r="N23" s="75"/>
      <c r="O23" s="273"/>
      <c r="P23" s="436"/>
      <c r="Q23" s="48"/>
      <c r="R23" s="48"/>
      <c r="S23" s="48"/>
      <c r="T23" s="226"/>
      <c r="U23" s="436"/>
    </row>
    <row r="24" spans="2:21" x14ac:dyDescent="0.2">
      <c r="B24" s="74"/>
      <c r="C24" s="526" t="s">
        <v>440</v>
      </c>
      <c r="D24" s="526">
        <f>Long_tot</f>
        <v>992</v>
      </c>
      <c r="E24" s="527" t="s">
        <v>443</v>
      </c>
      <c r="F24" s="528">
        <f>n_ail</f>
        <v>80</v>
      </c>
      <c r="G24" s="526">
        <f>n_can</f>
        <v>80</v>
      </c>
      <c r="I24" s="529" t="s">
        <v>449</v>
      </c>
      <c r="J24" s="528">
        <f>D1j</f>
        <v>0</v>
      </c>
      <c r="K24" s="526">
        <f>D1r</f>
        <v>0</v>
      </c>
      <c r="N24" s="75"/>
      <c r="O24" s="273"/>
      <c r="P24" s="436"/>
      <c r="Q24" s="48"/>
      <c r="R24" s="48"/>
      <c r="S24" s="48"/>
      <c r="T24" s="226"/>
      <c r="U24" s="436"/>
    </row>
    <row r="25" spans="2:21" x14ac:dyDescent="0.2">
      <c r="B25" s="74"/>
      <c r="C25" s="526" t="s">
        <v>441</v>
      </c>
      <c r="D25" s="526">
        <f>XpropuRef</f>
        <v>942</v>
      </c>
      <c r="E25" s="527" t="s">
        <v>444</v>
      </c>
      <c r="F25" s="528">
        <f>p_ail</f>
        <v>120</v>
      </c>
      <c r="G25" s="526">
        <f>p_can</f>
        <v>160</v>
      </c>
      <c r="I25" s="529" t="s">
        <v>450</v>
      </c>
      <c r="J25" s="528">
        <f>D2j</f>
        <v>0</v>
      </c>
      <c r="K25" s="526">
        <f>D2r</f>
        <v>0</v>
      </c>
      <c r="N25" s="75"/>
      <c r="O25" s="273"/>
      <c r="P25" s="436"/>
      <c r="Q25" s="48"/>
      <c r="R25" s="48"/>
      <c r="S25" s="48"/>
      <c r="T25" s="226"/>
      <c r="U25" s="436"/>
    </row>
    <row r="26" spans="2:21" x14ac:dyDescent="0.2">
      <c r="B26" s="74"/>
      <c r="C26" s="526" t="s">
        <v>438</v>
      </c>
      <c r="D26" s="526">
        <f>D_ref</f>
        <v>84</v>
      </c>
      <c r="E26" s="527" t="s">
        <v>445</v>
      </c>
      <c r="F26" s="528">
        <f>E_ail</f>
        <v>107</v>
      </c>
      <c r="G26" s="526">
        <f>E_can</f>
        <v>110</v>
      </c>
      <c r="I26" s="529" t="s">
        <v>451</v>
      </c>
      <c r="J26" s="528">
        <f>X_j</f>
        <v>0</v>
      </c>
      <c r="K26" s="526">
        <f>X_r</f>
        <v>0</v>
      </c>
      <c r="N26" s="75"/>
      <c r="O26" s="273"/>
      <c r="P26" s="436"/>
      <c r="Q26" s="48"/>
      <c r="R26" s="48"/>
      <c r="S26" s="48"/>
      <c r="T26" s="226"/>
      <c r="U26" s="436"/>
    </row>
    <row r="27" spans="2:21" x14ac:dyDescent="0.2">
      <c r="B27" s="74"/>
      <c r="C27" s="526" t="s">
        <v>439</v>
      </c>
      <c r="D27" s="526">
        <f>Long_ogive</f>
        <v>252</v>
      </c>
      <c r="E27" s="527" t="s">
        <v>446</v>
      </c>
      <c r="F27" s="528">
        <f>X_ail</f>
        <v>942</v>
      </c>
      <c r="G27" s="526">
        <f>X_can</f>
        <v>1250</v>
      </c>
      <c r="H27" s="518"/>
      <c r="I27" s="3"/>
      <c r="J27" s="2"/>
      <c r="N27" s="75"/>
      <c r="O27" s="273"/>
      <c r="P27" s="436"/>
      <c r="Q27" s="48"/>
      <c r="R27" s="48"/>
      <c r="S27" s="48"/>
      <c r="T27" s="226"/>
      <c r="U27" s="436"/>
    </row>
    <row r="28" spans="2:21" ht="13.5" thickBot="1" x14ac:dyDescent="0.25">
      <c r="B28" s="74"/>
      <c r="E28" s="95"/>
      <c r="N28" s="75"/>
      <c r="O28" s="2"/>
      <c r="P28" s="6"/>
      <c r="Q28" s="2"/>
      <c r="R28" s="48"/>
      <c r="S28" s="48"/>
      <c r="T28" s="48"/>
      <c r="U28" s="436"/>
    </row>
    <row r="29" spans="2:21" ht="13.5" thickBot="1" x14ac:dyDescent="0.25">
      <c r="B29" s="74"/>
      <c r="C29" s="677" t="s">
        <v>141</v>
      </c>
      <c r="D29" s="677" t="s">
        <v>133</v>
      </c>
      <c r="E29" s="677" t="s">
        <v>134</v>
      </c>
      <c r="F29" s="677"/>
      <c r="G29" s="677"/>
      <c r="H29" s="678" t="s">
        <v>135</v>
      </c>
      <c r="I29" s="678"/>
      <c r="J29" s="678"/>
      <c r="K29" s="678"/>
      <c r="L29" s="677" t="s">
        <v>136</v>
      </c>
      <c r="M29" s="677" t="s">
        <v>137</v>
      </c>
      <c r="N29" s="75"/>
      <c r="O29" s="273" t="s">
        <v>430</v>
      </c>
      <c r="P29" s="441">
        <f>n_ail</f>
        <v>80</v>
      </c>
      <c r="Q29" s="2"/>
      <c r="R29" s="48"/>
      <c r="S29" s="48"/>
      <c r="T29" s="48"/>
      <c r="U29" s="12" t="s">
        <v>434</v>
      </c>
    </row>
    <row r="30" spans="2:21" ht="13.5" thickBot="1" x14ac:dyDescent="0.25">
      <c r="B30" s="74"/>
      <c r="C30" s="677"/>
      <c r="D30" s="677"/>
      <c r="E30" s="677"/>
      <c r="F30" s="677"/>
      <c r="G30" s="677"/>
      <c r="H30" s="678" t="s">
        <v>138</v>
      </c>
      <c r="I30" s="678"/>
      <c r="J30" s="69" t="s">
        <v>139</v>
      </c>
      <c r="K30" s="70" t="s">
        <v>140</v>
      </c>
      <c r="L30" s="677"/>
      <c r="M30" s="677"/>
      <c r="N30" s="75"/>
      <c r="P30" s="12"/>
      <c r="R30" s="48"/>
      <c r="S30" s="48"/>
      <c r="T30" s="226" t="s">
        <v>432</v>
      </c>
      <c r="U30" s="523">
        <f>[0]!p_can</f>
        <v>160</v>
      </c>
    </row>
    <row r="31" spans="2:21" ht="13.5" thickBot="1" x14ac:dyDescent="0.25">
      <c r="B31" s="74"/>
      <c r="C31" s="83">
        <f>Beta_rampe</f>
        <v>77.726236552359381</v>
      </c>
      <c r="D31" s="84">
        <f ca="1">Portee_balistique</f>
        <v>588.9746359926213</v>
      </c>
      <c r="E31" s="676">
        <f ca="1">T_para+Dt_para</f>
        <v>142.25605173506028</v>
      </c>
      <c r="F31" s="676"/>
      <c r="G31" s="676"/>
      <c r="H31" s="679">
        <f ca="1">Altitude_culmi</f>
        <v>1192.8774857614485</v>
      </c>
      <c r="I31" s="679"/>
      <c r="J31" s="85">
        <f ca="1">Temps_culmi</f>
        <v>13.799999999999946</v>
      </c>
      <c r="K31" s="86">
        <f ca="1">Vit_culmi</f>
        <v>18.63919977107313</v>
      </c>
      <c r="L31" s="84">
        <f ca="1">Acc_max</f>
        <v>37.550793976893736</v>
      </c>
      <c r="M31" s="86">
        <f ca="1">Vit_max</f>
        <v>174.11119928081908</v>
      </c>
      <c r="N31" s="75"/>
      <c r="O31" s="273" t="s">
        <v>436</v>
      </c>
      <c r="P31" s="441">
        <f>ep_ail</f>
        <v>3</v>
      </c>
      <c r="Q31" s="2"/>
      <c r="R31" s="48"/>
      <c r="S31" s="48"/>
      <c r="T31" s="226" t="s">
        <v>344</v>
      </c>
      <c r="U31" s="523">
        <f>[0]!m_can</f>
        <v>180</v>
      </c>
    </row>
    <row r="32" spans="2:21" ht="13.5" thickBot="1" x14ac:dyDescent="0.25">
      <c r="B32" s="74"/>
      <c r="C32" s="520"/>
      <c r="D32" s="242"/>
      <c r="E32" s="247"/>
      <c r="F32" s="247"/>
      <c r="G32" s="247"/>
      <c r="H32" s="283"/>
      <c r="I32" s="283"/>
      <c r="J32" s="247"/>
      <c r="K32" s="248"/>
      <c r="L32" s="242"/>
      <c r="M32" s="248"/>
      <c r="N32" s="75"/>
      <c r="O32" s="273" t="s">
        <v>435</v>
      </c>
      <c r="P32" s="522">
        <f>Q_ail</f>
        <v>4</v>
      </c>
      <c r="Q32" s="2"/>
      <c r="R32" s="48"/>
      <c r="S32" s="48"/>
      <c r="T32" s="226" t="s">
        <v>430</v>
      </c>
      <c r="U32" s="523">
        <f>[0]!n_can</f>
        <v>80</v>
      </c>
    </row>
    <row r="33" spans="2:21" ht="13.5" thickBot="1" x14ac:dyDescent="0.25">
      <c r="B33" s="74"/>
      <c r="D33" s="80"/>
      <c r="E33" s="81"/>
      <c r="F33" s="81"/>
      <c r="G33" s="81"/>
      <c r="H33" s="82"/>
      <c r="I33" s="82"/>
      <c r="J33" s="81"/>
      <c r="K33" s="76"/>
      <c r="L33" s="80"/>
      <c r="M33" s="76"/>
      <c r="N33" s="75"/>
      <c r="O33" s="2"/>
      <c r="Q33" s="2"/>
      <c r="R33" s="48"/>
      <c r="S33" s="48"/>
      <c r="T33" s="226" t="s">
        <v>431</v>
      </c>
      <c r="U33" s="523">
        <f>[0]!E_can</f>
        <v>110</v>
      </c>
    </row>
    <row r="34" spans="2:21" ht="13.5" thickBot="1" x14ac:dyDescent="0.25">
      <c r="B34" s="77"/>
      <c r="C34" s="78"/>
      <c r="D34" s="78"/>
      <c r="E34" s="78"/>
      <c r="F34" s="78"/>
      <c r="G34" s="78"/>
      <c r="H34" s="78"/>
      <c r="I34" s="78"/>
      <c r="J34" s="78"/>
      <c r="K34" s="78"/>
      <c r="L34" s="78"/>
      <c r="M34" s="78"/>
      <c r="N34" s="79"/>
      <c r="O34" s="2"/>
      <c r="P34" s="273" t="s">
        <v>431</v>
      </c>
      <c r="Q34" s="441">
        <f>E_ail</f>
        <v>107</v>
      </c>
      <c r="T34" s="226" t="s">
        <v>436</v>
      </c>
      <c r="U34" s="523">
        <f>[0]!ep_can</f>
        <v>4</v>
      </c>
    </row>
    <row r="35" spans="2:21" x14ac:dyDescent="0.2">
      <c r="O35" s="2"/>
      <c r="P35" s="6"/>
      <c r="Q35" s="6"/>
      <c r="T35" s="226" t="s">
        <v>435</v>
      </c>
      <c r="U35" s="523">
        <f>[0]!Q_can</f>
        <v>4</v>
      </c>
    </row>
    <row r="36" spans="2:21" ht="13.5" thickBot="1" x14ac:dyDescent="0.25">
      <c r="T36" s="2"/>
      <c r="U36" s="12"/>
    </row>
    <row r="37" spans="2:21" x14ac:dyDescent="0.2">
      <c r="B37" s="71"/>
      <c r="C37" s="72"/>
      <c r="D37" s="72"/>
      <c r="E37" s="72"/>
      <c r="F37" s="72"/>
      <c r="G37" s="72"/>
      <c r="H37" s="72"/>
      <c r="I37" s="72"/>
      <c r="J37" s="72"/>
      <c r="K37" s="72"/>
      <c r="L37" s="72"/>
      <c r="M37" s="72"/>
      <c r="N37" s="73"/>
      <c r="T37" s="2"/>
    </row>
    <row r="38" spans="2:21" x14ac:dyDescent="0.2">
      <c r="B38" s="74"/>
      <c r="D38" s="2" t="s">
        <v>195</v>
      </c>
      <c r="H38" s="273" t="s">
        <v>563</v>
      </c>
      <c r="I38" t="str">
        <f>Matricule</f>
        <v>MF0</v>
      </c>
      <c r="N38" s="75"/>
    </row>
    <row r="39" spans="2:21" x14ac:dyDescent="0.2">
      <c r="B39" s="74"/>
      <c r="D39" s="2"/>
      <c r="N39" s="75"/>
    </row>
    <row r="40" spans="2:21" x14ac:dyDescent="0.2">
      <c r="B40" s="74"/>
      <c r="D40" s="275" t="s">
        <v>149</v>
      </c>
      <c r="E40" s="246">
        <f>D_ref</f>
        <v>84</v>
      </c>
      <c r="F40" s="265"/>
      <c r="G40" s="265"/>
      <c r="H40" s="261" t="s">
        <v>198</v>
      </c>
      <c r="I40" s="261" t="s">
        <v>199</v>
      </c>
      <c r="J40" s="262" t="s">
        <v>200</v>
      </c>
      <c r="N40" s="75"/>
    </row>
    <row r="41" spans="2:21" x14ac:dyDescent="0.2">
      <c r="B41" s="74"/>
      <c r="D41" s="276" t="s">
        <v>147</v>
      </c>
      <c r="E41" s="6">
        <f>Long_ogive</f>
        <v>252</v>
      </c>
      <c r="F41" s="2"/>
      <c r="G41" s="2" t="s">
        <v>201</v>
      </c>
      <c r="H41" s="6">
        <f>MasseSans</f>
        <v>2.5950000000000002</v>
      </c>
      <c r="I41" s="6">
        <f ca="1">MasseVide</f>
        <v>2.5950000000000002</v>
      </c>
      <c r="J41" s="244">
        <f ca="1">MassePlein</f>
        <v>2.5951000000000004</v>
      </c>
      <c r="N41" s="75"/>
    </row>
    <row r="42" spans="2:21" x14ac:dyDescent="0.2">
      <c r="B42" s="74"/>
      <c r="D42" s="276" t="s">
        <v>150</v>
      </c>
      <c r="E42" s="6">
        <f>X_ail-m_ail</f>
        <v>772</v>
      </c>
      <c r="F42" s="255"/>
      <c r="G42" s="255" t="s">
        <v>218</v>
      </c>
      <c r="H42" s="263">
        <f>XcgSans</f>
        <v>528</v>
      </c>
      <c r="I42" s="263">
        <f ca="1">XcgVide</f>
        <v>528</v>
      </c>
      <c r="J42" s="245">
        <f ca="1">XcgPlein</f>
        <v>528.01595314246072</v>
      </c>
      <c r="N42" s="75"/>
    </row>
    <row r="43" spans="2:21" x14ac:dyDescent="0.2">
      <c r="B43" s="74"/>
      <c r="D43" s="276" t="str">
        <f>IF(Lang="Français","Emplanture 'm'",IF(Lang="English","Root edge  'm'",""))</f>
        <v>Emplanture 'm'</v>
      </c>
      <c r="E43" s="244">
        <f>m_ail</f>
        <v>170</v>
      </c>
      <c r="N43" s="75"/>
    </row>
    <row r="44" spans="2:21" x14ac:dyDescent="0.2">
      <c r="B44" s="74"/>
      <c r="D44" s="276" t="str">
        <f>IF(Lang="Français","Saumon      'n'",IF(Lang="English","Tip edge    'n'",""))</f>
        <v>Saumon      'n'</v>
      </c>
      <c r="E44" s="244">
        <f>n_ail</f>
        <v>80</v>
      </c>
      <c r="F44" s="246" t="s">
        <v>202</v>
      </c>
      <c r="G44" s="246" t="s">
        <v>207</v>
      </c>
      <c r="H44" s="672" t="e">
        <f ca="1">Vsortie_de_rampe</f>
        <v>#N/A</v>
      </c>
      <c r="I44" s="673"/>
      <c r="N44" s="75"/>
    </row>
    <row r="45" spans="2:21" x14ac:dyDescent="0.2">
      <c r="B45" s="74"/>
      <c r="D45" s="276" t="str">
        <f>IF(Lang="Français","Flèche        'p'",IF(Lang="English","Offset         'p'",""))</f>
        <v>Flèche        'p'</v>
      </c>
      <c r="E45" s="244">
        <f>p_ail</f>
        <v>120</v>
      </c>
      <c r="F45" s="6" t="s">
        <v>203</v>
      </c>
      <c r="G45" s="6" t="s">
        <v>208</v>
      </c>
      <c r="H45" s="674">
        <f>Finesse</f>
        <v>11.80952380952381</v>
      </c>
      <c r="I45" s="675"/>
      <c r="N45" s="75"/>
    </row>
    <row r="46" spans="2:21" x14ac:dyDescent="0.2">
      <c r="B46" s="74"/>
      <c r="D46" s="276" t="str">
        <f>IF(Lang="Français","Envergure   'E'",IF(Lang="English","Span          'E'",""))</f>
        <v>Envergure   'E'</v>
      </c>
      <c r="E46" s="244">
        <f>E_ail</f>
        <v>107</v>
      </c>
      <c r="F46" s="6" t="s">
        <v>204</v>
      </c>
      <c r="G46" s="6" t="s">
        <v>209</v>
      </c>
      <c r="H46" s="674">
        <f>Cn</f>
        <v>15.602161052846441</v>
      </c>
      <c r="I46" s="675"/>
      <c r="N46" s="75"/>
    </row>
    <row r="47" spans="2:21" x14ac:dyDescent="0.2">
      <c r="B47" s="74"/>
      <c r="D47" s="276" t="s">
        <v>144</v>
      </c>
      <c r="E47" s="244">
        <f>ep_ail</f>
        <v>3</v>
      </c>
      <c r="F47" s="6" t="s">
        <v>205</v>
      </c>
      <c r="G47" s="6" t="s">
        <v>210</v>
      </c>
      <c r="H47" s="247">
        <f ca="1">MS_min</f>
        <v>2.8691865906184071</v>
      </c>
      <c r="I47" s="254">
        <f ca="1">MS_max</f>
        <v>2.869376508981035</v>
      </c>
      <c r="N47" s="75"/>
    </row>
    <row r="48" spans="2:21" x14ac:dyDescent="0.2">
      <c r="B48" s="74"/>
      <c r="D48" s="276" t="s">
        <v>145</v>
      </c>
      <c r="E48" s="244">
        <f>Q_ail</f>
        <v>4</v>
      </c>
      <c r="F48" s="274" t="s">
        <v>206</v>
      </c>
      <c r="G48" s="274" t="s">
        <v>211</v>
      </c>
      <c r="H48" s="256">
        <f ca="1">MS_Cn_min</f>
        <v>44.765511277495776</v>
      </c>
      <c r="I48" s="264">
        <f ca="1">MS_Cn_max</f>
        <v>44.768474414376392</v>
      </c>
      <c r="N48" s="75"/>
    </row>
    <row r="49" spans="2:14" x14ac:dyDescent="0.2">
      <c r="B49" s="74"/>
      <c r="D49" s="276" t="s">
        <v>148</v>
      </c>
      <c r="E49" s="244">
        <f ca="1">XpropuRef-Long_propu</f>
        <v>942</v>
      </c>
      <c r="N49" s="75"/>
    </row>
    <row r="50" spans="2:14" x14ac:dyDescent="0.2">
      <c r="B50" s="74"/>
      <c r="D50" s="276" t="s">
        <v>146</v>
      </c>
      <c r="E50" s="272" t="str">
        <f>Forme_ogive</f>
        <v>Conique (droite)</v>
      </c>
      <c r="F50" s="273" t="s">
        <v>183</v>
      </c>
      <c r="G50" s="275" t="s">
        <v>5</v>
      </c>
      <c r="H50" s="246">
        <f>Cx</f>
        <v>0.6</v>
      </c>
      <c r="I50" s="265"/>
      <c r="J50" s="266"/>
      <c r="N50" s="75"/>
    </row>
    <row r="51" spans="2:14" x14ac:dyDescent="0.2">
      <c r="B51" s="74"/>
      <c r="D51" s="276" t="s">
        <v>142</v>
      </c>
      <c r="E51" s="244">
        <f>Long_tot</f>
        <v>992</v>
      </c>
      <c r="G51" s="276" t="s">
        <v>212</v>
      </c>
      <c r="H51" s="6">
        <f>Sref</f>
        <v>6.8257694409323945E-3</v>
      </c>
      <c r="J51" s="267"/>
      <c r="N51" s="75"/>
    </row>
    <row r="52" spans="2:14" x14ac:dyDescent="0.2">
      <c r="B52" s="74"/>
      <c r="D52" s="276" t="s">
        <v>196</v>
      </c>
      <c r="E52" s="244">
        <f>MAX(D_ref,D_ail,D_og,(RIGHT(Nb_diam,1)=",")*MAX(D1j,D1r,D2j,D2r))</f>
        <v>84</v>
      </c>
      <c r="G52" s="276" t="s">
        <v>213</v>
      </c>
      <c r="H52" s="6">
        <f>Beta_rampe</f>
        <v>77.726236552359381</v>
      </c>
      <c r="I52" s="6">
        <v>80</v>
      </c>
      <c r="J52" s="244">
        <v>90</v>
      </c>
      <c r="N52" s="75"/>
    </row>
    <row r="53" spans="2:14" x14ac:dyDescent="0.2">
      <c r="B53" s="74"/>
      <c r="D53" s="277" t="s">
        <v>197</v>
      </c>
      <c r="E53" s="260">
        <f>E_ail*2+D_ail</f>
        <v>298</v>
      </c>
      <c r="G53" s="278" t="s">
        <v>215</v>
      </c>
      <c r="H53" s="247">
        <f ca="1">Temps_culmi</f>
        <v>13.799999999999946</v>
      </c>
      <c r="I53" s="259"/>
      <c r="J53" s="268"/>
      <c r="N53" s="75"/>
    </row>
    <row r="54" spans="2:14" x14ac:dyDescent="0.2">
      <c r="B54" s="74"/>
      <c r="G54" s="278" t="s">
        <v>216</v>
      </c>
      <c r="H54" s="242">
        <f ca="1">Altitude_culmi</f>
        <v>1192.8774857614485</v>
      </c>
      <c r="I54" s="259"/>
      <c r="J54" s="268"/>
      <c r="N54" s="75"/>
    </row>
    <row r="55" spans="2:14" x14ac:dyDescent="0.2">
      <c r="B55" s="74"/>
      <c r="C55" s="275" t="s">
        <v>233</v>
      </c>
      <c r="D55" s="249" t="s">
        <v>60</v>
      </c>
      <c r="E55" s="243">
        <f>Long_tot</f>
        <v>992</v>
      </c>
      <c r="G55" s="278" t="s">
        <v>217</v>
      </c>
      <c r="H55" s="248">
        <f ca="1">Vit_culmi</f>
        <v>18.63919977107313</v>
      </c>
      <c r="I55" s="259"/>
      <c r="J55" s="268"/>
      <c r="N55" s="75"/>
    </row>
    <row r="56" spans="2:14" x14ac:dyDescent="0.2">
      <c r="B56" s="74"/>
      <c r="C56" s="276"/>
      <c r="D56" s="2" t="s">
        <v>219</v>
      </c>
      <c r="E56" s="244">
        <f>MAX(D_ref,D_ail,D_og,(RIGHT(Nb_diam,1)=",")*MAX(D1j,D1r,D2j,D2r))</f>
        <v>84</v>
      </c>
      <c r="G56" s="278" t="s">
        <v>133</v>
      </c>
      <c r="H56" s="242">
        <f ca="1">Portee_balistique</f>
        <v>588.9746359926213</v>
      </c>
      <c r="I56" s="259"/>
      <c r="J56" s="268"/>
      <c r="N56" s="75"/>
    </row>
    <row r="57" spans="2:14" x14ac:dyDescent="0.2">
      <c r="B57" s="74"/>
      <c r="C57" s="276"/>
      <c r="D57" s="2" t="s">
        <v>220</v>
      </c>
      <c r="E57" s="244">
        <f>E_ail*2+D_ail</f>
        <v>298</v>
      </c>
      <c r="G57" s="278" t="s">
        <v>214</v>
      </c>
      <c r="H57" s="242">
        <f ca="1">T_balistique</f>
        <v>32.500000000000171</v>
      </c>
      <c r="I57" s="259"/>
      <c r="J57" s="268"/>
      <c r="N57" s="75"/>
    </row>
    <row r="58" spans="2:14" x14ac:dyDescent="0.2">
      <c r="B58" s="74"/>
      <c r="C58" s="276"/>
      <c r="D58" s="2" t="s">
        <v>221</v>
      </c>
      <c r="E58" s="244">
        <f ca="1">MassePlein</f>
        <v>2.5951000000000004</v>
      </c>
      <c r="G58" s="278" t="s">
        <v>137</v>
      </c>
      <c r="H58" s="248">
        <f ca="1">Vit_max</f>
        <v>174.11119928081908</v>
      </c>
      <c r="I58" s="259"/>
      <c r="J58" s="268"/>
      <c r="N58" s="75"/>
    </row>
    <row r="59" spans="2:14" x14ac:dyDescent="0.2">
      <c r="B59" s="74"/>
      <c r="C59" s="277" t="s">
        <v>234</v>
      </c>
      <c r="D59" s="255" t="s">
        <v>145</v>
      </c>
      <c r="E59" s="260">
        <f>Q_ail</f>
        <v>4</v>
      </c>
      <c r="G59" s="278" t="s">
        <v>136</v>
      </c>
      <c r="H59" s="242">
        <f ca="1">Acc_max</f>
        <v>37.550793976893736</v>
      </c>
      <c r="I59" s="259"/>
      <c r="J59" s="268"/>
      <c r="N59" s="75"/>
    </row>
    <row r="60" spans="2:14" x14ac:dyDescent="0.2">
      <c r="B60" s="74"/>
      <c r="C60" s="12"/>
      <c r="G60" s="269" t="s">
        <v>222</v>
      </c>
      <c r="H60" s="270"/>
      <c r="I60" s="270"/>
      <c r="J60" s="271"/>
      <c r="N60" s="75"/>
    </row>
    <row r="61" spans="2:14" x14ac:dyDescent="0.2">
      <c r="B61" s="74"/>
      <c r="C61" s="275"/>
      <c r="D61" s="249"/>
      <c r="E61" s="246" t="s">
        <v>226</v>
      </c>
      <c r="F61" s="243" t="s">
        <v>227</v>
      </c>
      <c r="G61" s="2"/>
      <c r="H61" s="2"/>
      <c r="I61" s="2"/>
      <c r="J61" s="2"/>
      <c r="K61" s="2"/>
      <c r="N61" s="75"/>
    </row>
    <row r="62" spans="2:14" x14ac:dyDescent="0.2">
      <c r="B62" s="74"/>
      <c r="C62" s="276" t="s">
        <v>235</v>
      </c>
      <c r="D62" s="2" t="s">
        <v>225</v>
      </c>
      <c r="E62" s="242">
        <f ca="1">2*Acc_max*MassePlein</f>
        <v>194.89613089887391</v>
      </c>
      <c r="F62" s="280">
        <f ca="1">E62/9.81</f>
        <v>19.867087757275627</v>
      </c>
      <c r="H62" s="2"/>
      <c r="I62" s="2"/>
      <c r="J62" s="2"/>
      <c r="K62" s="2"/>
      <c r="N62" s="75"/>
    </row>
    <row r="63" spans="2:14" x14ac:dyDescent="0.2">
      <c r="B63" s="74"/>
      <c r="C63" s="276"/>
      <c r="D63" s="2" t="s">
        <v>223</v>
      </c>
      <c r="E63" s="242">
        <f ca="1">2*Acc_max*Masse_ail</f>
        <v>6.0269024332914451</v>
      </c>
      <c r="F63" s="248">
        <f ca="1">E63/9.81</f>
        <v>0.61436314304703821</v>
      </c>
      <c r="G63" s="246" t="s">
        <v>229</v>
      </c>
      <c r="H63" s="288">
        <f>S_ail*(ep_ail/1000)*2000</f>
        <v>8.0250000000000002E-2</v>
      </c>
      <c r="I63" s="2"/>
      <c r="J63" s="2"/>
      <c r="K63" s="2"/>
      <c r="N63" s="75"/>
    </row>
    <row r="64" spans="2:14" x14ac:dyDescent="0.2">
      <c r="B64" s="74"/>
      <c r="C64" s="277"/>
      <c r="D64" s="255" t="s">
        <v>224</v>
      </c>
      <c r="E64" s="263">
        <f ca="1">0.104*S_ail*Vit_max^2</f>
        <v>42.167761213572085</v>
      </c>
      <c r="F64" s="281">
        <f ca="1">E64/9.81</f>
        <v>4.2984466068880822</v>
      </c>
      <c r="G64" s="274" t="s">
        <v>228</v>
      </c>
      <c r="H64" s="289">
        <f>(E_ail*(m_ail+n_ail)/2)/10^6</f>
        <v>1.3375E-2</v>
      </c>
      <c r="I64" s="2"/>
      <c r="J64" s="2"/>
      <c r="K64" s="2"/>
      <c r="N64" s="75"/>
    </row>
    <row r="65" spans="2:14" x14ac:dyDescent="0.2">
      <c r="B65" s="74"/>
      <c r="C65" s="282" t="s">
        <v>242</v>
      </c>
      <c r="D65" s="285" t="s">
        <v>240</v>
      </c>
      <c r="E65" s="286">
        <f ca="1">2*Acc_max*H65</f>
        <v>97.448065449436953</v>
      </c>
      <c r="F65" s="286">
        <f ca="1">E65/9.81</f>
        <v>9.9335438786378134</v>
      </c>
      <c r="G65" s="287" t="s">
        <v>241</v>
      </c>
      <c r="H65" s="279">
        <f ca="1">E58/2</f>
        <v>1.2975500000000002</v>
      </c>
      <c r="I65" s="2"/>
      <c r="J65" s="2"/>
      <c r="K65" s="2"/>
      <c r="N65" s="75"/>
    </row>
    <row r="66" spans="2:14" x14ac:dyDescent="0.2">
      <c r="B66" s="74"/>
      <c r="C66" s="6"/>
      <c r="D66" s="2"/>
      <c r="E66" s="2"/>
      <c r="F66" s="2"/>
      <c r="G66" s="2"/>
      <c r="H66" s="2"/>
      <c r="I66" s="2"/>
      <c r="J66" s="2"/>
      <c r="K66" s="2"/>
      <c r="N66" s="75"/>
    </row>
    <row r="67" spans="2:14" x14ac:dyDescent="0.2">
      <c r="B67" s="74"/>
      <c r="F67" s="275" t="s">
        <v>232</v>
      </c>
      <c r="G67" s="249" t="s">
        <v>230</v>
      </c>
      <c r="H67" s="250">
        <f>T_para</f>
        <v>14</v>
      </c>
      <c r="I67" s="251">
        <f ca="1">Temps_culmi</f>
        <v>13.799999999999946</v>
      </c>
      <c r="J67" s="2"/>
      <c r="K67" s="2"/>
      <c r="N67" s="75"/>
    </row>
    <row r="68" spans="2:14" x14ac:dyDescent="0.2">
      <c r="B68" s="74"/>
      <c r="C68" s="6"/>
      <c r="D68" s="2"/>
      <c r="E68" s="2"/>
      <c r="F68" s="275" t="s">
        <v>231</v>
      </c>
      <c r="G68" s="249" t="s">
        <v>129</v>
      </c>
      <c r="H68" s="250">
        <f ca="1">V_para</f>
        <v>9.3004388634592026</v>
      </c>
      <c r="I68" s="251">
        <f>V_satellite</f>
        <v>10.960038730752361</v>
      </c>
      <c r="J68" s="2"/>
      <c r="K68" s="2"/>
      <c r="N68" s="75"/>
    </row>
    <row r="69" spans="2:14" x14ac:dyDescent="0.2">
      <c r="B69" s="74"/>
      <c r="C69" s="6"/>
      <c r="D69" s="2"/>
      <c r="E69" s="2"/>
      <c r="F69" s="276"/>
      <c r="G69" s="2" t="s">
        <v>237</v>
      </c>
      <c r="H69" s="247">
        <f>S_para</f>
        <v>0.48049999999999998</v>
      </c>
      <c r="I69" s="253">
        <f>S_satellite</f>
        <v>0.02</v>
      </c>
      <c r="J69" s="2"/>
      <c r="K69" s="2"/>
      <c r="N69" s="75"/>
    </row>
    <row r="70" spans="2:14" x14ac:dyDescent="0.2">
      <c r="B70" s="74"/>
      <c r="C70" s="226"/>
      <c r="D70" s="2"/>
      <c r="F70" s="276"/>
      <c r="G70" s="2" t="s">
        <v>236</v>
      </c>
      <c r="H70" s="247">
        <f ca="1">V_ouverture</f>
        <v>18.60085158446557</v>
      </c>
      <c r="I70" s="253">
        <f ca="1">V_ouv_sat</f>
        <v>128.64406027645498</v>
      </c>
      <c r="N70" s="75"/>
    </row>
    <row r="71" spans="2:14" x14ac:dyDescent="0.2">
      <c r="B71" s="74"/>
      <c r="C71" s="226"/>
      <c r="F71" s="276"/>
      <c r="G71" s="2" t="s">
        <v>201</v>
      </c>
      <c r="H71" s="247">
        <f ca="1">m_vide</f>
        <v>2.5950000000000002</v>
      </c>
      <c r="I71" s="253">
        <f>m_satellite</f>
        <v>0.15</v>
      </c>
      <c r="N71" s="75"/>
    </row>
    <row r="72" spans="2:14" x14ac:dyDescent="0.2">
      <c r="B72" s="74"/>
      <c r="C72" s="226"/>
      <c r="F72" s="276"/>
      <c r="G72" s="2" t="s">
        <v>238</v>
      </c>
      <c r="H72" s="283">
        <f ca="1">1/2*Rho_moyen*S_para*V_ouverture^2</f>
        <v>101.8275137740888</v>
      </c>
      <c r="I72" s="284">
        <f ca="1">1/2*Rho_moyen*S_satellite*V_ouv_sat^2</f>
        <v>202.72885449404924</v>
      </c>
      <c r="N72" s="75"/>
    </row>
    <row r="73" spans="2:14" x14ac:dyDescent="0.2">
      <c r="B73" s="74"/>
      <c r="D73" s="2"/>
      <c r="F73" s="277"/>
      <c r="G73" s="255" t="s">
        <v>239</v>
      </c>
      <c r="H73" s="256">
        <f ca="1">H72/9.81</f>
        <v>10.379970823046769</v>
      </c>
      <c r="I73" s="257">
        <f ca="1">I72/9.81</f>
        <v>20.665530529464753</v>
      </c>
      <c r="N73" s="75"/>
    </row>
    <row r="74" spans="2:14" ht="13.5" thickBot="1" x14ac:dyDescent="0.25">
      <c r="B74" s="77"/>
      <c r="C74" s="78"/>
      <c r="D74" s="78"/>
      <c r="E74" s="78"/>
      <c r="F74" s="78"/>
      <c r="G74" s="78"/>
      <c r="H74" s="78"/>
      <c r="I74" s="78"/>
      <c r="J74" s="78"/>
      <c r="K74" s="78"/>
      <c r="L74" s="78"/>
      <c r="M74" s="78"/>
      <c r="N74" s="79"/>
    </row>
    <row r="76" spans="2:14" ht="13.5" thickBot="1" x14ac:dyDescent="0.25"/>
    <row r="77" spans="2:14" x14ac:dyDescent="0.2">
      <c r="B77" s="71"/>
      <c r="C77" s="72"/>
      <c r="D77" s="72"/>
      <c r="E77" s="72"/>
      <c r="F77" s="72"/>
      <c r="G77" s="72"/>
      <c r="H77" s="72"/>
      <c r="I77" s="72"/>
      <c r="J77" s="72"/>
      <c r="K77" s="72"/>
      <c r="L77" s="72"/>
      <c r="M77" s="72"/>
      <c r="N77" s="73"/>
    </row>
    <row r="78" spans="2:14" x14ac:dyDescent="0.2">
      <c r="B78" s="74"/>
      <c r="D78" s="2" t="s">
        <v>333</v>
      </c>
      <c r="N78" s="75"/>
    </row>
    <row r="79" spans="2:14" ht="12.75" customHeight="1" x14ac:dyDescent="0.25">
      <c r="B79" s="74"/>
      <c r="E79" s="48"/>
      <c r="F79" s="48"/>
      <c r="G79" s="435" t="s">
        <v>339</v>
      </c>
      <c r="I79" s="448"/>
      <c r="J79" s="48"/>
      <c r="K79" s="48"/>
      <c r="N79" s="75"/>
    </row>
    <row r="80" spans="2:14" x14ac:dyDescent="0.2">
      <c r="B80" s="74"/>
      <c r="C80" s="275" t="s">
        <v>334</v>
      </c>
      <c r="D80" s="243" t="str">
        <f>Nom</f>
        <v>SP02-Alpha</v>
      </c>
      <c r="E80" s="48"/>
      <c r="F80" s="48"/>
      <c r="G80" s="48"/>
      <c r="H80" s="48"/>
      <c r="I80" s="48"/>
      <c r="J80" s="48"/>
      <c r="K80" s="48"/>
      <c r="N80" s="75"/>
    </row>
    <row r="81" spans="2:14" ht="13.5" thickBot="1" x14ac:dyDescent="0.25">
      <c r="B81" s="74"/>
      <c r="C81" s="276" t="s">
        <v>4</v>
      </c>
      <c r="D81" s="244" t="str">
        <f>Club</f>
        <v>L'AéroIPSA</v>
      </c>
      <c r="E81" s="48"/>
      <c r="F81" s="48"/>
      <c r="G81" s="48"/>
      <c r="H81" s="48"/>
      <c r="I81" s="48"/>
      <c r="J81" s="48"/>
      <c r="K81" s="48"/>
      <c r="N81" s="75"/>
    </row>
    <row r="82" spans="2:14" ht="13.5" thickBot="1" x14ac:dyDescent="0.25">
      <c r="B82" s="74"/>
      <c r="C82" s="432" t="s">
        <v>335</v>
      </c>
      <c r="D82" s="244" t="s">
        <v>14</v>
      </c>
      <c r="E82" s="273" t="s">
        <v>340</v>
      </c>
      <c r="F82" s="441">
        <f>Long_ogive</f>
        <v>252</v>
      </c>
      <c r="G82" s="48"/>
      <c r="H82" s="48"/>
      <c r="I82" s="48"/>
      <c r="J82" s="48"/>
      <c r="K82" s="48"/>
      <c r="N82" s="75"/>
    </row>
    <row r="83" spans="2:14" x14ac:dyDescent="0.2">
      <c r="B83" s="74"/>
      <c r="C83" s="277" t="s">
        <v>336</v>
      </c>
      <c r="D83" s="433">
        <f ca="1">TODAY()</f>
        <v>45931</v>
      </c>
      <c r="E83" s="48"/>
      <c r="F83" s="436"/>
      <c r="G83" s="48"/>
      <c r="H83" s="48"/>
      <c r="I83" s="48"/>
      <c r="J83" s="48"/>
      <c r="K83" s="48"/>
      <c r="N83" s="75"/>
    </row>
    <row r="84" spans="2:14" ht="13.5" thickBot="1" x14ac:dyDescent="0.25">
      <c r="B84" s="74"/>
      <c r="E84" s="48"/>
      <c r="F84" s="436"/>
      <c r="G84" s="48"/>
      <c r="H84" s="48"/>
      <c r="I84" s="48"/>
      <c r="J84" s="440">
        <f>IF(RIGHT(Nb_diam,1)=",", "", X_j)</f>
        <v>0</v>
      </c>
      <c r="K84" s="48"/>
      <c r="N84" s="75"/>
    </row>
    <row r="85" spans="2:14" ht="13.5" thickBot="1" x14ac:dyDescent="0.25">
      <c r="B85" s="74"/>
      <c r="C85" s="275" t="s">
        <v>337</v>
      </c>
      <c r="D85" s="243" t="str">
        <f>Propu</f>
        <v>Aucun (2e ét. inerte)</v>
      </c>
      <c r="E85" s="273" t="s">
        <v>341</v>
      </c>
      <c r="F85" s="441">
        <f>D_og</f>
        <v>84</v>
      </c>
      <c r="G85" s="48"/>
      <c r="H85" s="48"/>
      <c r="I85" s="48"/>
      <c r="J85" s="436"/>
      <c r="K85" s="48"/>
      <c r="N85" s="75"/>
    </row>
    <row r="86" spans="2:14" x14ac:dyDescent="0.2">
      <c r="B86" s="74"/>
      <c r="C86" s="277" t="s">
        <v>338</v>
      </c>
      <c r="D86" s="260" t="s">
        <v>14</v>
      </c>
      <c r="E86" s="48"/>
      <c r="F86" s="436"/>
      <c r="G86" s="48"/>
      <c r="H86" s="48"/>
      <c r="I86" s="48"/>
      <c r="J86" s="440">
        <f>IF(RIGHT(Nb_diam,1)=",", "", X_r)</f>
        <v>0</v>
      </c>
      <c r="K86" s="48"/>
      <c r="N86" s="75"/>
    </row>
    <row r="87" spans="2:14" x14ac:dyDescent="0.2">
      <c r="B87" s="74"/>
      <c r="E87" s="48"/>
      <c r="F87" s="436"/>
      <c r="G87" s="48"/>
      <c r="H87" s="48"/>
      <c r="I87" s="48"/>
      <c r="J87" s="436"/>
      <c r="K87" s="48"/>
      <c r="N87" s="75"/>
    </row>
    <row r="88" spans="2:14" x14ac:dyDescent="0.2">
      <c r="B88" s="74"/>
      <c r="E88" s="48"/>
      <c r="F88" s="436"/>
      <c r="G88" s="48"/>
      <c r="H88" s="48"/>
      <c r="I88" s="48"/>
      <c r="J88" s="440">
        <f>IF(RIGHT(Nb_diam,1)=",", "", l_j)</f>
        <v>0</v>
      </c>
      <c r="K88" s="48"/>
      <c r="N88" s="75"/>
    </row>
    <row r="89" spans="2:14" ht="13.5" thickBot="1" x14ac:dyDescent="0.25">
      <c r="B89" s="74"/>
      <c r="E89" s="48"/>
      <c r="F89" s="436"/>
      <c r="G89" s="48"/>
      <c r="H89" s="48"/>
      <c r="I89" s="48"/>
      <c r="J89" s="436"/>
      <c r="K89" s="48"/>
      <c r="N89" s="75"/>
    </row>
    <row r="90" spans="2:14" ht="13.5" thickBot="1" x14ac:dyDescent="0.25">
      <c r="B90" s="74"/>
      <c r="E90" s="434" t="s">
        <v>342</v>
      </c>
      <c r="F90" s="440">
        <f>IF(RIGHT(Nb_diam,1)=",", "", D2j)</f>
        <v>0</v>
      </c>
      <c r="G90" s="48"/>
      <c r="H90" s="48"/>
      <c r="I90" s="48"/>
      <c r="J90" s="441">
        <f>X_ail-m_ail</f>
        <v>772</v>
      </c>
      <c r="K90" s="2"/>
      <c r="N90" s="75"/>
    </row>
    <row r="91" spans="2:14" x14ac:dyDescent="0.2">
      <c r="B91" s="74"/>
      <c r="E91" s="48"/>
      <c r="F91" s="436"/>
      <c r="G91" s="48"/>
      <c r="H91" s="48"/>
      <c r="I91" s="48"/>
      <c r="J91" s="436"/>
      <c r="K91" s="48"/>
      <c r="N91" s="75"/>
    </row>
    <row r="92" spans="2:14" x14ac:dyDescent="0.2">
      <c r="B92" s="74"/>
      <c r="E92" s="48"/>
      <c r="F92" s="436"/>
      <c r="G92" s="48"/>
      <c r="H92" s="48"/>
      <c r="I92" s="48"/>
      <c r="J92" s="440">
        <f>IF(RIGHT(Nb_diam,1)=",", "", l_r)</f>
        <v>0</v>
      </c>
      <c r="K92" s="48"/>
      <c r="N92" s="75"/>
    </row>
    <row r="93" spans="2:14" x14ac:dyDescent="0.2">
      <c r="B93" s="74"/>
      <c r="E93" s="48"/>
      <c r="F93" s="436"/>
      <c r="G93" s="48"/>
      <c r="H93" s="48"/>
      <c r="I93" s="48"/>
      <c r="J93" s="436"/>
      <c r="K93" s="48"/>
      <c r="N93" s="75"/>
    </row>
    <row r="94" spans="2:14" x14ac:dyDescent="0.2">
      <c r="B94" s="74"/>
      <c r="E94" s="434" t="s">
        <v>343</v>
      </c>
      <c r="F94" s="440">
        <f>IF(RIGHT(Nb_diam,1)=",", "", D2r)</f>
        <v>0</v>
      </c>
      <c r="G94" s="48"/>
      <c r="H94" s="48"/>
      <c r="I94" s="48"/>
      <c r="J94" s="436"/>
      <c r="K94" s="48"/>
      <c r="N94" s="75"/>
    </row>
    <row r="95" spans="2:14" x14ac:dyDescent="0.2">
      <c r="B95" s="74"/>
      <c r="E95" s="48"/>
      <c r="F95" s="436"/>
      <c r="G95" s="48"/>
      <c r="H95" s="48"/>
      <c r="I95" s="48"/>
      <c r="J95" s="436"/>
      <c r="K95" s="48"/>
      <c r="N95" s="75"/>
    </row>
    <row r="96" spans="2:14" ht="13.5" thickBot="1" x14ac:dyDescent="0.25">
      <c r="B96" s="74"/>
      <c r="E96" s="48"/>
      <c r="F96" s="436"/>
      <c r="G96" s="48"/>
      <c r="H96" s="48"/>
      <c r="I96" s="48"/>
      <c r="J96" s="436"/>
      <c r="K96" s="48"/>
      <c r="N96" s="75"/>
    </row>
    <row r="97" spans="2:14" ht="13.5" thickBot="1" x14ac:dyDescent="0.25">
      <c r="B97" s="74"/>
      <c r="E97" s="273" t="s">
        <v>344</v>
      </c>
      <c r="F97" s="441">
        <f>m_ail</f>
        <v>170</v>
      </c>
      <c r="G97" s="48"/>
      <c r="H97" s="48"/>
      <c r="I97" s="48"/>
      <c r="J97" s="441">
        <f>p_ail</f>
        <v>120</v>
      </c>
      <c r="K97" s="2"/>
      <c r="N97" s="75"/>
    </row>
    <row r="98" spans="2:14" x14ac:dyDescent="0.2">
      <c r="B98" s="74"/>
      <c r="E98" s="48"/>
      <c r="F98" s="48"/>
      <c r="G98" s="48"/>
      <c r="H98" s="48"/>
      <c r="I98" s="48"/>
      <c r="J98" s="436"/>
      <c r="K98" s="48"/>
      <c r="N98" s="75"/>
    </row>
    <row r="99" spans="2:14" x14ac:dyDescent="0.2">
      <c r="B99" s="74"/>
      <c r="E99" s="48"/>
      <c r="F99" s="48"/>
      <c r="G99" s="48"/>
      <c r="H99" s="48"/>
      <c r="I99" s="48"/>
      <c r="J99" s="436"/>
      <c r="K99" s="48"/>
      <c r="N99" s="75"/>
    </row>
    <row r="100" spans="2:14" ht="13.5" thickBot="1" x14ac:dyDescent="0.25">
      <c r="B100" s="74"/>
      <c r="D100" s="429" t="s">
        <v>346</v>
      </c>
      <c r="E100" s="246">
        <f>Q_ail</f>
        <v>4</v>
      </c>
      <c r="F100" s="430"/>
      <c r="G100" s="48"/>
      <c r="H100" s="48"/>
      <c r="I100" s="48"/>
      <c r="J100" s="436"/>
      <c r="K100" s="48"/>
      <c r="N100" s="75"/>
    </row>
    <row r="101" spans="2:14" ht="13.5" thickBot="1" x14ac:dyDescent="0.25">
      <c r="B101" s="74"/>
      <c r="D101" s="437" t="s">
        <v>350</v>
      </c>
      <c r="E101" s="6">
        <f ca="1">XpropuRef-Long_propu</f>
        <v>942</v>
      </c>
      <c r="F101" s="252"/>
      <c r="G101" s="48"/>
      <c r="H101" s="48"/>
      <c r="I101" s="48"/>
      <c r="J101" s="441">
        <f>n_ail</f>
        <v>80</v>
      </c>
      <c r="K101" s="2"/>
      <c r="N101" s="75"/>
    </row>
    <row r="102" spans="2:14" x14ac:dyDescent="0.2">
      <c r="B102" s="74"/>
      <c r="D102" s="437" t="s">
        <v>347</v>
      </c>
      <c r="E102" s="6">
        <f>IF(LEFT(Forme_ogive,4)="Ogiv",1,0)</f>
        <v>0</v>
      </c>
      <c r="F102" s="252" t="s">
        <v>348</v>
      </c>
      <c r="G102" s="48"/>
      <c r="H102" s="48"/>
      <c r="I102" s="48"/>
      <c r="J102" s="436"/>
      <c r="K102" s="48"/>
      <c r="N102" s="75"/>
    </row>
    <row r="103" spans="2:14" x14ac:dyDescent="0.2">
      <c r="B103" s="74"/>
      <c r="D103" s="437"/>
      <c r="E103" s="6">
        <f>IF(LEFT(Forme_ogive,3)="Con",1,0)</f>
        <v>1</v>
      </c>
      <c r="F103" s="252" t="s">
        <v>159</v>
      </c>
      <c r="G103" s="48"/>
      <c r="H103" s="48"/>
      <c r="I103" s="48"/>
      <c r="J103" s="436"/>
      <c r="K103" s="48"/>
      <c r="N103" s="75"/>
    </row>
    <row r="104" spans="2:14" ht="13.5" thickBot="1" x14ac:dyDescent="0.25">
      <c r="B104" s="74"/>
      <c r="D104" s="431"/>
      <c r="E104" s="274">
        <f>IF(LEFT(Forme_ogive,5)="Parab",1,0)</f>
        <v>0</v>
      </c>
      <c r="F104" s="289" t="s">
        <v>349</v>
      </c>
      <c r="G104" s="48"/>
      <c r="H104" s="48"/>
      <c r="I104" s="48"/>
      <c r="J104" s="12" t="s">
        <v>345</v>
      </c>
      <c r="K104" s="48"/>
      <c r="N104" s="75"/>
    </row>
    <row r="105" spans="2:14" ht="13.5" thickBot="1" x14ac:dyDescent="0.25">
      <c r="B105" s="74"/>
      <c r="D105" s="2"/>
      <c r="E105" s="2"/>
      <c r="F105" s="2"/>
      <c r="G105" s="273"/>
      <c r="H105" s="441">
        <f>E_ail</f>
        <v>107</v>
      </c>
      <c r="I105" s="273"/>
      <c r="J105" s="441">
        <f>ep_ail</f>
        <v>3</v>
      </c>
      <c r="K105" s="48"/>
      <c r="N105" s="75"/>
    </row>
    <row r="106" spans="2:14" x14ac:dyDescent="0.2">
      <c r="B106" s="74"/>
      <c r="D106" s="429"/>
      <c r="E106" s="246" t="s">
        <v>354</v>
      </c>
      <c r="F106" s="243" t="s">
        <v>353</v>
      </c>
      <c r="N106" s="75"/>
    </row>
    <row r="107" spans="2:14" x14ac:dyDescent="0.2">
      <c r="B107" s="74"/>
      <c r="D107" s="437" t="s">
        <v>351</v>
      </c>
      <c r="E107" s="6">
        <f>MasseSans</f>
        <v>2.5950000000000002</v>
      </c>
      <c r="F107" s="244">
        <f ca="1">MassePlein</f>
        <v>2.5951000000000004</v>
      </c>
      <c r="N107" s="75"/>
    </row>
    <row r="108" spans="2:14" x14ac:dyDescent="0.2">
      <c r="B108" s="74"/>
      <c r="D108" s="431" t="s">
        <v>352</v>
      </c>
      <c r="E108" s="274">
        <f>XcgSans</f>
        <v>528</v>
      </c>
      <c r="F108" s="260">
        <f ca="1">XcgPlein</f>
        <v>528.01595314246072</v>
      </c>
      <c r="N108" s="75"/>
    </row>
    <row r="109" spans="2:14" x14ac:dyDescent="0.2">
      <c r="B109" s="74"/>
      <c r="N109" s="75"/>
    </row>
    <row r="110" spans="2:14" x14ac:dyDescent="0.2">
      <c r="B110" s="74"/>
      <c r="D110" s="438" t="s">
        <v>355</v>
      </c>
      <c r="E110" s="439">
        <f ca="1">MasseVide</f>
        <v>2.5950000000000002</v>
      </c>
      <c r="G110" s="429" t="s">
        <v>356</v>
      </c>
      <c r="H110" s="265"/>
      <c r="I110" s="265"/>
      <c r="J110" s="266"/>
      <c r="N110" s="75"/>
    </row>
    <row r="111" spans="2:14" x14ac:dyDescent="0.2">
      <c r="B111" s="74"/>
      <c r="G111" s="276" t="s">
        <v>213</v>
      </c>
      <c r="H111" s="6">
        <f>Beta_rampe</f>
        <v>77.726236552359381</v>
      </c>
      <c r="I111" s="6">
        <v>80</v>
      </c>
      <c r="J111" s="244">
        <v>90</v>
      </c>
      <c r="N111" s="75"/>
    </row>
    <row r="112" spans="2:14" x14ac:dyDescent="0.2">
      <c r="B112" s="74"/>
      <c r="G112" s="278" t="s">
        <v>215</v>
      </c>
      <c r="H112" s="247">
        <f ca="1">Temps_culmi</f>
        <v>13.799999999999946</v>
      </c>
      <c r="I112" s="259"/>
      <c r="J112" s="268"/>
      <c r="N112" s="75"/>
    </row>
    <row r="113" spans="2:14" ht="12.75" customHeight="1" x14ac:dyDescent="0.25">
      <c r="B113" s="74"/>
      <c r="D113" s="435" t="s">
        <v>357</v>
      </c>
      <c r="E113" s="48"/>
      <c r="G113" s="278" t="s">
        <v>216</v>
      </c>
      <c r="H113" s="242">
        <f ca="1">Altitude_culmi</f>
        <v>1192.8774857614485</v>
      </c>
      <c r="I113" s="259"/>
      <c r="J113" s="268"/>
      <c r="N113" s="75"/>
    </row>
    <row r="114" spans="2:14" ht="12.75" customHeight="1" x14ac:dyDescent="0.25">
      <c r="B114" s="74"/>
      <c r="D114" s="48"/>
      <c r="E114" s="48"/>
      <c r="F114" s="435"/>
      <c r="G114" s="278" t="s">
        <v>217</v>
      </c>
      <c r="H114" s="248">
        <f ca="1">Vit_culmi</f>
        <v>18.63919977107313</v>
      </c>
      <c r="I114" s="259"/>
      <c r="J114" s="268"/>
      <c r="N114" s="75"/>
    </row>
    <row r="115" spans="2:14" x14ac:dyDescent="0.2">
      <c r="B115" s="74"/>
      <c r="C115" s="429" t="s">
        <v>358</v>
      </c>
      <c r="D115" s="249"/>
      <c r="E115" s="446">
        <v>0.1</v>
      </c>
      <c r="G115" s="278" t="s">
        <v>133</v>
      </c>
      <c r="H115" s="242">
        <f ca="1">Portee_balistique</f>
        <v>588.9746359926213</v>
      </c>
      <c r="I115" s="259"/>
      <c r="J115" s="268"/>
      <c r="N115" s="75"/>
    </row>
    <row r="116" spans="2:14" ht="12.75" customHeight="1" x14ac:dyDescent="0.2">
      <c r="B116" s="74"/>
      <c r="C116" s="431" t="s">
        <v>359</v>
      </c>
      <c r="D116" s="255"/>
      <c r="E116" s="447">
        <f>E_ail*(m_ail+n_ail)/2</f>
        <v>13375</v>
      </c>
      <c r="G116" s="278" t="s">
        <v>137</v>
      </c>
      <c r="H116" s="248">
        <f ca="1">Vit_max</f>
        <v>174.11119928081908</v>
      </c>
      <c r="I116" s="259"/>
      <c r="J116" s="268"/>
      <c r="N116" s="75"/>
    </row>
    <row r="117" spans="2:14" ht="12.75" customHeight="1" x14ac:dyDescent="0.2">
      <c r="B117" s="74"/>
      <c r="D117" s="48"/>
      <c r="E117" s="48"/>
      <c r="F117" s="48"/>
      <c r="G117" s="278" t="s">
        <v>136</v>
      </c>
      <c r="H117" s="242">
        <f ca="1">Acc_max</f>
        <v>37.550793976893736</v>
      </c>
      <c r="I117" s="259"/>
      <c r="J117" s="268"/>
      <c r="N117" s="75"/>
    </row>
    <row r="118" spans="2:14" x14ac:dyDescent="0.2">
      <c r="B118" s="74"/>
      <c r="C118" s="429" t="s">
        <v>360</v>
      </c>
      <c r="D118" s="249"/>
      <c r="E118" s="457"/>
      <c r="F118" s="458">
        <f>J90/100</f>
        <v>7.72</v>
      </c>
      <c r="G118" s="276" t="s">
        <v>5</v>
      </c>
      <c r="H118" s="6">
        <f>Cx</f>
        <v>0.6</v>
      </c>
      <c r="I118" s="259"/>
      <c r="J118" s="268"/>
      <c r="N118" s="75"/>
    </row>
    <row r="119" spans="2:14" x14ac:dyDescent="0.2">
      <c r="B119" s="74"/>
      <c r="C119" s="437" t="s">
        <v>361</v>
      </c>
      <c r="D119" s="2"/>
      <c r="E119" s="459">
        <f ca="1">2*Acc_max*MasseSans</f>
        <v>194.88862074007849</v>
      </c>
      <c r="F119" s="460">
        <f ca="1">E119/g</f>
        <v>19.866322195726656</v>
      </c>
      <c r="G119" s="269" t="s">
        <v>222</v>
      </c>
      <c r="H119" s="270"/>
      <c r="I119" s="270"/>
      <c r="J119" s="271"/>
      <c r="N119" s="75"/>
    </row>
    <row r="120" spans="2:14" x14ac:dyDescent="0.2">
      <c r="B120" s="74"/>
      <c r="C120" s="437" t="s">
        <v>362</v>
      </c>
      <c r="D120" s="2"/>
      <c r="E120" s="459">
        <f ca="1">2*Acc_max*E115</f>
        <v>7.5101587953787474</v>
      </c>
      <c r="F120" s="460">
        <f ca="1">E120/g</f>
        <v>0.76556154896827189</v>
      </c>
      <c r="N120" s="75"/>
    </row>
    <row r="121" spans="2:14" x14ac:dyDescent="0.2">
      <c r="B121" s="74"/>
      <c r="C121" s="431" t="s">
        <v>363</v>
      </c>
      <c r="D121" s="255"/>
      <c r="E121" s="452">
        <f ca="1">0.104*E116/1000000*Vit_max^2</f>
        <v>42.167761213572092</v>
      </c>
      <c r="F121" s="453">
        <f ca="1">E121/g</f>
        <v>4.2984466068880822</v>
      </c>
      <c r="G121" s="48"/>
      <c r="H121" s="48"/>
      <c r="I121" s="48"/>
      <c r="J121" s="48"/>
      <c r="N121" s="75"/>
    </row>
    <row r="122" spans="2:14" ht="12.75" customHeight="1" x14ac:dyDescent="0.2">
      <c r="B122" s="74"/>
      <c r="H122" s="48"/>
      <c r="I122" s="48"/>
      <c r="J122" s="48"/>
      <c r="N122" s="75"/>
    </row>
    <row r="123" spans="2:14" ht="12.75" customHeight="1" x14ac:dyDescent="0.25">
      <c r="B123" s="74"/>
      <c r="G123" s="435"/>
      <c r="H123" s="435"/>
      <c r="I123" s="435"/>
      <c r="J123" s="48"/>
      <c r="N123" s="75"/>
    </row>
    <row r="124" spans="2:14" ht="12.75" customHeight="1" x14ac:dyDescent="0.25">
      <c r="B124" s="74"/>
      <c r="C124" s="48"/>
      <c r="D124" s="435" t="s">
        <v>364</v>
      </c>
      <c r="E124" s="448"/>
      <c r="J124" s="48"/>
      <c r="K124" s="48"/>
      <c r="N124" s="75"/>
    </row>
    <row r="125" spans="2:14" x14ac:dyDescent="0.2">
      <c r="B125" s="74"/>
      <c r="C125" s="445" t="s">
        <v>365</v>
      </c>
      <c r="J125" s="48"/>
      <c r="K125" s="48"/>
      <c r="N125" s="75"/>
    </row>
    <row r="126" spans="2:14" x14ac:dyDescent="0.2">
      <c r="B126" s="74"/>
      <c r="C126" s="429" t="s">
        <v>366</v>
      </c>
      <c r="D126" s="249"/>
      <c r="E126" s="449">
        <v>4</v>
      </c>
      <c r="G126" s="48"/>
      <c r="J126" s="48"/>
      <c r="N126" s="75"/>
    </row>
    <row r="127" spans="2:14" x14ac:dyDescent="0.2">
      <c r="B127" s="74"/>
      <c r="C127" s="431" t="s">
        <v>367</v>
      </c>
      <c r="D127" s="255"/>
      <c r="E127" s="456">
        <f>S_para</f>
        <v>0.48049999999999998</v>
      </c>
      <c r="G127" s="48"/>
      <c r="J127" s="48"/>
      <c r="N127" s="75"/>
    </row>
    <row r="128" spans="2:14" x14ac:dyDescent="0.2">
      <c r="B128" s="74"/>
      <c r="C128" s="670" t="s">
        <v>368</v>
      </c>
      <c r="D128" s="671"/>
      <c r="E128" s="450">
        <f ca="1">0.5*Rho_moyen*S_para*Vit_culmi^2</f>
        <v>102.24780912713841</v>
      </c>
      <c r="F128" s="451">
        <f ca="1">E128/g</f>
        <v>10.422814386048767</v>
      </c>
      <c r="H128" s="48"/>
      <c r="I128" s="48"/>
      <c r="J128" s="48"/>
      <c r="K128" s="48"/>
      <c r="N128" s="75"/>
    </row>
    <row r="129" spans="2:14" x14ac:dyDescent="0.2">
      <c r="B129" s="74"/>
      <c r="C129" s="668" t="s">
        <v>369</v>
      </c>
      <c r="D129" s="669"/>
      <c r="E129" s="452">
        <f ca="1">E128/E126*2</f>
        <v>51.123904563569205</v>
      </c>
      <c r="F129" s="453">
        <f ca="1">E129/g</f>
        <v>5.2114071930243835</v>
      </c>
      <c r="H129" s="48"/>
      <c r="I129" s="48"/>
      <c r="J129" s="48"/>
      <c r="K129" s="48"/>
      <c r="N129" s="75"/>
    </row>
    <row r="130" spans="2:14" x14ac:dyDescent="0.2">
      <c r="B130" s="74"/>
      <c r="C130" s="47"/>
      <c r="D130" s="47"/>
      <c r="E130" s="443"/>
      <c r="F130" s="444"/>
      <c r="H130" s="48"/>
      <c r="I130" s="48"/>
      <c r="J130" s="48"/>
      <c r="K130" s="48"/>
      <c r="N130" s="75"/>
    </row>
    <row r="131" spans="2:14" x14ac:dyDescent="0.2">
      <c r="B131" s="74"/>
      <c r="C131" s="445" t="s">
        <v>370</v>
      </c>
      <c r="D131" s="48"/>
      <c r="E131" s="48"/>
      <c r="F131" s="48"/>
      <c r="G131" s="48"/>
      <c r="H131" s="48"/>
      <c r="I131" s="48"/>
      <c r="J131" s="48"/>
      <c r="K131" s="48"/>
      <c r="N131" s="75"/>
    </row>
    <row r="132" spans="2:14" x14ac:dyDescent="0.2">
      <c r="B132" s="74"/>
      <c r="C132" s="670" t="s">
        <v>371</v>
      </c>
      <c r="D132" s="671"/>
      <c r="E132" s="454">
        <v>1</v>
      </c>
      <c r="F132" s="48"/>
      <c r="G132" s="48"/>
      <c r="H132" s="48"/>
      <c r="I132" s="48"/>
      <c r="J132" s="442"/>
      <c r="K132" s="48"/>
      <c r="N132" s="75"/>
    </row>
    <row r="133" spans="2:14" x14ac:dyDescent="0.2">
      <c r="B133" s="74"/>
      <c r="C133" s="668" t="s">
        <v>372</v>
      </c>
      <c r="D133" s="669"/>
      <c r="E133" s="455">
        <f ca="1">2*E132*Acc_max/g</f>
        <v>7.6556154896827184</v>
      </c>
      <c r="F133" s="48"/>
      <c r="G133" s="48"/>
      <c r="H133" s="48"/>
      <c r="I133" s="48"/>
      <c r="J133" s="48"/>
      <c r="K133" s="48"/>
      <c r="N133" s="75"/>
    </row>
    <row r="134" spans="2:14" ht="13.5" thickBot="1" x14ac:dyDescent="0.25">
      <c r="B134" s="77"/>
      <c r="C134" s="461"/>
      <c r="D134" s="461"/>
      <c r="E134" s="461"/>
      <c r="F134" s="461"/>
      <c r="G134" s="461"/>
      <c r="H134" s="461"/>
      <c r="I134" s="461"/>
      <c r="J134" s="461"/>
      <c r="K134" s="461"/>
      <c r="L134" s="78"/>
      <c r="M134" s="78"/>
      <c r="N134" s="79"/>
    </row>
  </sheetData>
  <sheetProtection algorithmName="SHA-512" hashValue="hPW55fXgN2sF0rdmrUjeSRNNiQdOIANll77I7z4pOMGhgAMnv3SeC70tlG1ZvqBw5PTm8+/9RK5zYBPb8YMDZQ==" saltValue="649bwDB7J1RR5Eo9ArOefA==" spinCount="100000" sheet="1" objects="1" scenarios="1"/>
  <mergeCells count="22">
    <mergeCell ref="H11:I11"/>
    <mergeCell ref="H12:I12"/>
    <mergeCell ref="H13:I13"/>
    <mergeCell ref="H29:K29"/>
    <mergeCell ref="C29:C30"/>
    <mergeCell ref="D29:D30"/>
    <mergeCell ref="H17:I17"/>
    <mergeCell ref="H18:I18"/>
    <mergeCell ref="H19:I19"/>
    <mergeCell ref="E29:G30"/>
    <mergeCell ref="E31:G31"/>
    <mergeCell ref="M29:M30"/>
    <mergeCell ref="H30:I30"/>
    <mergeCell ref="L29:L30"/>
    <mergeCell ref="H31:I31"/>
    <mergeCell ref="C133:D133"/>
    <mergeCell ref="C128:D128"/>
    <mergeCell ref="C129:D129"/>
    <mergeCell ref="C132:D132"/>
    <mergeCell ref="H44:I44"/>
    <mergeCell ref="H45:I45"/>
    <mergeCell ref="H46:I46"/>
  </mergeCells>
  <phoneticPr fontId="8" type="noConversion"/>
  <conditionalFormatting sqref="D18:E18">
    <cfRule type="expression" dxfId="2" priority="2" stopIfTrue="1">
      <formula>IF(Propu="Cariacou",0,1)</formula>
    </cfRule>
  </conditionalFormatting>
  <conditionalFormatting sqref="F18:I19">
    <cfRule type="expression" dxfId="1" priority="1" stopIfTrue="1">
      <formula>IF(Propu="Cariacou",1,0)</formula>
    </cfRule>
  </conditionalFormatting>
  <conditionalFormatting sqref="I16 I68:I73">
    <cfRule type="expression" dxfId="0" priority="6" stopIfTrue="1">
      <formula>Nb_sat="0 satellite"</formula>
    </cfRule>
  </conditionalFormatting>
  <pageMargins left="0.39370078740157483" right="0.39370078740157483" top="0.39370078740157483" bottom="0.39370078740157483" header="0" footer="0"/>
  <pageSetup paperSize="9" scale="61" orientation="portrait" r:id="rId1"/>
  <ignoredErrors>
    <ignoredError sqref="H65 H63" unlockedFormula="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P U s o W / u k 4 L W m A A A A 9 w A A A B I A H A B D b 2 5 m a W c v U G F j a 2 F n Z S 5 4 b W w g o h g A K K A U A A A A A A A A A A A A A A A A A A A A A A A A A A A A h Y 8 9 C s I w A I W v U r I 3 f y p K S d N B c L I g C u I a Y t o G 2 1 S S 1 P R u D h 7 J K 1 j R q p v j + 9 4 3 v H e / 3 l j W N 3 V 0 U d b p 1 q S A Q A w i Z W R 7 1 K Z M Q e e L e A E y z j Z C n k S p o k E 2 L u n d M Q W V 9 + c E o R A C D B P Y 2 h J R j A k 6 5 O u d r F Q j w E f W / + V Y G + e F k Q p w t n + N 4 R S S 6 Q w S T O c Q M z R S l m v z N e g w + N n + Q L b s a t 9 Z x Q s b r 7 Y M j Z G h 9 w n + A F B L A w Q U A A I A C A A 9 S y h 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P U s o W y i K R 7 g O A A A A E Q A A A B M A H A B G b 3 J t d W x h c y 9 T Z W N 0 a W 9 u M S 5 t I K I Y A C i g F A A A A A A A A A A A A A A A A A A A A A A A A A A A A C t O T S 7 J z M 9 T C I b Q h t Y A U E s B A i 0 A F A A C A A g A P U s o W / u k 4 L W m A A A A 9 w A A A B I A A A A A A A A A A A A A A A A A A A A A A E N v b m Z p Z y 9 Q Y W N r Y W d l L n h t b F B L A Q I t A B Q A A g A I A D 1 L K F s P y u m r p A A A A O k A A A A T A A A A A A A A A A A A A A A A A P I A A A B b Q 2 9 u d G V u d F 9 U e X B l c 1 0 u e G 1 s U E s B A i 0 A F A A C A A g A P U s o W 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L x 7 W S I U e 3 J N t G 4 E w n H c F G 0 A A A A A A g A A A A A A E G Y A A A A B A A A g A A A A z K l E n R A d g y e i 8 2 w 3 A o D Z t 0 s L n T Q V X 1 B 8 + H D F p a Q Y M / A A A A A A D o A A A A A C A A A g A A A A k 1 o V Y z W D L N A j H o s v x Q J / L k D 2 K r j u V 9 n j B 0 X 2 z j A E h 3 l Q A A A A 9 O m I F a i 6 f z p g D p 9 G Z 4 I p b A P C B 0 k V G V 5 5 h R s h + G D J o X 4 5 F u Z X 1 9 M m 1 y h N m h r G W 5 8 X z c Y 3 H J a V c R z I z J p e k K I 9 A b Q o 4 / n p w C O x y 8 4 A U 7 S O r F d A A A A A h l Z P K q U t X w 3 T m r A x J 3 u T k u V R V h 7 X E S x S 0 B 9 b P p Q U Z I Y e p y j + c r 1 8 f V n O r D w J T N K g S o n z O 2 6 A W 5 y r T Z G h X U R n P Q = = < / D a t a M a s h u p > 
</file>

<file path=customXml/itemProps1.xml><?xml version="1.0" encoding="utf-8"?>
<ds:datastoreItem xmlns:ds="http://schemas.openxmlformats.org/officeDocument/2006/customXml" ds:itemID="{55605F61-EC50-4E81-96A3-F99E069CFE3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8</vt:i4>
      </vt:variant>
      <vt:variant>
        <vt:lpstr>Plages nommées</vt:lpstr>
      </vt:variant>
      <vt:variant>
        <vt:i4>216</vt:i4>
      </vt:variant>
    </vt:vector>
  </HeadingPairs>
  <TitlesOfParts>
    <vt:vector size="224" baseType="lpstr">
      <vt:lpstr>Stabilito</vt:lpstr>
      <vt:lpstr>Trajecto</vt:lpstr>
      <vt:lpstr>Courbes</vt:lpstr>
      <vt:lpstr>Propu</vt:lpstr>
      <vt:lpstr>Calculs</vt:lpstr>
      <vt:lpstr>Abaco</vt:lpstr>
      <vt:lpstr>Info</vt:lpstr>
      <vt:lpstr>Controle</vt:lpstr>
      <vt:lpstr>a_prop</vt:lpstr>
      <vt:lpstr>Acc_max</vt:lpstr>
      <vt:lpstr>acc_x</vt:lpstr>
      <vt:lpstr>acc_xz</vt:lpstr>
      <vt:lpstr>acc_z</vt:lpstr>
      <vt:lpstr>Alt_para</vt:lpstr>
      <vt:lpstr>alt_prop</vt:lpstr>
      <vt:lpstr>Alt_rampe</vt:lpstr>
      <vt:lpstr>Alt_sat</vt:lpstr>
      <vt:lpstr>Altitude_culmi</vt:lpstr>
      <vt:lpstr>b_bal</vt:lpstr>
      <vt:lpstr>b_prop</vt:lpstr>
      <vt:lpstr>Beta</vt:lpstr>
      <vt:lpstr>Beta_rampe</vt:lpstr>
      <vt:lpstr>BetaD</vt:lpstr>
      <vt:lpstr>CdP</vt:lpstr>
      <vt:lpstr>CdP_P</vt:lpstr>
      <vt:lpstr>CdP_t</vt:lpstr>
      <vt:lpstr>Club</vt:lpstr>
      <vt:lpstr>Cn</vt:lpstr>
      <vt:lpstr>Cn0</vt:lpstr>
      <vt:lpstr>Stabilito!Cnai</vt:lpstr>
      <vt:lpstr>Cnai0</vt:lpstr>
      <vt:lpstr>Stabilito!Cnail</vt:lpstr>
      <vt:lpstr>Stabilito!Cnc</vt:lpstr>
      <vt:lpstr>Stabilito!Cni</vt:lpstr>
      <vt:lpstr>Cni0</vt:lpstr>
      <vt:lpstr>Stabilito!Cnj</vt:lpstr>
      <vt:lpstr>Stabilito!Cno</vt:lpstr>
      <vt:lpstr>Stabilito!Cnr</vt:lpstr>
      <vt:lpstr>Combustion</vt:lpstr>
      <vt:lpstr>Stabilito!CritCnmax</vt:lpstr>
      <vt:lpstr>Stabilito!CritCnmin</vt:lpstr>
      <vt:lpstr>Stabilito!CritFinessemax</vt:lpstr>
      <vt:lpstr>Stabilito!CritFinessemin</vt:lpstr>
      <vt:lpstr>Stabilito!CritMsCnmax</vt:lpstr>
      <vt:lpstr>Stabilito!CritMsCnmin</vt:lpstr>
      <vt:lpstr>Stabilito!CritMsmax</vt:lpstr>
      <vt:lpstr>Stabilito!CritMsmin</vt:lpstr>
      <vt:lpstr>Cx</vt:lpstr>
      <vt:lpstr>Cx_para</vt:lpstr>
      <vt:lpstr>Cx_satellite</vt:lpstr>
      <vt:lpstr>D_ail</vt:lpstr>
      <vt:lpstr>Stabilito!D_can</vt:lpstr>
      <vt:lpstr>Stabilito!D_int</vt:lpstr>
      <vt:lpstr>D_og</vt:lpstr>
      <vt:lpstr>D_ref</vt:lpstr>
      <vt:lpstr>D_var</vt:lpstr>
      <vt:lpstr>D1j</vt:lpstr>
      <vt:lpstr>D1r</vt:lpstr>
      <vt:lpstr>D2j</vt:lpstr>
      <vt:lpstr>D2r</vt:lpstr>
      <vt:lpstr>Débit</vt:lpstr>
      <vt:lpstr>Depotage</vt:lpstr>
      <vt:lpstr>Diam_propu</vt:lpstr>
      <vt:lpstr>Dt_para</vt:lpstr>
      <vt:lpstr>Dt_satellite</vt:lpstr>
      <vt:lpstr>Dx_para</vt:lpstr>
      <vt:lpstr>Dx_sat</vt:lpstr>
      <vt:lpstr>E_ail</vt:lpstr>
      <vt:lpstr>E_can</vt:lpstr>
      <vt:lpstr>Stabilito!E_int</vt:lpstr>
      <vt:lpstr>ep_ail</vt:lpstr>
      <vt:lpstr>ep_can</vt:lpstr>
      <vt:lpstr>Stabilito!ep_int</vt:lpstr>
      <vt:lpstr>Event</vt:lpstr>
      <vt:lpstr>Event_para</vt:lpstr>
      <vt:lpstr>Event_sat</vt:lpstr>
      <vt:lpstr>Stabilito!f_ail</vt:lpstr>
      <vt:lpstr>Stabilito!f_can</vt:lpstr>
      <vt:lpstr>Stabilito!f_int</vt:lpstr>
      <vt:lpstr>Finesse</vt:lpstr>
      <vt:lpstr>Forme_ogive</vt:lpstr>
      <vt:lpstr>g</vt:lpstr>
      <vt:lpstr>i_P</vt:lpstr>
      <vt:lpstr>I_total</vt:lpstr>
      <vt:lpstr>ISP</vt:lpstr>
      <vt:lpstr>l_j</vt:lpstr>
      <vt:lpstr>l_r</vt:lpstr>
      <vt:lpstr>L_rampe</vt:lpstr>
      <vt:lpstr>Lang</vt:lpstr>
      <vt:lpstr>Liste_µfu</vt:lpstr>
      <vt:lpstr>Liste_fusex</vt:lpstr>
      <vt:lpstr>Liste_H2O</vt:lpstr>
      <vt:lpstr>Liste_minif</vt:lpstr>
      <vt:lpstr>Liste_minifT</vt:lpstr>
      <vt:lpstr>Liste_propu</vt:lpstr>
      <vt:lpstr>Liste_RC</vt:lpstr>
      <vt:lpstr>Liste_Type_para</vt:lpstr>
      <vt:lpstr>Long_ogive</vt:lpstr>
      <vt:lpstr>Long_propu</vt:lpstr>
      <vt:lpstr>Long_tot</vt:lpstr>
      <vt:lpstr>m</vt:lpstr>
      <vt:lpstr>m_ail</vt:lpstr>
      <vt:lpstr>m_bal</vt:lpstr>
      <vt:lpstr>m_can</vt:lpstr>
      <vt:lpstr>Stabilito!m_int</vt:lpstr>
      <vt:lpstr>m_poudre</vt:lpstr>
      <vt:lpstr>m_prop</vt:lpstr>
      <vt:lpstr>m_satellite</vt:lpstr>
      <vt:lpstr>m_tot</vt:lpstr>
      <vt:lpstr>m_var</vt:lpstr>
      <vt:lpstr>m_vide</vt:lpstr>
      <vt:lpstr>Masse_ail</vt:lpstr>
      <vt:lpstr>MassePlein</vt:lpstr>
      <vt:lpstr>MasseSans</vt:lpstr>
      <vt:lpstr>MasseVide</vt:lpstr>
      <vt:lpstr>Matricule</vt:lpstr>
      <vt:lpstr>Menu_Empennage</vt:lpstr>
      <vt:lpstr>Menu_Lang</vt:lpstr>
      <vt:lpstr>Menu_Ogive</vt:lpstr>
      <vt:lpstr>Menu_sat</vt:lpstr>
      <vt:lpstr>Menu_Transitions</vt:lpstr>
      <vt:lpstr>Menu_Type</vt:lpstr>
      <vt:lpstr>Menu_with_motor</vt:lpstr>
      <vt:lpstr>MpropuPlein</vt:lpstr>
      <vt:lpstr>MpropuVide</vt:lpstr>
      <vt:lpstr>MS_Cn_max</vt:lpstr>
      <vt:lpstr>MS_Cn_min</vt:lpstr>
      <vt:lpstr>MS_max</vt:lpstr>
      <vt:lpstr>MS_min</vt:lpstr>
      <vt:lpstr>n_ail</vt:lpstr>
      <vt:lpstr>n_can</vt:lpstr>
      <vt:lpstr>Stabilito!n_int</vt:lpstr>
      <vt:lpstr>Nb_diam</vt:lpstr>
      <vt:lpstr>Nb_sat</vt:lpstr>
      <vt:lpstr>Nom</vt:lpstr>
      <vt:lpstr>p_ail</vt:lpstr>
      <vt:lpstr>p_can</vt:lpstr>
      <vt:lpstr>Stabilito!p_int</vt:lpstr>
      <vt:lpstr>pas</vt:lpstr>
      <vt:lpstr>Poids</vt:lpstr>
      <vt:lpstr>Portee_balistique</vt:lpstr>
      <vt:lpstr>pos_x</vt:lpstr>
      <vt:lpstr>pos_xz</vt:lpstr>
      <vt:lpstr>pos_z</vt:lpstr>
      <vt:lpstr>pos_z_montant</vt:lpstr>
      <vt:lpstr>Poussee</vt:lpstr>
      <vt:lpstr>Propu</vt:lpstr>
      <vt:lpstr>Q_ail</vt:lpstr>
      <vt:lpstr>Q_can</vt:lpstr>
      <vt:lpstr>Stabilito!Q_int</vt:lpstr>
      <vt:lpstr>Q_var</vt:lpstr>
      <vt:lpstr>R_rampe</vt:lpstr>
      <vt:lpstr>Rho</vt:lpstr>
      <vt:lpstr>Rho_moyen</vt:lpstr>
      <vt:lpstr>S_ail</vt:lpstr>
      <vt:lpstr>S_para</vt:lpstr>
      <vt:lpstr>S_para_croix</vt:lpstr>
      <vt:lpstr>S_para_rond</vt:lpstr>
      <vt:lpstr>S_satellite</vt:lpstr>
      <vt:lpstr>Sref</vt:lpstr>
      <vt:lpstr>sS</vt:lpstr>
      <vt:lpstr>t</vt:lpstr>
      <vt:lpstr>T_balistique</vt:lpstr>
      <vt:lpstr>T_ini</vt:lpstr>
      <vt:lpstr>T_para</vt:lpstr>
      <vt:lpstr>T_satellite</vt:lpstr>
      <vt:lpstr>Temps_culmi</vt:lpstr>
      <vt:lpstr>Temps_fin_propu</vt:lpstr>
      <vt:lpstr>Trainee</vt:lpstr>
      <vt:lpstr>tT_fus</vt:lpstr>
      <vt:lpstr>tT_sat</vt:lpstr>
      <vt:lpstr>Type_fusee</vt:lpstr>
      <vt:lpstr>Abaco!Type_masquage</vt:lpstr>
      <vt:lpstr>Stabilito!Type_masquage</vt:lpstr>
      <vt:lpstr>Type_propu</vt:lpstr>
      <vt:lpstr>V_ini</vt:lpstr>
      <vt:lpstr>V_ouv_sat</vt:lpstr>
      <vt:lpstr>V_ouverture</vt:lpstr>
      <vt:lpstr>V_para</vt:lpstr>
      <vt:lpstr>V_prop</vt:lpstr>
      <vt:lpstr>V_satellite</vt:lpstr>
      <vt:lpstr>V_vent</vt:lpstr>
      <vt:lpstr>V_vent_sat</vt:lpstr>
      <vt:lpstr>Stabilito!Version</vt:lpstr>
      <vt:lpstr>Trajecto!Version</vt:lpstr>
      <vt:lpstr>Vit_culmi</vt:lpstr>
      <vt:lpstr>Vit_max</vt:lpstr>
      <vt:lpstr>vit_x</vt:lpstr>
      <vt:lpstr>vit_xz</vt:lpstr>
      <vt:lpstr>vit_z</vt:lpstr>
      <vt:lpstr>Vsortie_de_rampe</vt:lpstr>
      <vt:lpstr>X_ail</vt:lpstr>
      <vt:lpstr>X_can</vt:lpstr>
      <vt:lpstr>X_culmi</vt:lpstr>
      <vt:lpstr>X_ini</vt:lpstr>
      <vt:lpstr>Stabilito!X_int</vt:lpstr>
      <vt:lpstr>X_j</vt:lpstr>
      <vt:lpstr>X_para</vt:lpstr>
      <vt:lpstr>X_r</vt:lpstr>
      <vt:lpstr>X_satellite</vt:lpstr>
      <vt:lpstr>XcgPlein</vt:lpstr>
      <vt:lpstr>XcgSans</vt:lpstr>
      <vt:lpstr>XcgVide</vt:lpstr>
      <vt:lpstr>Stabilito!XCp</vt:lpstr>
      <vt:lpstr>XCp0</vt:lpstr>
      <vt:lpstr>Stabilito!XCpa</vt:lpstr>
      <vt:lpstr>Stabilito!XCpai</vt:lpstr>
      <vt:lpstr>XCpai0</vt:lpstr>
      <vt:lpstr>Stabilito!XCpc</vt:lpstr>
      <vt:lpstr>Stabilito!XCpi</vt:lpstr>
      <vt:lpstr>XCpi0</vt:lpstr>
      <vt:lpstr>Stabilito!XCpj</vt:lpstr>
      <vt:lpstr>Stabilito!XCpo</vt:lpstr>
      <vt:lpstr>Stabilito!XCpr</vt:lpstr>
      <vt:lpstr>XpropuPlein</vt:lpstr>
      <vt:lpstr>XpropuRef</vt:lpstr>
      <vt:lpstr>XpropuVide</vt:lpstr>
      <vt:lpstr>Z_ini</vt:lpstr>
      <vt:lpstr>Abaco!Zone_d_impression</vt:lpstr>
      <vt:lpstr>Courbes!Zone_d_impression</vt:lpstr>
      <vt:lpstr>Stabilito!Zone_d_impression</vt:lpstr>
      <vt:lpstr>Trajecto!Zone_d_impression</vt:lpstr>
      <vt:lpstr>zZ_fus</vt:lpstr>
      <vt:lpstr>zZ_sat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StabTraj</dc:title>
  <dc:creator>Léo Côme;Sylvain Besson</dc:creator>
  <cp:lastModifiedBy>Alexis Paillard</cp:lastModifiedBy>
  <cp:lastPrinted>2011-11-08T21:12:34Z</cp:lastPrinted>
  <dcterms:created xsi:type="dcterms:W3CDTF">2008-11-03T20:48:06Z</dcterms:created>
  <dcterms:modified xsi:type="dcterms:W3CDTF">2025-10-01T12:46:52Z</dcterms:modified>
</cp:coreProperties>
</file>